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_rels/.rels" ContentType="application/vnd.openxmlformats-package.relationship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 showHorizontalScroll="true" showVerticalScroll="true" showSheetTabs="true"/>
  </bookViews>
  <sheets>
    <sheet name="Krycí list rozpočtu" sheetId="1" r:id="rId1"/>
    <sheet name="VORN" sheetId="2" state="hidden" r:id="rId2"/>
    <sheet name="Rozpočet - objekty" sheetId="3" r:id="rId3"/>
    <sheet name="Stavební rozpočet" sheetId="4" r:id="rId4"/>
    <sheet name="Stavební rozpočet (SO-01)" sheetId="5" r:id="rId5"/>
    <sheet name="Stavební rozpočet (SO-02)" sheetId="6" r:id="rId6"/>
    <sheet name="Stavební rozpočet (SO-03)" sheetId="7" r:id="rId7"/>
    <sheet name="Stavební rozpočet (SO-04)" sheetId="8" r:id="rId8"/>
    <sheet name="Stavební rozpočet (SO-05)" sheetId="9" r:id="rId9"/>
  </sheets>
  <definedNames>
    <definedName name="vorn_sum">VORN!$I$45</definedName>
  </definedNames>
  <calcPr refMode="A1"/>
</workbook>
</file>

<file path=xl/sharedStrings.xml><?xml version="1.0" encoding="utf-8"?>
<sst xmlns="http://schemas.openxmlformats.org/spreadsheetml/2006/main" count="5093" uniqueCount="5093">
  <si>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</si>
  <si>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</si>
  <si>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</si>
  <si>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</si>
  <si>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</si>
  <si>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</si>
  <si>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</si>
  <si>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</si>
  <si>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</si>
  <si>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</si>
  <si>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</si>
  <si>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</si>
  <si>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</si>
  <si>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</si>
  <si>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</si>
  <si>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</si>
  <si>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</si>
  <si>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</si>
  <si>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</si>
  <si>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</si>
  <si>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</si>
  <si>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</si>
  <si>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</si>
  <si>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</si>
  <si>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</si>
  <si>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</si>
  <si>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</si>
  <si>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</si>
  <si>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</si>
  <si>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</si>
  <si>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</si>
  <si>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</si>
  <si>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</si>
  <si>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</si>
  <si>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</si>
  <si>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</si>
  <si>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</si>
  <si>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</si>
  <si>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</si>
  <si>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</si>
  <si>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</si>
  <si>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</si>
  <si>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</si>
  <si>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</si>
  <si>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</si>
  <si>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</si>
  <si>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</si>
  <si>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</si>
  <si>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</si>
  <si>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</si>
  <si>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</si>
  <si>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</si>
  <si>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</si>
  <si>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</si>
  <si>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</si>
  <si>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</si>
  <si>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</si>
  <si>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</si>
  <si>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</si>
  <si>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</si>
  <si>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</si>
  <si>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</si>
  <si>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</si>
  <si>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</si>
  <si>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</si>
  <si>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</si>
  <si>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</si>
  <si>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</si>
  <si>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</si>
  <si>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</si>
  <si>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</si>
  <si>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</si>
  <si>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</si>
  <si>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</si>
  <si>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</si>
  <si>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</si>
  <si>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 - Jen objekty celkem</t>
  </si>
  <si>
    <t>Doba výstavby:</t>
  </si>
  <si>
    <t>Zpracováno dne:</t>
  </si>
  <si>
    <t xml:space="preserve"> </t>
  </si>
  <si>
    <t>Náklady (Kč)</t>
  </si>
  <si>
    <t>Objekt</t>
  </si>
  <si>
    <t>Zkrácený popis</t>
  </si>
  <si>
    <t>Celkem</t>
  </si>
  <si>
    <t>SO-01</t>
  </si>
  <si>
    <t>Základní rozpočet</t>
  </si>
  <si>
    <t>F</t>
  </si>
  <si>
    <t>SO-02</t>
  </si>
  <si>
    <t>Zdravotechnické instalace</t>
  </si>
  <si>
    <t>SO-03</t>
  </si>
  <si>
    <t>Vzduchotechnika</t>
  </si>
  <si>
    <t>SO-04</t>
  </si>
  <si>
    <t>Ústřední vytápění</t>
  </si>
  <si>
    <t>SO-05</t>
  </si>
  <si>
    <t>Elektroinstalace</t>
  </si>
  <si>
    <t>Celkem:</t>
  </si>
  <si>
    <t>Slepý stavební rozpočet</t>
  </si>
  <si>
    <t>ZŠ Požární 32</t>
  </si>
  <si>
    <t> </t>
  </si>
  <si>
    <t>Přístavba tělocvičny</t>
  </si>
  <si>
    <t>Brno</t>
  </si>
  <si>
    <t>24.10.2024</t>
  </si>
  <si>
    <t>Ing. Jan Váňa</t>
  </si>
  <si>
    <t>Č</t>
  </si>
  <si>
    <t>Kód</t>
  </si>
  <si>
    <t>Zkrácený popis / Varianta</t>
  </si>
  <si>
    <t>MJ</t>
  </si>
  <si>
    <t>Množství</t>
  </si>
  <si>
    <t>Cena/MJ</t>
  </si>
  <si>
    <t>Cenová</t>
  </si>
  <si>
    <t>ISWORK</t>
  </si>
  <si>
    <t>GROUPCODE</t>
  </si>
  <si>
    <t>VATTAX</t>
  </si>
  <si>
    <t>Rozměry</t>
  </si>
  <si>
    <t>(Kč)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</si>
  <si>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</si>
  <si>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</si>
  <si>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</si>
  <si>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</si>
  <si>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</si>
  <si>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</si>
  <si>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</si>
  <si>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</si>
  <si>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</si>
  <si>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</si>
  <si>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</si>
  <si>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</si>
  <si>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</si>
  <si>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11</t>
  </si>
  <si>
    <t>Přípravné a přidružené práce</t>
  </si>
  <si>
    <t>1</t>
  </si>
  <si>
    <t>112101132R00</t>
  </si>
  <si>
    <t>Kácení stromů listnatých průměru do 30 cm, svah 1:2</t>
  </si>
  <si>
    <t>kus</t>
  </si>
  <si>
    <t>RTS II / 2023</t>
  </si>
  <si>
    <t>11_</t>
  </si>
  <si>
    <t>SO-01_1_</t>
  </si>
  <si>
    <t>SO-01_</t>
  </si>
  <si>
    <t>3</t>
  </si>
  <si>
    <t>Z43</t>
  </si>
  <si>
    <t>2</t>
  </si>
  <si>
    <t>112201122R00</t>
  </si>
  <si>
    <t>Odstranění pařezů o průměru do 30 cm, svah 1:2</t>
  </si>
  <si>
    <t>111201101R00</t>
  </si>
  <si>
    <t>Odstranění křovin i s kořeny na ploše do 1000 m2</t>
  </si>
  <si>
    <t>m2</t>
  </si>
  <si>
    <t>Varianta:</t>
  </si>
  <si>
    <t>vč. naložení k odvozu</t>
  </si>
  <si>
    <t>50</t>
  </si>
  <si>
    <t>4</t>
  </si>
  <si>
    <t>113107310R00</t>
  </si>
  <si>
    <t>Odstranění podkladu pl. 50 m2,kam.těžené tl.10 cm</t>
  </si>
  <si>
    <t>(17,7+4,9)*1</t>
  </si>
  <si>
    <t>okapní chodník stáv.</t>
  </si>
  <si>
    <t>12</t>
  </si>
  <si>
    <t>Odkopávky a prokopávky</t>
  </si>
  <si>
    <t>5</t>
  </si>
  <si>
    <t>121101101R00</t>
  </si>
  <si>
    <t>Sejmutí ornice s přemístěním do 50 m</t>
  </si>
  <si>
    <t>m3</t>
  </si>
  <si>
    <t>12_</t>
  </si>
  <si>
    <t>1387*0,2</t>
  </si>
  <si>
    <t>celá plocha</t>
  </si>
  <si>
    <t>13</t>
  </si>
  <si>
    <t>Hloubené vykopávky</t>
  </si>
  <si>
    <t>6</t>
  </si>
  <si>
    <t>139601102R00</t>
  </si>
  <si>
    <t>Ruční výkop jam, rýh a šachet v hornině tř. 3</t>
  </si>
  <si>
    <t>13_</t>
  </si>
  <si>
    <t>1*6</t>
  </si>
  <si>
    <t>sondy k základům dle požadavku statika v TZ - odhad</t>
  </si>
  <si>
    <t>14,284</t>
  </si>
  <si>
    <t>pro podkl. beton zákl. pásů</t>
  </si>
  <si>
    <t>7</t>
  </si>
  <si>
    <t>132201119R00</t>
  </si>
  <si>
    <t>Přípl.za lepivost,hloubení rýh,hor.3</t>
  </si>
  <si>
    <t>8</t>
  </si>
  <si>
    <t>131201112R00</t>
  </si>
  <si>
    <t>Hloubení nezapaž. jam hor.3 do 1000 m3, STROJNĚ</t>
  </si>
  <si>
    <t>606*1,35</t>
  </si>
  <si>
    <t>z úrovně PT do -0,55</t>
  </si>
  <si>
    <t>0,5*14,2</t>
  </si>
  <si>
    <t>odkop pro chodník k 1N22</t>
  </si>
  <si>
    <t>9</t>
  </si>
  <si>
    <t>131201119R00</t>
  </si>
  <si>
    <t>Příplatek za lepivost - hloubení nezap.jam v hor.3</t>
  </si>
  <si>
    <t>10</t>
  </si>
  <si>
    <t>132201210R00</t>
  </si>
  <si>
    <t>Hloubení rýh š.do 200 cm hor.3 do 50 m3,STROJNĚ</t>
  </si>
  <si>
    <t>předpoklad výkopu po etapách</t>
  </si>
  <si>
    <t>1,6*(8,68+1,65+9,5*2+3,5+4,4)*0,45</t>
  </si>
  <si>
    <t>z úrovně -0,55 do -1,00</t>
  </si>
  <si>
    <t>1,6*(6,39+5,4+3,7)*0,45</t>
  </si>
  <si>
    <t>1,6*(8,66+5,35+1,6+8,625+2,295)*0,45</t>
  </si>
  <si>
    <t>(1,12*7+0,5*2,53)*0,45</t>
  </si>
  <si>
    <t>1,7*(21,9+6,08)*0,45</t>
  </si>
  <si>
    <t>(1,95*1,44+1*3,62)*0,45</t>
  </si>
  <si>
    <t>1,9*22,5*0,45</t>
  </si>
  <si>
    <t>(3,9*3,05+2,8*3,2)*0,45</t>
  </si>
  <si>
    <t>1,15*5,07*0,45</t>
  </si>
  <si>
    <t>132201219R00</t>
  </si>
  <si>
    <t>Přípl.za lepivost,hloubení rýh 200cm,hor.3,STROJNĚ</t>
  </si>
  <si>
    <t>16</t>
  </si>
  <si>
    <t>Přemístění výkopku</t>
  </si>
  <si>
    <t>162201203R00</t>
  </si>
  <si>
    <t>Vodorovné přemíst.výkopku, kolečko hor.1-4, do 10m</t>
  </si>
  <si>
    <t>16_</t>
  </si>
  <si>
    <t>20,284*1,3</t>
  </si>
  <si>
    <t>vč. nakypření</t>
  </si>
  <si>
    <t>162201210R00</t>
  </si>
  <si>
    <t>Příplatek za dalš.10 m, kolečko, výkop. z hor.1- 4</t>
  </si>
  <si>
    <t>20,284*1,3*2</t>
  </si>
  <si>
    <t>14</t>
  </si>
  <si>
    <t>167101101R00</t>
  </si>
  <si>
    <t>Nakládání výkopku z hor. 1 ÷ 4 v množství do 100 m3</t>
  </si>
  <si>
    <t>Z43- dřeviny</t>
  </si>
  <si>
    <t>26,369</t>
  </si>
  <si>
    <t>z ručního výkopu</t>
  </si>
  <si>
    <t>825,2*1,3</t>
  </si>
  <si>
    <t>hloubení jam</t>
  </si>
  <si>
    <t>116,7*1,3</t>
  </si>
  <si>
    <t>hloubení rýh</t>
  </si>
  <si>
    <t>1387*0,2*1,3</t>
  </si>
  <si>
    <t>ornice celá plocha</t>
  </si>
  <si>
    <t>15</t>
  </si>
  <si>
    <t>162701105R00</t>
  </si>
  <si>
    <t>Vodorovné přemístění výkopku z hor.1-4 do 10000 m</t>
  </si>
  <si>
    <t>979990161R00</t>
  </si>
  <si>
    <t>Poplatek za uložení - dřevo, skupina odpadu 170201</t>
  </si>
  <si>
    <t>t</t>
  </si>
  <si>
    <t>3*1,2</t>
  </si>
  <si>
    <t>Z43 - odstraněné dřeviny</t>
  </si>
  <si>
    <t>17</t>
  </si>
  <si>
    <t>199000001R00</t>
  </si>
  <si>
    <t>Poplatek za skládku - ornice</t>
  </si>
  <si>
    <t>18</t>
  </si>
  <si>
    <t>199000002R00</t>
  </si>
  <si>
    <t>Poplatek za skládku horniny 1- 4, č. dle katal. odpadů 17 05 04</t>
  </si>
  <si>
    <t>Konstrukce ze zemin</t>
  </si>
  <si>
    <t>19</t>
  </si>
  <si>
    <t>175101201R00</t>
  </si>
  <si>
    <t>Obsyp objektu štěrkodrtí se zhutněním</t>
  </si>
  <si>
    <t>17_</t>
  </si>
  <si>
    <t>dodávka štěrkodrtě ve specifikaci</t>
  </si>
  <si>
    <t>zpětný zásyp obvod</t>
  </si>
  <si>
    <t>(2,1+1,7)*0,5*(23,2+3,3*2)</t>
  </si>
  <si>
    <t>severní pohled</t>
  </si>
  <si>
    <t>(0,31+2,1)*0,5*14,3+(0,31+0,22)*0,5*8,5</t>
  </si>
  <si>
    <t>východní pohled</t>
  </si>
  <si>
    <t>(0,31+0,22)*0,5*(5,7+4,5+3,4)</t>
  </si>
  <si>
    <t>jižní pohled</t>
  </si>
  <si>
    <t>(0,31+0,15*0,6+2,1)*0,5*5,6</t>
  </si>
  <si>
    <t>(0,31+0,15*0,6)*(6,7+4,4)</t>
  </si>
  <si>
    <t>65,6*1/0,6</t>
  </si>
  <si>
    <t>zpětný zásyp podél základů</t>
  </si>
  <si>
    <t>20</t>
  </si>
  <si>
    <t>583423202</t>
  </si>
  <si>
    <t>Kamenivo drcené 0/32</t>
  </si>
  <si>
    <t>200,48*1,7</t>
  </si>
  <si>
    <t>zpětné zásypy</t>
  </si>
  <si>
    <t>Povrchové úpravy terénu</t>
  </si>
  <si>
    <t>21</t>
  </si>
  <si>
    <t>181101111R00</t>
  </si>
  <si>
    <t>Úprava pláně v zářezech se zhutněním - ručně</t>
  </si>
  <si>
    <t>18_</t>
  </si>
  <si>
    <t>po odstranění dřevin</t>
  </si>
  <si>
    <t>22</t>
  </si>
  <si>
    <t>182001122R00</t>
  </si>
  <si>
    <t>Plošná úprava terénu, nerovnosti do 15 cm svah 1:2</t>
  </si>
  <si>
    <t>závěrečné urovnání po stav. činnosti</t>
  </si>
  <si>
    <t>961</t>
  </si>
  <si>
    <t>rekultivace - celý pozemek</t>
  </si>
  <si>
    <t>-9,3-14,8-6</t>
  </si>
  <si>
    <t>odpočet okap. chodníku</t>
  </si>
  <si>
    <t>23</t>
  </si>
  <si>
    <t>182300012RAD</t>
  </si>
  <si>
    <t>Rozprostření ornice ve svahu tloušťka 20 cm</t>
  </si>
  <si>
    <t>dovoz ornice ze vzdál. 10 km, osetí trávou</t>
  </si>
  <si>
    <t>Úprava podloží a základové spáry</t>
  </si>
  <si>
    <t>24</t>
  </si>
  <si>
    <t>212750010RAC</t>
  </si>
  <si>
    <t>Trativody z drenáž. trubek - odvětrání radonu z podloží</t>
  </si>
  <si>
    <t>m</t>
  </si>
  <si>
    <t>21_</t>
  </si>
  <si>
    <t>SO-01_2_</t>
  </si>
  <si>
    <t>lože štěrkopís.,obsyp kamenivem, DN 150 mm</t>
  </si>
  <si>
    <t>4+5,9+27+3,4+8,1</t>
  </si>
  <si>
    <t>odvětrání radonu</t>
  </si>
  <si>
    <t>27</t>
  </si>
  <si>
    <t>Základy</t>
  </si>
  <si>
    <t>25</t>
  </si>
  <si>
    <t>271313511R00</t>
  </si>
  <si>
    <t>Beton podkladní pod zákl. pásy, prostý</t>
  </si>
  <si>
    <t>27_</t>
  </si>
  <si>
    <t>vč. rozšíření o 10 cm na každou stranu pásů</t>
  </si>
  <si>
    <t>0,1*0,8*(11,535+6,3+7,83+9,845+16,2)</t>
  </si>
  <si>
    <t>ZP3</t>
  </si>
  <si>
    <t>0,1*0,8*(7,88+3,25*2+21,85+2,3+1,3+6,35+9,16)</t>
  </si>
  <si>
    <t>0,1*0,9*19,7</t>
  </si>
  <si>
    <t>ZP1</t>
  </si>
  <si>
    <t>0,1*1,1*19,7</t>
  </si>
  <si>
    <t>ZP2</t>
  </si>
  <si>
    <t>0,1*1,15*1,94</t>
  </si>
  <si>
    <t>ZP4</t>
  </si>
  <si>
    <t>0,1*0,7*(3,12+1,2+2,7)</t>
  </si>
  <si>
    <t>ZP5</t>
  </si>
  <si>
    <t>0,1*0,85*5,57</t>
  </si>
  <si>
    <t>0,1*0,9*6,58</t>
  </si>
  <si>
    <t>14,28415*0,05</t>
  </si>
  <si>
    <t>betonáž do výkopu</t>
  </si>
  <si>
    <t>26</t>
  </si>
  <si>
    <t>274326141RU1</t>
  </si>
  <si>
    <t>Zákl. pasy z betonu železového vodostaveb. C 30/37 - CX2</t>
  </si>
  <si>
    <t>0,6*0,6*(11,535+6,3+7,83+9,845+16,2)</t>
  </si>
  <si>
    <t>0,6*0,6*(7,88+3,25*2+21,85+2,3+1,3+6,35+9,16)</t>
  </si>
  <si>
    <t>0,6*0,7*19,7</t>
  </si>
  <si>
    <t>0,6*0,9*19,7</t>
  </si>
  <si>
    <t>0,6*0,95*1,94</t>
  </si>
  <si>
    <t>0,6*0,5*(3,12+1,2+2,7)</t>
  </si>
  <si>
    <t>0,6*0,65*5,57</t>
  </si>
  <si>
    <t>0,6*0,7*6,58</t>
  </si>
  <si>
    <t>274351215R00</t>
  </si>
  <si>
    <t>Bednění stěn základových pasů - zřízení</t>
  </si>
  <si>
    <t>0,6*2*(11,535+6,3+7,83+9,845+16,2)</t>
  </si>
  <si>
    <t>0,6*2*(7,88+3,25*2+21,85+2,3+1,3+6,35+9,16)</t>
  </si>
  <si>
    <t>0,6*2*19,7</t>
  </si>
  <si>
    <t>0,6*2*1,94</t>
  </si>
  <si>
    <t>0,6*2*(3,12+1,2+2,7)</t>
  </si>
  <si>
    <t>0,6*2*5,57</t>
  </si>
  <si>
    <t>0,6*2*6,58</t>
  </si>
  <si>
    <t>28</t>
  </si>
  <si>
    <t>274351216R00</t>
  </si>
  <si>
    <t>Bednění stěn základových pasů - odstranění</t>
  </si>
  <si>
    <t>29</t>
  </si>
  <si>
    <t>274354033R00</t>
  </si>
  <si>
    <t>Bednění prostupu základem do 0,05 m2, dl. do 1,0 m</t>
  </si>
  <si>
    <t>včetně svislých drážek</t>
  </si>
  <si>
    <t>dle výpisu prostupů 1NP</t>
  </si>
  <si>
    <t>7+1+1+1+6+1</t>
  </si>
  <si>
    <t>DZT4+DZT5+DZT6+DZT7+ZTI3+ZTI4</t>
  </si>
  <si>
    <t>1+1+1+1+1+3</t>
  </si>
  <si>
    <t>ZTI5+ZTI6+ZTI7+ZTI8+ZTI9+RO1</t>
  </si>
  <si>
    <t>30</t>
  </si>
  <si>
    <t>274361214R00</t>
  </si>
  <si>
    <t>Výztuž základových pasů do 12 mm z oceli B500B (10 505)</t>
  </si>
  <si>
    <t>dle výpisu váztuže - základy</t>
  </si>
  <si>
    <t>2,189+2,141</t>
  </si>
  <si>
    <t>základové pásy ZP1-ZP5</t>
  </si>
  <si>
    <t>31</t>
  </si>
  <si>
    <t>274361314R00</t>
  </si>
  <si>
    <t>Výztuž základových pasů nad 12mm z oceli B500B (10 505)</t>
  </si>
  <si>
    <t>dle výpisu výztuže - základy</t>
  </si>
  <si>
    <t>1,7611</t>
  </si>
  <si>
    <t>zákl. pásy ZP1 - ZP5</t>
  </si>
  <si>
    <t>32</t>
  </si>
  <si>
    <t>564851111RT3</t>
  </si>
  <si>
    <t>Podklad ze štěrkodrti po zhutnění tloušťky 15 cm, S3-S5</t>
  </si>
  <si>
    <t>štěrkodrť frakce 16-32 mm, D+M</t>
  </si>
  <si>
    <t>527,4</t>
  </si>
  <si>
    <t>S3+S4+S5, vč. urovnání zeminy</t>
  </si>
  <si>
    <t>33</t>
  </si>
  <si>
    <t>273321115R00</t>
  </si>
  <si>
    <t>Železobeton zákl. desek z cem.portladských C 12/15</t>
  </si>
  <si>
    <t>podkladní beton 1NP</t>
  </si>
  <si>
    <t>0,15*527,4</t>
  </si>
  <si>
    <t>S3+S4+S5</t>
  </si>
  <si>
    <t>34</t>
  </si>
  <si>
    <t>273361921RT8</t>
  </si>
  <si>
    <t>Výztuž základových desek ze svařovaných sítí</t>
  </si>
  <si>
    <t>KY 81, drát d 8,0 mm, oko 100 x 100 mm</t>
  </si>
  <si>
    <t>527,4*0,0079*1,3</t>
  </si>
  <si>
    <t>přesahy + ztratné 30%</t>
  </si>
  <si>
    <t>527,4*0,6*0,001*1,3</t>
  </si>
  <si>
    <t>distanční podložky ocelové</t>
  </si>
  <si>
    <t>35</t>
  </si>
  <si>
    <t>273351215R00</t>
  </si>
  <si>
    <t>Bednění stěn základových desek - zřízení</t>
  </si>
  <si>
    <t>116,04*0,5</t>
  </si>
  <si>
    <t>36</t>
  </si>
  <si>
    <t>273351216R00</t>
  </si>
  <si>
    <t>Bednění stěn základových desek - odstranění</t>
  </si>
  <si>
    <t>37</t>
  </si>
  <si>
    <t>279311115R00</t>
  </si>
  <si>
    <t>Postupné podbetonování zákl. zdiva  C 20/25</t>
  </si>
  <si>
    <t>pod stáv. základy ZŠ, v ceně není pažení a bedněn</t>
  </si>
  <si>
    <t>10*0,6*0,6</t>
  </si>
  <si>
    <t>předpoklad 10 bm</t>
  </si>
  <si>
    <t>38</t>
  </si>
  <si>
    <t>274351215RT1</t>
  </si>
  <si>
    <t>bednicí mat. prkna, podbet. stáv. základů ZŠ</t>
  </si>
  <si>
    <t>10*0,6</t>
  </si>
  <si>
    <t>předpoklad výměry</t>
  </si>
  <si>
    <t>39</t>
  </si>
  <si>
    <t>podbetonování stáv. základů ZŠ</t>
  </si>
  <si>
    <t>Zdi podpěrné a volné</t>
  </si>
  <si>
    <t>40</t>
  </si>
  <si>
    <t>311112330RT3</t>
  </si>
  <si>
    <t>Stěna z tvárnic ztraceného bednění, tl. 300 mm</t>
  </si>
  <si>
    <t>31_</t>
  </si>
  <si>
    <t>SO-01_3_</t>
  </si>
  <si>
    <t>zalití tvárnic betonem C 20/25 XC2</t>
  </si>
  <si>
    <t>3*10,8</t>
  </si>
  <si>
    <t>jih</t>
  </si>
  <si>
    <t>3*3,64*4+2,75*(3*2+7,38)</t>
  </si>
  <si>
    <t>východ</t>
  </si>
  <si>
    <t>3*4,925</t>
  </si>
  <si>
    <t>sever</t>
  </si>
  <si>
    <t>41</t>
  </si>
  <si>
    <t>274361032RX1</t>
  </si>
  <si>
    <t>Výztuž zdiva z tvár. ztrac. bed. 16 prutů/m2</t>
  </si>
  <si>
    <t>8 ks R10 vodorovně + 8 ks R12 svisle</t>
  </si>
  <si>
    <t>42</t>
  </si>
  <si>
    <t>953981104R00</t>
  </si>
  <si>
    <t>Chemické kotvy do betonu, R 16, dle statiky</t>
  </si>
  <si>
    <t>spojení žb sloupů a zdiva z tvár. ztrac. bed.</t>
  </si>
  <si>
    <t>11*12</t>
  </si>
  <si>
    <t>43</t>
  </si>
  <si>
    <t>311237441R00</t>
  </si>
  <si>
    <t>Zdivo z cihel příčně děrov., P10,  tl. 300 mm, na lepidlo</t>
  </si>
  <si>
    <t>dle TZ statiky, malta M5, vč. vyzdění svislých drážek</t>
  </si>
  <si>
    <t>vč. vyzdění svislých drážek</t>
  </si>
  <si>
    <t>1NP</t>
  </si>
  <si>
    <t>10,1*2,85-3,1*2,05-3,1*2,05</t>
  </si>
  <si>
    <t>2,85*(3,64*5+5,88)-1*2,5-2,1*2,5-1,5*2,5</t>
  </si>
  <si>
    <t>východ-1N05</t>
  </si>
  <si>
    <t>2NP</t>
  </si>
  <si>
    <t>3,7*(10,1+2,25)-1,2*2,4*4</t>
  </si>
  <si>
    <t>jižní stěna</t>
  </si>
  <si>
    <t>3,7*(0,3+3,64*3+1,13)</t>
  </si>
  <si>
    <t>východ - k tělocvičně</t>
  </si>
  <si>
    <t>3,7*(6,9+12)-1,5*2,4*6</t>
  </si>
  <si>
    <t>sever + západ</t>
  </si>
  <si>
    <t>2,85*(9,56+11,35+1,95)-1,55*2,85-1,5*1,35</t>
  </si>
  <si>
    <t>1N02/1N03+1N23+104</t>
  </si>
  <si>
    <t>stávající škola</t>
  </si>
  <si>
    <t>1*2,1*2+1,55*1,32*2</t>
  </si>
  <si>
    <t>115+201</t>
  </si>
  <si>
    <t>-1,5*1,35*3-0,95*2,05-1,85*2,85</t>
  </si>
  <si>
    <t>1N02/1N03+1N23+104-otvory</t>
  </si>
  <si>
    <t>2,85*(6,72+11,535+14,9+2,5+8,1+3,95)</t>
  </si>
  <si>
    <t>sever + zbývající stěny</t>
  </si>
  <si>
    <t>-5,3*1,15-1,6*1,15*2-1,5*2,85</t>
  </si>
  <si>
    <t>sever + zbýv. stěny- otvory</t>
  </si>
  <si>
    <t>-1,05*2,85*2-0,9*2,25*2-1,05*2,6</t>
  </si>
  <si>
    <t>44</t>
  </si>
  <si>
    <t>342948111RX1</t>
  </si>
  <si>
    <t>Ukotvení cihel. nosného zdiva ke sloupům kotvami na hmoždinky</t>
  </si>
  <si>
    <t>pásky ve spárách zdiva</t>
  </si>
  <si>
    <t>2,85*13</t>
  </si>
  <si>
    <t>3,7*8</t>
  </si>
  <si>
    <t>45</t>
  </si>
  <si>
    <t>317168134R00</t>
  </si>
  <si>
    <t>Překlad vysoký 70 x 238 x 2000 mm pro orientované uložení</t>
  </si>
  <si>
    <t>1NP- P2</t>
  </si>
  <si>
    <t>2NP-P11</t>
  </si>
  <si>
    <t>46</t>
  </si>
  <si>
    <t>317168133R00</t>
  </si>
  <si>
    <t>Překlad vysoký 70 x 238 x 1750 mm pro orientované uložení</t>
  </si>
  <si>
    <t>1NP-P3</t>
  </si>
  <si>
    <t>2NP-P9</t>
  </si>
  <si>
    <t>47</t>
  </si>
  <si>
    <t>317168132R00</t>
  </si>
  <si>
    <t>Překlad vysoký 70 x 238 x 1500 mm pro orientované uložení</t>
  </si>
  <si>
    <t>12+2</t>
  </si>
  <si>
    <t>1NP-P4+P18</t>
  </si>
  <si>
    <t>2NP-P17</t>
  </si>
  <si>
    <t>48</t>
  </si>
  <si>
    <t>317168131R00</t>
  </si>
  <si>
    <t>Překlad vysoký 70 x 238 x 1250 mm pro orientované uložení</t>
  </si>
  <si>
    <t>16+1+4</t>
  </si>
  <si>
    <t>1NP-P5+P8+P14</t>
  </si>
  <si>
    <t>2NP-P15</t>
  </si>
  <si>
    <t>49</t>
  </si>
  <si>
    <t>317168136R00</t>
  </si>
  <si>
    <t>Překlad vysoký 70 x 238 x 2500 mm pro orientované uložení</t>
  </si>
  <si>
    <t>1NP-P6</t>
  </si>
  <si>
    <t>317168130R00</t>
  </si>
  <si>
    <t>Překlad vysoký 70 x 238 x 1000 mm pro orientované uložení</t>
  </si>
  <si>
    <t>1NP-P7</t>
  </si>
  <si>
    <t>2NP-P16</t>
  </si>
  <si>
    <t>51</t>
  </si>
  <si>
    <t>317168138R00</t>
  </si>
  <si>
    <t>Překlad vysoký 70 x 238 x 3000 mm pro orientované uložení</t>
  </si>
  <si>
    <t>1NP-P12</t>
  </si>
  <si>
    <t>52</t>
  </si>
  <si>
    <t>317328112R00</t>
  </si>
  <si>
    <t>Překlad KP XL, š. 300 mm, délka 3,75 m</t>
  </si>
  <si>
    <t>1NP-P13</t>
  </si>
  <si>
    <t>53</t>
  </si>
  <si>
    <t>311237352R00</t>
  </si>
  <si>
    <t>Zdivo z cihel  AKU Z broušených P20, tl. 175 mm</t>
  </si>
  <si>
    <t>malta M10, příčně děrov. cihly</t>
  </si>
  <si>
    <t>2,85*(3,2+1,1)+3,7*1,09</t>
  </si>
  <si>
    <t>1N22+1N03+2N01</t>
  </si>
  <si>
    <t>54</t>
  </si>
  <si>
    <t>342948111R00</t>
  </si>
  <si>
    <t>Ukotvení AKU stěn k cihelné konstrukci kotvami na hmoždinky</t>
  </si>
  <si>
    <t>2,85*(3+2)+3,7*2</t>
  </si>
  <si>
    <t>55</t>
  </si>
  <si>
    <t>317100012RX1</t>
  </si>
  <si>
    <t>Dodatečná montáž překladu, otvor šířky do 180 cm</t>
  </si>
  <si>
    <t>překlad je ve specifikaci</t>
  </si>
  <si>
    <t>1NP-P1 - 1N04</t>
  </si>
  <si>
    <t>2NP-P10 - 2N01</t>
  </si>
  <si>
    <t>56</t>
  </si>
  <si>
    <t>593211RP1</t>
  </si>
  <si>
    <t>Překlad žel.bet. RZP 209/14/14, rozměr 2090 x140 x 140 mm, P1+P10</t>
  </si>
  <si>
    <t>P1 - 1N04</t>
  </si>
  <si>
    <t>P10 - 2N01</t>
  </si>
  <si>
    <t>57</t>
  </si>
  <si>
    <t>460680021RT3</t>
  </si>
  <si>
    <t>Průraz zdivem v cihlové zdi tloušťky 15 cm</t>
  </si>
  <si>
    <t>plochy do 0,09 m2</t>
  </si>
  <si>
    <t>1+1</t>
  </si>
  <si>
    <t>UT4+UT5 - dle výpisu prostupů</t>
  </si>
  <si>
    <t>58</t>
  </si>
  <si>
    <t>460680022RT3</t>
  </si>
  <si>
    <t>Průraz zdivem v cihlové zdi tloušťky 30 cm</t>
  </si>
  <si>
    <t>2+2</t>
  </si>
  <si>
    <t>DZT2+DZT3 - dle výpisu prostupů</t>
  </si>
  <si>
    <t>1+1+1+1+1+1</t>
  </si>
  <si>
    <t>VZT6+VZT7+UT1+UT2+UT3+UT4</t>
  </si>
  <si>
    <t>1+1+1</t>
  </si>
  <si>
    <t>UT5+UT6+UT7</t>
  </si>
  <si>
    <t>Sloupy a pilíře, stožáry a rámové stojky</t>
  </si>
  <si>
    <t>59</t>
  </si>
  <si>
    <t>334353111R00</t>
  </si>
  <si>
    <t>Bednění sloupů čtvercových pl. do 0,9 m2 zřízení</t>
  </si>
  <si>
    <t>33_</t>
  </si>
  <si>
    <t>0,5*4*7,8*12</t>
  </si>
  <si>
    <t>sloupy S1</t>
  </si>
  <si>
    <t>60</t>
  </si>
  <si>
    <t>334353211R00</t>
  </si>
  <si>
    <t>Bednění sloupů čtvercových pl.do 0,9 m2 odstranění</t>
  </si>
  <si>
    <t>61</t>
  </si>
  <si>
    <t>331361821R00</t>
  </si>
  <si>
    <t>Výztuž sloupů hranatých z betonářské oceli B500B (10 505)</t>
  </si>
  <si>
    <t>(772,8+883,2+144)*0,001</t>
  </si>
  <si>
    <t>sloupy S1 - pol. 17+18+23</t>
  </si>
  <si>
    <t>62</t>
  </si>
  <si>
    <t>330321411RXC2</t>
  </si>
  <si>
    <t>Beton sloupů a pilířů železový C 30/37 XC2</t>
  </si>
  <si>
    <t>0,4*0,4*7,8*12</t>
  </si>
  <si>
    <t>63</t>
  </si>
  <si>
    <t>331351108R00</t>
  </si>
  <si>
    <t>Příplatek za vzepření bednění při výšce 4 - 6 m</t>
  </si>
  <si>
    <t>64</t>
  </si>
  <si>
    <t>331351109R00</t>
  </si>
  <si>
    <t>Příplatek za vzepření bednění při výšce 6 - 10 m</t>
  </si>
  <si>
    <t>65</t>
  </si>
  <si>
    <t>331941024R00</t>
  </si>
  <si>
    <t>Svary sloupů, betonářské oceli, D tyče do 22 mm</t>
  </si>
  <si>
    <t>napojení na výztuž ze základů</t>
  </si>
  <si>
    <t>0,7*8*12</t>
  </si>
  <si>
    <t>sloupy S1- výztuž 17+23</t>
  </si>
  <si>
    <t>Stěny a příčky</t>
  </si>
  <si>
    <t>66</t>
  </si>
  <si>
    <t>342247542R00</t>
  </si>
  <si>
    <t>Příčky z cihel P10 broušených, na lepidlo, tl. 140 mm</t>
  </si>
  <si>
    <t>34_</t>
  </si>
  <si>
    <t>v ceně jsou drážky a výklenky + řezání</t>
  </si>
  <si>
    <t>2,85*3,95</t>
  </si>
  <si>
    <t>1NP - 1N07</t>
  </si>
  <si>
    <t>2,85*5,78*2-0,8*1,97*2</t>
  </si>
  <si>
    <t>1N08+1N09</t>
  </si>
  <si>
    <t>2,85*1,9</t>
  </si>
  <si>
    <t>1N13</t>
  </si>
  <si>
    <t>3,7*(6,9+3,2)-0,9*1,97</t>
  </si>
  <si>
    <t>67</t>
  </si>
  <si>
    <t>342247522R00</t>
  </si>
  <si>
    <t>Příčky z cihel broušených, na lepidlo, tl. 80 mm</t>
  </si>
  <si>
    <t>2,85*(4,235+3,435+0,9*2)-0,9*2,4</t>
  </si>
  <si>
    <t>1N11+1N13</t>
  </si>
  <si>
    <t>2,85*(7,42+2,25*2)+0,2*0,9*2-1,97*(0,9+0,7*2)</t>
  </si>
  <si>
    <t>1N14-20</t>
  </si>
  <si>
    <t>3,7*2,65-0,7*1,97*2</t>
  </si>
  <si>
    <t>68</t>
  </si>
  <si>
    <t>Ukotvení příček k cihelné konstrukci kotvami na hmoždinky</t>
  </si>
  <si>
    <t>2,85*22</t>
  </si>
  <si>
    <t>2,1*2*2+1,32*2*2</t>
  </si>
  <si>
    <t>dozdívky ve stáv. ZŠ 115+201</t>
  </si>
  <si>
    <t>69</t>
  </si>
  <si>
    <t>347016233R00</t>
  </si>
  <si>
    <t>Předstěna SDK, tl. 125 mm, ocel. kce CW, 2x RBI 12,5 mm, bez izolace</t>
  </si>
  <si>
    <t>pro závěsné klozety</t>
  </si>
  <si>
    <t>1,25*1,2*2</t>
  </si>
  <si>
    <t>2N04+2N06</t>
  </si>
  <si>
    <t>0,85*1,2*3</t>
  </si>
  <si>
    <t>1N15+17+19</t>
  </si>
  <si>
    <t>70</t>
  </si>
  <si>
    <t>347016221R00</t>
  </si>
  <si>
    <t>Předstěna SDK, tl. 100 mm, ocel. kce CW, 2x RB 12,5 mm, bez izolace</t>
  </si>
  <si>
    <t>zakrytí stoupaček</t>
  </si>
  <si>
    <t>(1,15+0,3*2)*7,45</t>
  </si>
  <si>
    <t>1N05 - UT4</t>
  </si>
  <si>
    <t>(0,8+0,3)*3,7</t>
  </si>
  <si>
    <t>1N02</t>
  </si>
  <si>
    <t>71</t>
  </si>
  <si>
    <t>342267111RT3</t>
  </si>
  <si>
    <t>Obklad trámů sádrokartonem dvoustranný do 0,5/0,5m</t>
  </si>
  <si>
    <t>zakrytí svislé + vodorovné, desky RBI tl. 12,5 mm</t>
  </si>
  <si>
    <t>3,7*2</t>
  </si>
  <si>
    <t>2N04+2N02  stoupačky</t>
  </si>
  <si>
    <t>3,775</t>
  </si>
  <si>
    <t>1N10 - vedení pod stropem</t>
  </si>
  <si>
    <t>13,65+2,51</t>
  </si>
  <si>
    <t>1N01 až 1N03 - pod stropem</t>
  </si>
  <si>
    <t>72</t>
  </si>
  <si>
    <t>342267111RT5</t>
  </si>
  <si>
    <t>Obklad trámů sádrokartonem dvoustranný nad 0,5/0,5m</t>
  </si>
  <si>
    <t>zakrytí vodor. vedení</t>
  </si>
  <si>
    <t>10,85*2</t>
  </si>
  <si>
    <t>2N02  vedení pod stropem</t>
  </si>
  <si>
    <t>73</t>
  </si>
  <si>
    <t>342267112RT1</t>
  </si>
  <si>
    <t>Obklad trámů sádrokartonem třístranný do 0,5/0,5 m</t>
  </si>
  <si>
    <t>zakrytí stoupaček, desky RB tl. 12,5 mm</t>
  </si>
  <si>
    <t>2,85*3</t>
  </si>
  <si>
    <t>1N02+1N14 - stoupačky</t>
  </si>
  <si>
    <t>7,45*2+2,85</t>
  </si>
  <si>
    <t>1N05+1N06 - stoupačky</t>
  </si>
  <si>
    <t>3,7</t>
  </si>
  <si>
    <t>2N02 - stoupačka DZT1</t>
  </si>
  <si>
    <t>74</t>
  </si>
  <si>
    <t>346971152R00</t>
  </si>
  <si>
    <t>Izolace, desky z min. plsti tl. 40 mm, SDK předstěny + obklady</t>
  </si>
  <si>
    <t>vložení do SDK konstrukcí</t>
  </si>
  <si>
    <t>2N04+2N06-předstěny</t>
  </si>
  <si>
    <t>1N15+17+19-předstěny</t>
  </si>
  <si>
    <t>1N05 - UT4-předstěny</t>
  </si>
  <si>
    <t>1N02-předstěny</t>
  </si>
  <si>
    <t>27,34+21,7*1,2+30</t>
  </si>
  <si>
    <t>obklady trámů</t>
  </si>
  <si>
    <t>75</t>
  </si>
  <si>
    <t>342263998RT1</t>
  </si>
  <si>
    <t>Příplatek k příčce sádrokart. za plochu do 5 m2 - předstěny</t>
  </si>
  <si>
    <t>pro plochy do 2 m2</t>
  </si>
  <si>
    <t>76</t>
  </si>
  <si>
    <t>342263410R00</t>
  </si>
  <si>
    <t>Osazení revizních dvířek do SDK, do 0,25 m2, Z39</t>
  </si>
  <si>
    <t>dle výpisu prvků</t>
  </si>
  <si>
    <t>Z39</t>
  </si>
  <si>
    <t>77</t>
  </si>
  <si>
    <t>553476603</t>
  </si>
  <si>
    <t>Dvířka revizní do SDK 500 x 500 mm, Z39</t>
  </si>
  <si>
    <t>Z39, dle výpisu prvků</t>
  </si>
  <si>
    <t>78</t>
  </si>
  <si>
    <t>342172052R00</t>
  </si>
  <si>
    <t>Montáž stěn.panelů, lem.prvky složité</t>
  </si>
  <si>
    <t>lemování oken</t>
  </si>
  <si>
    <t>(3,64+1,2)*2*4</t>
  </si>
  <si>
    <t>79</t>
  </si>
  <si>
    <t>342172051R00</t>
  </si>
  <si>
    <t>Montáž stěn.panelů, lem.prvky jednoduché</t>
  </si>
  <si>
    <t>6+12,01*2</t>
  </si>
  <si>
    <t>západ</t>
  </si>
  <si>
    <t>4,8*2+21,01*2</t>
  </si>
  <si>
    <t>6*2+1,2*2+21,01*2</t>
  </si>
  <si>
    <t>80</t>
  </si>
  <si>
    <t>342173137R00</t>
  </si>
  <si>
    <t>Montáž fasádních panelů do betonu,stěna jednod., min. tl.150 mm</t>
  </si>
  <si>
    <t>typ + provedení dle TZ</t>
  </si>
  <si>
    <t>72,1+72,1</t>
  </si>
  <si>
    <t>východ + západ</t>
  </si>
  <si>
    <t>43+12,6</t>
  </si>
  <si>
    <t>81</t>
  </si>
  <si>
    <t>342173237R00</t>
  </si>
  <si>
    <t>Montáž fasádních panelů do betonu,stěna složitá, min. tl.150 mm</t>
  </si>
  <si>
    <t>126,1</t>
  </si>
  <si>
    <t>82</t>
  </si>
  <si>
    <t>6121042RX1</t>
  </si>
  <si>
    <t>Panel sendvičový stěnový s kovovým pláštěm, min. vata tl. 150 mm</t>
  </si>
  <si>
    <t>dodávka</t>
  </si>
  <si>
    <t>325,9*0,15</t>
  </si>
  <si>
    <t>ztratné 15%</t>
  </si>
  <si>
    <t>83</t>
  </si>
  <si>
    <t>Příčky z cihel broušených, na lepidlo, tl. 140 mm - atiky</t>
  </si>
  <si>
    <t>atiky</t>
  </si>
  <si>
    <t>0,25*(6,36+2,11)</t>
  </si>
  <si>
    <t>S12 střecha</t>
  </si>
  <si>
    <t>0,25*2,11+1,08*2,11</t>
  </si>
  <si>
    <t>S9</t>
  </si>
  <si>
    <t>0,25*(7,38+2,945*2)</t>
  </si>
  <si>
    <t>S6 - 1NP - nářaďovna</t>
  </si>
  <si>
    <t>0,25*(2,95+14,925+11,24+6,515)</t>
  </si>
  <si>
    <t>S6 - 1NP - ostatní střechy</t>
  </si>
  <si>
    <t>0,25*(0,4+10,1+2,15+2,75+12,25+7)</t>
  </si>
  <si>
    <t>S6 - 2NP</t>
  </si>
  <si>
    <t>84</t>
  </si>
  <si>
    <t>342948112R00</t>
  </si>
  <si>
    <t>Ukotvení příček k betonové desce přistřelenými kotvami - atiky</t>
  </si>
  <si>
    <t>vč. kotevních pásků nerez</t>
  </si>
  <si>
    <t>atikové zdivo</t>
  </si>
  <si>
    <t>6,36+2,11</t>
  </si>
  <si>
    <t>2,11+2,11</t>
  </si>
  <si>
    <t>7,38+2,945*2</t>
  </si>
  <si>
    <t>2,95+14,925+11,24+6,515</t>
  </si>
  <si>
    <t>0,4+10,1+2,15+2,75+12,25+7</t>
  </si>
  <si>
    <t>85</t>
  </si>
  <si>
    <t>342115528R00</t>
  </si>
  <si>
    <t>Příčka SDVK tl.150 mm,dřev.kce,oplášť 15+15 mm, ÚT8-10</t>
  </si>
  <si>
    <t>překrytí rozvaděče ÚT</t>
  </si>
  <si>
    <t>1,25*1,5</t>
  </si>
  <si>
    <t>ÚT8+ÚT9+ÚT10 -zakrytování</t>
  </si>
  <si>
    <t>86</t>
  </si>
  <si>
    <t>346244371RT2</t>
  </si>
  <si>
    <t>Zazdívka kapes cihlami tl. 14 cm, S12 - OK</t>
  </si>
  <si>
    <t>s použitím suché maltové směsi</t>
  </si>
  <si>
    <t>(6+4)*0,3*0,3*2</t>
  </si>
  <si>
    <t>pro OK trapéz. stropu nad 1N04</t>
  </si>
  <si>
    <t>87</t>
  </si>
  <si>
    <t>342263310RX1</t>
  </si>
  <si>
    <t>Úprava sádrokartonové příčky pro osazení  WC</t>
  </si>
  <si>
    <t>předstěny</t>
  </si>
  <si>
    <t>Stropy a stropní konstrukce (pro pozemní stavby)</t>
  </si>
  <si>
    <t>88</t>
  </si>
  <si>
    <t>413321515R00</t>
  </si>
  <si>
    <t>Nosníky z betonu železového C 30/37 XC2</t>
  </si>
  <si>
    <t>41_</t>
  </si>
  <si>
    <t>SO-01_4_</t>
  </si>
  <si>
    <t>0,4*1,0*10,8*6</t>
  </si>
  <si>
    <t>P22+P23</t>
  </si>
  <si>
    <t>0,4*0,5*29,08</t>
  </si>
  <si>
    <t>P21</t>
  </si>
  <si>
    <t>0,3*0,25*5,9</t>
  </si>
  <si>
    <t>P11</t>
  </si>
  <si>
    <t>0,3*0,3*8,48</t>
  </si>
  <si>
    <t>P12</t>
  </si>
  <si>
    <t>89</t>
  </si>
  <si>
    <t>413361821R00</t>
  </si>
  <si>
    <t>Výztuž nosníků z betonářské oceli B500B (10 505)</t>
  </si>
  <si>
    <t>(66,8+569,9+3123,5)*0,001</t>
  </si>
  <si>
    <t>P21+P22+P23</t>
  </si>
  <si>
    <t>(91,2+112,5)*0,001</t>
  </si>
  <si>
    <t>P11+P12</t>
  </si>
  <si>
    <t>3,9639*0,05</t>
  </si>
  <si>
    <t>dist. ocel + ztratné</t>
  </si>
  <si>
    <t>90</t>
  </si>
  <si>
    <t>413351107R00</t>
  </si>
  <si>
    <t>Bednění nosníků - zřízení</t>
  </si>
  <si>
    <t>(0,4+0,25*2+1*2)*10,8*6</t>
  </si>
  <si>
    <t>strop tělocvičny P22+P23</t>
  </si>
  <si>
    <t>(0,4+0,25*2+0,5+0,7)*29,08</t>
  </si>
  <si>
    <t>(0,3+0,25*2+0,5+0,5)*5,9</t>
  </si>
  <si>
    <t>(0,3+0,25*2+0,5+0,55)*8,48</t>
  </si>
  <si>
    <t>91</t>
  </si>
  <si>
    <t>413351108R00</t>
  </si>
  <si>
    <t>Bednění nosníků - odstranění</t>
  </si>
  <si>
    <t>92</t>
  </si>
  <si>
    <t>413351219R00</t>
  </si>
  <si>
    <t>Podpěrná konstr.nosníků do 4 m,do 45 kPa - zřízení</t>
  </si>
  <si>
    <t>průvlaky v tělocvičně</t>
  </si>
  <si>
    <t>(0,4+0,25*2)*10,8*6</t>
  </si>
  <si>
    <t>(0,4+0,25*2)*29,08</t>
  </si>
  <si>
    <t>(0,3+0,25*2)*5,9</t>
  </si>
  <si>
    <t>(0,3+0,25*2)*8,48</t>
  </si>
  <si>
    <t>93</t>
  </si>
  <si>
    <t>413351220R00</t>
  </si>
  <si>
    <t>Podpěrná konstr.nosníků do 4 m,45 kPa - odstranění</t>
  </si>
  <si>
    <t>(0,4+2*0,25)*10,8*6</t>
  </si>
  <si>
    <t>(0,4+2*0,25)*29,08</t>
  </si>
  <si>
    <t>94</t>
  </si>
  <si>
    <t>413351239R00</t>
  </si>
  <si>
    <t>Příplatek k podpěr. kci nosníků 45 kPa - zřízení</t>
  </si>
  <si>
    <t>za výšku nad 4 m</t>
  </si>
  <si>
    <t>95</t>
  </si>
  <si>
    <t>413351240R00</t>
  </si>
  <si>
    <t>Příplatek k podpěr. kci nosníků 45 kPa -odstranění</t>
  </si>
  <si>
    <t>96</t>
  </si>
  <si>
    <t>411321515R00</t>
  </si>
  <si>
    <t>Stropy deskové ze železobetonu C 30/37 XC2</t>
  </si>
  <si>
    <t>11,6*20,6*0,2</t>
  </si>
  <si>
    <t>strop + 7,2, deska D21</t>
  </si>
  <si>
    <t>(14,25*7,5+2,6*2,25-1*1,5*8)*0,28</t>
  </si>
  <si>
    <t>strop + 6,55,  deska D22</t>
  </si>
  <si>
    <t>(7,5*16,98-0,3*0,86+2,6*2,25)*0,25</t>
  </si>
  <si>
    <t>strop +2,6, deska D11</t>
  </si>
  <si>
    <t>3,92*4,55*0,25</t>
  </si>
  <si>
    <t>strop +2,6, deska D12</t>
  </si>
  <si>
    <t>10,525*(7,065+10,95)*0,5*0,25</t>
  </si>
  <si>
    <t>strop +2,6, deska D13</t>
  </si>
  <si>
    <t>3,6*7,38*0,25</t>
  </si>
  <si>
    <t>strop +2,6, deska D14</t>
  </si>
  <si>
    <t>97</t>
  </si>
  <si>
    <t>411361821R00</t>
  </si>
  <si>
    <t>Výztuž stropů z betonářské oceli B500B (10 505)</t>
  </si>
  <si>
    <t>7093*0,001</t>
  </si>
  <si>
    <t>D21+D22 (+6,55 a +7,2) bez průvlaků</t>
  </si>
  <si>
    <t>8801*0,001</t>
  </si>
  <si>
    <t>D12 - D14, bez průvlaků a věnce</t>
  </si>
  <si>
    <t>0,4*5,76*11*1,1*0,001</t>
  </si>
  <si>
    <t>deska nad 1N04</t>
  </si>
  <si>
    <t>15,894*0,1</t>
  </si>
  <si>
    <t>98</t>
  </si>
  <si>
    <t>411351801R00</t>
  </si>
  <si>
    <t>Bednění čel stropních desek, zřízení</t>
  </si>
  <si>
    <t>(11,6+20,6)*2*0,5</t>
  </si>
  <si>
    <t>((14,25+7,5+2,6)*2+(1+1,5)*2*8)*0,5</t>
  </si>
  <si>
    <t>((10,1+16,98)*2-4,55)*0,5</t>
  </si>
  <si>
    <t>3,92*2*0,5</t>
  </si>
  <si>
    <t>(11,215+7,065+5,88+10,94)*0,5</t>
  </si>
  <si>
    <t>(3,6+7,38)*2*0,5</t>
  </si>
  <si>
    <t>99</t>
  </si>
  <si>
    <t>411351802R00</t>
  </si>
  <si>
    <t>Bednění čel stropních desek, odstranění</t>
  </si>
  <si>
    <t>100</t>
  </si>
  <si>
    <t>411351205R00</t>
  </si>
  <si>
    <t>Bednění stropů deskových, podepření výšky do 3,5 m, zatížení do 12 kPa</t>
  </si>
  <si>
    <t>6,9*16,38-0,3*2,09+2,6*1,95</t>
  </si>
  <si>
    <t>3,92*3,95</t>
  </si>
  <si>
    <t>27,95+52,83</t>
  </si>
  <si>
    <t>3,0*6,78</t>
  </si>
  <si>
    <t>101</t>
  </si>
  <si>
    <t>411351206R00</t>
  </si>
  <si>
    <t>Odstranění stropů deskových, podepření výšky do 3,5 m, zatížení do 12 kPa</t>
  </si>
  <si>
    <t>102</t>
  </si>
  <si>
    <t>411351213RX1</t>
  </si>
  <si>
    <t>Bednění stropů deskových, podepření výšky do 7,5 m, zatížení do 10 kPa</t>
  </si>
  <si>
    <t>3,64*(10,8*2+10,9*3)</t>
  </si>
  <si>
    <t>deska D21</t>
  </si>
  <si>
    <t>6,9*13,65+2,6*1,78</t>
  </si>
  <si>
    <t>deska D22</t>
  </si>
  <si>
    <t>103</t>
  </si>
  <si>
    <t>411351214RX1</t>
  </si>
  <si>
    <t>Odstranění bed. stropů deskových, podep. výšky do 7,5 m, zat. do 10 kPa</t>
  </si>
  <si>
    <t>104</t>
  </si>
  <si>
    <t>411351902R00</t>
  </si>
  <si>
    <t>Bednění prostupů ve strop. deskách plochy do 0,25 m2</t>
  </si>
  <si>
    <t>dle výpisu prostupů, vč. odstranění</t>
  </si>
  <si>
    <t>deska D21 -VZT2</t>
  </si>
  <si>
    <t>deska D13 - světlovody Z24</t>
  </si>
  <si>
    <t>105</t>
  </si>
  <si>
    <t>411351901R00</t>
  </si>
  <si>
    <t>Bednění prostupů ve strop. deskách plochy do 0,06 m2, vč. odstranění</t>
  </si>
  <si>
    <t>dle výpisu prostupů, tvar nad 2NP</t>
  </si>
  <si>
    <t>2+4+14+10+2</t>
  </si>
  <si>
    <t>VZT1+VZT4+VZT5+DZT1+ZTI1</t>
  </si>
  <si>
    <t>106</t>
  </si>
  <si>
    <t>dle výpisu prostupů, tvar nad 1NP</t>
  </si>
  <si>
    <t>1+1+1+6+4</t>
  </si>
  <si>
    <t>ÚT1+ÚT2-ÚT3+DZT1+ZTI1</t>
  </si>
  <si>
    <t>ZTI3</t>
  </si>
  <si>
    <t>107</t>
  </si>
  <si>
    <t>417321415R00</t>
  </si>
  <si>
    <t>Ztužující pásy a věnce z betonu železového C 30/37</t>
  </si>
  <si>
    <t>0,25*0,25*14,6</t>
  </si>
  <si>
    <t>věnec V11 - 1NP</t>
  </si>
  <si>
    <t>108</t>
  </si>
  <si>
    <t>417361821R00</t>
  </si>
  <si>
    <t>Výztuž ztužujících pásů a věnců z oceli B500B (10 505)</t>
  </si>
  <si>
    <t>94,6*0,001</t>
  </si>
  <si>
    <t>0,0946*0,1</t>
  </si>
  <si>
    <t>109</t>
  </si>
  <si>
    <t>417351111R00</t>
  </si>
  <si>
    <t>Bednění ztužujících věnců, obě strany - zřízení</t>
  </si>
  <si>
    <t>14,6</t>
  </si>
  <si>
    <t>110</t>
  </si>
  <si>
    <t>417351113R00</t>
  </si>
  <si>
    <t>Bednění ztužujících věnců, obě strany - odstranění</t>
  </si>
  <si>
    <t>111</t>
  </si>
  <si>
    <t>416021123R00</t>
  </si>
  <si>
    <t>Podhledy SDK, kovová.kce CD. 1x deska RBI 12,5 mm</t>
  </si>
  <si>
    <t>1N04</t>
  </si>
  <si>
    <t>6,5</t>
  </si>
  <si>
    <t>1N11</t>
  </si>
  <si>
    <t>1N15</t>
  </si>
  <si>
    <t>1N16</t>
  </si>
  <si>
    <t>1,7</t>
  </si>
  <si>
    <t>1N17</t>
  </si>
  <si>
    <t>1N18</t>
  </si>
  <si>
    <t>1N19</t>
  </si>
  <si>
    <t>3,6</t>
  </si>
  <si>
    <t>1N20</t>
  </si>
  <si>
    <t>2N03</t>
  </si>
  <si>
    <t>2,1</t>
  </si>
  <si>
    <t>2N04</t>
  </si>
  <si>
    <t>2N05</t>
  </si>
  <si>
    <t>2N06</t>
  </si>
  <si>
    <t>112</t>
  </si>
  <si>
    <t>416091081R00</t>
  </si>
  <si>
    <t>Příplatek k podhledu sádrokart. za plochu do 2 m2</t>
  </si>
  <si>
    <t>113</t>
  </si>
  <si>
    <t>416091082R00</t>
  </si>
  <si>
    <t>Příplatek k podhledu sádrokart. za plochu do 5 m2</t>
  </si>
  <si>
    <t>114</t>
  </si>
  <si>
    <t>416091083R00</t>
  </si>
  <si>
    <t>Příplatek k podhledu sádrokart. za plochu do 10 m2</t>
  </si>
  <si>
    <t>115</t>
  </si>
  <si>
    <t>416061611H01</t>
  </si>
  <si>
    <t>Kazetový podhled 600x600 mm akustický, H01</t>
  </si>
  <si>
    <t>dle výpisu povrchů,</t>
  </si>
  <si>
    <t>vč. vaty 50 mm atd. dle výpisu</t>
  </si>
  <si>
    <t>14,3+74,8</t>
  </si>
  <si>
    <t>H01 - 2N01+2N02</t>
  </si>
  <si>
    <t>116</t>
  </si>
  <si>
    <t>416091071H01</t>
  </si>
  <si>
    <t>Kazet. podhled-přípl. za opláštění ostění střeš. okna, H01</t>
  </si>
  <si>
    <t>vč. dod. materiálu</t>
  </si>
  <si>
    <t>H01 - 2N02</t>
  </si>
  <si>
    <t>117</t>
  </si>
  <si>
    <t>417320034RAA</t>
  </si>
  <si>
    <t>Ztužující věnec ŽB beton C 20/25, 15 x 25 cm - atiky</t>
  </si>
  <si>
    <t>bednění, výztuž= 4xR10+ třm R6 po 25 cm</t>
  </si>
  <si>
    <t>atiky, spádovány dovnitř 5%</t>
  </si>
  <si>
    <t>118</t>
  </si>
  <si>
    <t>411354256R00</t>
  </si>
  <si>
    <t>Bednění stropů zabud. z ocel. trapéz. plechů poz. vlna 50 mm tl. 1,0 mm, S12</t>
  </si>
  <si>
    <t>S12-1N04</t>
  </si>
  <si>
    <t>119</t>
  </si>
  <si>
    <t>411322525R00</t>
  </si>
  <si>
    <t>Stropy trámové ze železobetonu C 30/37 XC2</t>
  </si>
  <si>
    <t>trapézový strop</t>
  </si>
  <si>
    <t>10*0,13</t>
  </si>
  <si>
    <t>S12-strop nad 1N04</t>
  </si>
  <si>
    <t>120</t>
  </si>
  <si>
    <t>411354173R00</t>
  </si>
  <si>
    <t>Podpěrná konstrukce bednění stropů výšky do 4 m, zatížení do 12 kPa - zřízení</t>
  </si>
  <si>
    <t>121</t>
  </si>
  <si>
    <t>411354174R00</t>
  </si>
  <si>
    <t>Podpěrná konstrukce bednění stropů výšky do 4 m, zatížení do 12 kPa - odstranění</t>
  </si>
  <si>
    <t>122</t>
  </si>
  <si>
    <t>411361921RT4</t>
  </si>
  <si>
    <t>Výztuž stropů svařovanou sítí, S12</t>
  </si>
  <si>
    <t>průměr drátu  6,0, oka 100/100 mm KH30</t>
  </si>
  <si>
    <t>4,44*10*1,3*0,001*1,1</t>
  </si>
  <si>
    <t>S12, strop nad 1N04</t>
  </si>
  <si>
    <t>Schodiště</t>
  </si>
  <si>
    <t>123</t>
  </si>
  <si>
    <t>430000000RAB</t>
  </si>
  <si>
    <t>Stupeň betonový 30 x 15 cm, včetně bednění</t>
  </si>
  <si>
    <t>43_</t>
  </si>
  <si>
    <t>na točitém schodišti</t>
  </si>
  <si>
    <t>1,51*3+1,53+1,6</t>
  </si>
  <si>
    <t>2N01</t>
  </si>
  <si>
    <t>Kryty pozemních komunikací, letišť a ploch dlážděných (předlažby)</t>
  </si>
  <si>
    <t>124</t>
  </si>
  <si>
    <t>564861111RT3</t>
  </si>
  <si>
    <t>Podklad ze štěrkodrti po zhutnění tloušťky 20 cm, P05-S15</t>
  </si>
  <si>
    <t>59_</t>
  </si>
  <si>
    <t>SO-01_5_</t>
  </si>
  <si>
    <t>štěrkodrť frakce 16-32 mm</t>
  </si>
  <si>
    <t>P05-S15</t>
  </si>
  <si>
    <t>1,85*14,19-0,8*0,55*2+3,4*1,74</t>
  </si>
  <si>
    <t>S15-chodník od ulice</t>
  </si>
  <si>
    <t>2,04*1+0,6*0,96</t>
  </si>
  <si>
    <t>S15 - zadní vstup</t>
  </si>
  <si>
    <t>9+15+28,5</t>
  </si>
  <si>
    <t>1N22+1N23+1N24</t>
  </si>
  <si>
    <t>125</t>
  </si>
  <si>
    <t>596215021R00</t>
  </si>
  <si>
    <t>Kladení zámkové dlažby tl. 6 cm do drtě tl. 4 cm, P05-S15</t>
  </si>
  <si>
    <t>126</t>
  </si>
  <si>
    <t>596291111R00</t>
  </si>
  <si>
    <t>Řezání zámkové dlažby tl. 60 mm, P05-S15</t>
  </si>
  <si>
    <t>12,6+10,8+17,4</t>
  </si>
  <si>
    <t>1,85+14,19+3,4+1+2,2</t>
  </si>
  <si>
    <t>S15-chodník do ulice</t>
  </si>
  <si>
    <t>127</t>
  </si>
  <si>
    <t>5924511900</t>
  </si>
  <si>
    <t>Dlažba betonová 200 x 200 x 60 mm přírodní, P05-S15</t>
  </si>
  <si>
    <t>101,40*0,07</t>
  </si>
  <si>
    <t>ztratné 7%</t>
  </si>
  <si>
    <t>128</t>
  </si>
  <si>
    <t>597103112RT1</t>
  </si>
  <si>
    <t>Montáž vpusti</t>
  </si>
  <si>
    <t>včetně obetonování C 12/15</t>
  </si>
  <si>
    <t>1N23+1N24+uliční vchod</t>
  </si>
  <si>
    <t>129</t>
  </si>
  <si>
    <t>998223011R00</t>
  </si>
  <si>
    <t>Přesun hmot, pozemní komunikace, kryt dlážděný</t>
  </si>
  <si>
    <t>Úprava povrchů vnitřní</t>
  </si>
  <si>
    <t>130</t>
  </si>
  <si>
    <t>612421637R00</t>
  </si>
  <si>
    <t>Omítka vnitřní zdiva, MVC, štuková</t>
  </si>
  <si>
    <t>61_</t>
  </si>
  <si>
    <t>SO-01_6_</t>
  </si>
  <si>
    <t>2,6*((2,2+5,15)*2-4,65)-0,5*1,77-1,45*2,15</t>
  </si>
  <si>
    <t>1N01</t>
  </si>
  <si>
    <t>-2,7*1,6</t>
  </si>
  <si>
    <t>2,6*((13,65+6,9)*2-4,65-1)</t>
  </si>
  <si>
    <t>-1,1*0,9*3-0,55*1,6</t>
  </si>
  <si>
    <t>2,6*((2,51+7,2)*2-1,46)-0,6*2,15-2,1*2,05</t>
  </si>
  <si>
    <t>1N03</t>
  </si>
  <si>
    <t>2,6*((2,43+5,76)*2-1,7)-1,5*0,9</t>
  </si>
  <si>
    <t>4,45*(20+11)*2-3,64*2,3-1,8*1,9</t>
  </si>
  <si>
    <t>1N05</t>
  </si>
  <si>
    <t>2,6*(6,78+3*2+2,74+0,7</t>
  </si>
  <si>
    <t>1N06</t>
  </si>
  <si>
    <t>2,6*(3,99+3,95)*2-0,5*2,1</t>
  </si>
  <si>
    <t>1N07</t>
  </si>
  <si>
    <t>2,6*(2,6*2+1,5)-2,15*1,5</t>
  </si>
  <si>
    <t>1N08</t>
  </si>
  <si>
    <t>2,6*(3,275*2+1,5)-0,8*1,97*2-1,05*2</t>
  </si>
  <si>
    <t>1N09</t>
  </si>
  <si>
    <t>2,6*(3,435+3,775)-0,8*1,97*2-0,7*2,3</t>
  </si>
  <si>
    <t>1N10</t>
  </si>
  <si>
    <t>2,6*(2,845+3,775+4,235+4,02)</t>
  </si>
  <si>
    <t>1N12</t>
  </si>
  <si>
    <t>-0,8*1,97*2-0,7*2,3</t>
  </si>
  <si>
    <t>2,6*(6,69+1,5)*2-0,7*1,97*3</t>
  </si>
  <si>
    <t>1N14</t>
  </si>
  <si>
    <t>-0,9*1,97-0,5*1,82*2-0,65*1,8-1,5*1,97</t>
  </si>
  <si>
    <t>3,4*(2,65+6,2)*2-0,8*1,95*3-0,9*1,97</t>
  </si>
  <si>
    <t>-0,7*1,97*2</t>
  </si>
  <si>
    <t>3,4*(10,85+6,9)*2-1,1*1,95*3</t>
  </si>
  <si>
    <t>2N02</t>
  </si>
  <si>
    <t>-0,9*1,97-1,1*1,95*3</t>
  </si>
  <si>
    <t>0,7*(3,2+1,25)*2</t>
  </si>
  <si>
    <t>2N03+2N04</t>
  </si>
  <si>
    <t>1,15*(3,2+1,25)*2-1,2*0,85</t>
  </si>
  <si>
    <t>2N05+2N06</t>
  </si>
  <si>
    <t>úpravy ve stáv. škole</t>
  </si>
  <si>
    <t>131</t>
  </si>
  <si>
    <t>602021147RX1</t>
  </si>
  <si>
    <t>Omítka stěn vyrovnávací, ručně</t>
  </si>
  <si>
    <t>vyrovnání starého zdiva do 2 cm</t>
  </si>
  <si>
    <t>1N04, před novou omítkou</t>
  </si>
  <si>
    <t>132</t>
  </si>
  <si>
    <t>612481270R00</t>
  </si>
  <si>
    <t>Síťovina pro vyztužení jádrové omítky, oka 10/10 mm</t>
  </si>
  <si>
    <t>D+M</t>
  </si>
  <si>
    <t>přechody materiálů</t>
  </si>
  <si>
    <t>133</t>
  </si>
  <si>
    <t>612421626R00</t>
  </si>
  <si>
    <t>Omítka vnitřní zdiva, MVC, hladká</t>
  </si>
  <si>
    <t>podklad pro ker. obklady</t>
  </si>
  <si>
    <t>(3,435+1,9+0,9)*2*2,4-(0,9+0,18)*2,4-1,6*0,9</t>
  </si>
  <si>
    <t>(4,235+1,9)*2*2,4-(0,9+0,18)*2,4-1,6*0,9</t>
  </si>
  <si>
    <t>(1,8+2,25)*2*2,6-0,9*1,97-0,85*0,9-0,15*1,2</t>
  </si>
  <si>
    <t>(1,65+2,25)*2*2,6-0,7*1,97-1,65*0,9-0,15*1,2</t>
  </si>
  <si>
    <t>1N16+1N17</t>
  </si>
  <si>
    <t>(2,9+2,25+3,73+2,4)*2,6-0,7*1,97-2,6*0,9-0,15*1,2</t>
  </si>
  <si>
    <t>1N18+1N19+1N20</t>
  </si>
  <si>
    <t>(1,485+1,5+0,935+1,6)*2,6-0,7*1,97</t>
  </si>
  <si>
    <t>1N21</t>
  </si>
  <si>
    <t>(1,25+3,2)*2*2-0,7*1,97-0,2*2*2-0,15*1,2</t>
  </si>
  <si>
    <t>(1,25+3,2)*2*2-0,7*1,97-0,15*1,2*2</t>
  </si>
  <si>
    <t>134</t>
  </si>
  <si>
    <t>612425931RT2</t>
  </si>
  <si>
    <t>Omítka vápenná vnitřního ostění - štuková</t>
  </si>
  <si>
    <t>0,9*0,23*6</t>
  </si>
  <si>
    <t>u Z13-1N15 až 1N20</t>
  </si>
  <si>
    <t>135</t>
  </si>
  <si>
    <t>610991004R00</t>
  </si>
  <si>
    <t>Začišťovací okenní lišta pro vnitř.omítku</t>
  </si>
  <si>
    <t>3,1+2*1,8+(1,2+2,15*2)*4</t>
  </si>
  <si>
    <t>pohled východní</t>
  </si>
  <si>
    <t>5,3+0,9*2</t>
  </si>
  <si>
    <t>pohled severní</t>
  </si>
  <si>
    <t>1,05+2,35*2+(1,5+2,15*2)*3</t>
  </si>
  <si>
    <t>pohled západní</t>
  </si>
  <si>
    <t>1,05+2,35*2</t>
  </si>
  <si>
    <t>pohled západní-1N24</t>
  </si>
  <si>
    <t>(1,6+0,9*2)*2+1,5+2,35*2+1,05+2,35*2</t>
  </si>
  <si>
    <t>pohled jižní</t>
  </si>
  <si>
    <t>(1,5+1,1*2)*3+(1,5+2,15*2)*3</t>
  </si>
  <si>
    <t>1,5+1,1*2</t>
  </si>
  <si>
    <t>1N23</t>
  </si>
  <si>
    <t>Úprava povrchů vnější</t>
  </si>
  <si>
    <t>136</t>
  </si>
  <si>
    <t>625981151R00</t>
  </si>
  <si>
    <t>Obklad bet. konstr. vložený do bednění věnce - tep. izolace</t>
  </si>
  <si>
    <t>62_</t>
  </si>
  <si>
    <t>vč. dodávky EPS 100</t>
  </si>
  <si>
    <t>14,6*0,25</t>
  </si>
  <si>
    <t>137</t>
  </si>
  <si>
    <t>622904112R00</t>
  </si>
  <si>
    <t>Očištění fasád tlakovou vodou složitost 1 - 2</t>
  </si>
  <si>
    <t>4*45,4+7*16,8</t>
  </si>
  <si>
    <t>stávající ZŠ do v. 4 m</t>
  </si>
  <si>
    <t>3,6*(6,6+2,53+3,5+0,5)</t>
  </si>
  <si>
    <t>stáv. ZŠ-1N04</t>
  </si>
  <si>
    <t>0,6*(6,7+2,5)+5*0,6+7,5*2,7</t>
  </si>
  <si>
    <t>stáv. ZŠ - 2NP+1NP-1N22</t>
  </si>
  <si>
    <t>0,7*(11,1+1,5+7+2,1)</t>
  </si>
  <si>
    <t>sokly stáv. fasády ZŠ-1NP</t>
  </si>
  <si>
    <t>(8,5+2,7)*4</t>
  </si>
  <si>
    <t>sousední RD ul. Rolencova</t>
  </si>
  <si>
    <t>138</t>
  </si>
  <si>
    <t>622325514R00</t>
  </si>
  <si>
    <t>Izolace suterénu (soklu), XPS tl. 140 mm,S7+S8+S13</t>
  </si>
  <si>
    <t xml:space="preserve"> bez povrch. úpravy</t>
  </si>
  <si>
    <t>S7+S8+S13</t>
  </si>
  <si>
    <t>(0,8+2,25)*0,5*11,3</t>
  </si>
  <si>
    <t>(2,25+2,05)*0,5*(12,22+3*2+7,38+1)</t>
  </si>
  <si>
    <t>(1,7+0,3)*0,5*(11,7+6,7+5,32)</t>
  </si>
  <si>
    <t>0,2*(5+4,2+3,6)</t>
  </si>
  <si>
    <t>0,6*42</t>
  </si>
  <si>
    <t>podél stáv. ZŠ - odhad</t>
  </si>
  <si>
    <t>0,3*(10,5+2,2+6,54+2,21)</t>
  </si>
  <si>
    <t>1N24+1N23</t>
  </si>
  <si>
    <t>0,6*(6,23+20,71+0,26)</t>
  </si>
  <si>
    <t>S13- podél tělocvičny - střecha</t>
  </si>
  <si>
    <t>(7,3+0,6)*0,65</t>
  </si>
  <si>
    <t>S13-zvenku 2N02</t>
  </si>
  <si>
    <t>139</t>
  </si>
  <si>
    <t>622325512R00</t>
  </si>
  <si>
    <t>Izolace suterénu, XPS tl. 100 mm, S14</t>
  </si>
  <si>
    <t>bez povrch. úpravy</t>
  </si>
  <si>
    <t>(0,4+0,8)*0,5*(6,1+0,6)</t>
  </si>
  <si>
    <t>S14-pohled východní</t>
  </si>
  <si>
    <t>140</t>
  </si>
  <si>
    <t>622325522RU1</t>
  </si>
  <si>
    <t>Zateplovací systém, sokl, XPS tl. 100 mm, S14</t>
  </si>
  <si>
    <t>s omítkou mozaikovou</t>
  </si>
  <si>
    <t>2,35*(6,1+0,6)</t>
  </si>
  <si>
    <t>-3,1*1,8</t>
  </si>
  <si>
    <t>otvory</t>
  </si>
  <si>
    <t>0,6*(6,7+2,5+3,6+5+2,7)</t>
  </si>
  <si>
    <t>nad střechou 1N04+2N02+2N01</t>
  </si>
  <si>
    <t>-(0,4+0,8)*0,5*(6,1+0,6)</t>
  </si>
  <si>
    <t>pod terénem</t>
  </si>
  <si>
    <t>141</t>
  </si>
  <si>
    <t>622325524RU1</t>
  </si>
  <si>
    <t>Zatep. systém, sokl, XPS tl. 140 mm, S7+S8+L</t>
  </si>
  <si>
    <t>S7+S8+L</t>
  </si>
  <si>
    <t>(1,7+0,3)*0,5*11,3+2*6,05-3,1*1,8</t>
  </si>
  <si>
    <t>0,4*(12,22+1)+1,7*(3,45*2+7,68)</t>
  </si>
  <si>
    <t>1,9*5,47+0,9*6,72+0,4*11,54</t>
  </si>
  <si>
    <t>0,4*(10,5+1,6+6,8+2,36)</t>
  </si>
  <si>
    <t>1N24+1N23 - stáv. ZŠ</t>
  </si>
  <si>
    <t>0,4*4,47</t>
  </si>
  <si>
    <t>0,4*(10,5+2,2+6,8+2,36)</t>
  </si>
  <si>
    <t>1N24+1N23 - nová stavba</t>
  </si>
  <si>
    <t>142</t>
  </si>
  <si>
    <t>622325834RT3</t>
  </si>
  <si>
    <t>Zatepl.systém, fasáda, miner.desky PV 140 mm, S8+S10+J</t>
  </si>
  <si>
    <t>omítka silikonová, zrno 1,5 mm</t>
  </si>
  <si>
    <t>S8+S10+J</t>
  </si>
  <si>
    <t>5,08*(10,4+0,75)-1,2*2,15*4</t>
  </si>
  <si>
    <t>3,93*7,15-1,5*2,15*3</t>
  </si>
  <si>
    <t>2,3*6,87-5,3*0,9+</t>
  </si>
  <si>
    <t>2,3*3,75+3,2*(7,8+2,19)-1,05*2,35</t>
  </si>
  <si>
    <t>9*1,1</t>
  </si>
  <si>
    <t>podhled 1N22</t>
  </si>
  <si>
    <t>3,2*14,92+7,13*7,13+0,85*5,07+5,08*2,4</t>
  </si>
  <si>
    <t>-(1,6*0,9*2+1,5*2,35+1,05*2,35)</t>
  </si>
  <si>
    <t>pohled jižní - otvory</t>
  </si>
  <si>
    <t>-(1,5*1,1*3+1,5*2,15*3)</t>
  </si>
  <si>
    <t>pohled jižní-otvory</t>
  </si>
  <si>
    <t>3,2*2,36-1,5*1,1</t>
  </si>
  <si>
    <t>1N23 - nová stavba</t>
  </si>
  <si>
    <t>143</t>
  </si>
  <si>
    <t>622391001R00</t>
  </si>
  <si>
    <t>Příplatek- montáž KZS podhledu,izolant,tenkovrst.om.</t>
  </si>
  <si>
    <t>144</t>
  </si>
  <si>
    <t>622325832RU3</t>
  </si>
  <si>
    <t>Zatepl.systém, fasáda, miner.desky PV 100 mm - sousední dům</t>
  </si>
  <si>
    <t>8,5*4</t>
  </si>
  <si>
    <t>sousední dům při ul. Rolencova</t>
  </si>
  <si>
    <t>145</t>
  </si>
  <si>
    <t>622325850RT3</t>
  </si>
  <si>
    <t>Povrch. úprava ostění KZS s min.vlnou PV, S8+S10+J</t>
  </si>
  <si>
    <t>s omít. silikon., zrno 1,5 mm, vč. začiš. lišt</t>
  </si>
  <si>
    <t>(3,1+2*1,8+(1,2+2,15*2)*4)*0,15</t>
  </si>
  <si>
    <t>(5,3+0,9*2)*0,15</t>
  </si>
  <si>
    <t>(1,05+2,35*2+(1,5+2,15*2)*3)*0,15</t>
  </si>
  <si>
    <t>(1,05+2,35*2)*0,15</t>
  </si>
  <si>
    <t>((1,6+0,9*2)*2+1,5+2,35*2+1,05+2,35*2)*0,15</t>
  </si>
  <si>
    <t>((1,5+1,1*2)*3+(1,5+2,15*2)*3)*0,15</t>
  </si>
  <si>
    <t>(1,5+1,1*2)*0,15</t>
  </si>
  <si>
    <t>146</t>
  </si>
  <si>
    <t>622325563R00</t>
  </si>
  <si>
    <t>Zateplovací systém, parapet, XPS tl. 30 mm, S8+S10+J</t>
  </si>
  <si>
    <t>vč. parapetní lišty s výztuží</t>
  </si>
  <si>
    <t>(3,1+1,2*4)*0,15</t>
  </si>
  <si>
    <t>5,3*0,15</t>
  </si>
  <si>
    <t>1,5*3*0,15</t>
  </si>
  <si>
    <t>(1,6*2+1,5*3+1,5*3)*0,15</t>
  </si>
  <si>
    <t>1,5*0,15</t>
  </si>
  <si>
    <t>147</t>
  </si>
  <si>
    <t>622318154RT4</t>
  </si>
  <si>
    <t>Zatepl. syst., ostění, fenolická pěna tl. 50 mm, L</t>
  </si>
  <si>
    <t>s mozaik. omítkou</t>
  </si>
  <si>
    <t>L</t>
  </si>
  <si>
    <t>0,2*(0,95+1,8*2)</t>
  </si>
  <si>
    <t>1N22-okno Z02</t>
  </si>
  <si>
    <t>0,45*2,6*2</t>
  </si>
  <si>
    <t>1N22-dveře Z01</t>
  </si>
  <si>
    <t>0,45*(3,1+1,8*2)</t>
  </si>
  <si>
    <t>1N22-okno</t>
  </si>
  <si>
    <t>2,6*(0,125*2+0,4)</t>
  </si>
  <si>
    <t>1N22-pilíř+aku</t>
  </si>
  <si>
    <t>148</t>
  </si>
  <si>
    <t>622318129RT4</t>
  </si>
  <si>
    <t>Zatep. syst.,fasáda, fenol. pěna tl.  50 mm, L</t>
  </si>
  <si>
    <t>2,6*4,2-0,9*1,8+2,6*4,2*2-3,1*1,8*2</t>
  </si>
  <si>
    <t>L-1N22-pilíř+stěna AKU</t>
  </si>
  <si>
    <t>149</t>
  </si>
  <si>
    <t>622323041R00</t>
  </si>
  <si>
    <t>Penetrace podkladu pod zateplení a omítky</t>
  </si>
  <si>
    <t>16,34+5,14</t>
  </si>
  <si>
    <t>S13 sokl na střeše</t>
  </si>
  <si>
    <t>6,15</t>
  </si>
  <si>
    <t>S14 sokl</t>
  </si>
  <si>
    <t>87,99</t>
  </si>
  <si>
    <t>S7+S8+L-sokl s mozaik. om.</t>
  </si>
  <si>
    <t>4,71</t>
  </si>
  <si>
    <t>zatep. parapetů</t>
  </si>
  <si>
    <t>7,96+19,98</t>
  </si>
  <si>
    <t>zatep. fenol. pěnou</t>
  </si>
  <si>
    <t>sous. dům</t>
  </si>
  <si>
    <t>150</t>
  </si>
  <si>
    <t>620991121R00</t>
  </si>
  <si>
    <t>Zakrývání výplní vnějších otvorů z lešení</t>
  </si>
  <si>
    <t>1,2*2,15*4</t>
  </si>
  <si>
    <t>5,3*0,9</t>
  </si>
  <si>
    <t>1,05*2,35+1,5*2,15*3</t>
  </si>
  <si>
    <t>1,6*0,9*2+1,5*2,35+1,05*2,35</t>
  </si>
  <si>
    <t>1,5*1,1*3+1,5*2,15*3</t>
  </si>
  <si>
    <t>1,5*1,1</t>
  </si>
  <si>
    <t>Podlahy a podlahové konstrukce</t>
  </si>
  <si>
    <t>151</t>
  </si>
  <si>
    <t>632441015RT3</t>
  </si>
  <si>
    <t>Potěr anhydritový, plocha do 100 m2, tl. 50 mm</t>
  </si>
  <si>
    <t>63_</t>
  </si>
  <si>
    <t>samonivelační potěr Anhydrit 030</t>
  </si>
  <si>
    <t>S1</t>
  </si>
  <si>
    <t>152</t>
  </si>
  <si>
    <t>632441491R00</t>
  </si>
  <si>
    <t>Broušení anhydritových potěrů - odstranění šlemu</t>
  </si>
  <si>
    <t>153</t>
  </si>
  <si>
    <t>632443312R00</t>
  </si>
  <si>
    <t>Potěr anhydrit 30, do 100 m2, přípl. za kaž. dal. 5 mm</t>
  </si>
  <si>
    <t>zalití trubek  podl. vytápění</t>
  </si>
  <si>
    <t>(14,3+74,8)*3</t>
  </si>
  <si>
    <t>S1- předpoklad 3 x 5 mm</t>
  </si>
  <si>
    <t>154</t>
  </si>
  <si>
    <t>631312611RM1</t>
  </si>
  <si>
    <t>Mazanina betonová tl. 5 - 8 cm C 16/20</t>
  </si>
  <si>
    <t>z betonu prostého</t>
  </si>
  <si>
    <t>(1,7+2,1+1,7+2,1)*(0,045+0,02)</t>
  </si>
  <si>
    <t>S2</t>
  </si>
  <si>
    <t>(11+78,3+24+10+3,6+5,1+13+13,3+9,2)*(0,05+0,02)</t>
  </si>
  <si>
    <t>S3</t>
  </si>
  <si>
    <t>(15,7+6,5+8+4+2+1,7+2+1,7+3,6+2,1)*(0,045+0,02)</t>
  </si>
  <si>
    <t>S4</t>
  </si>
  <si>
    <t>(220+20,3)*0,05</t>
  </si>
  <si>
    <t>S5</t>
  </si>
  <si>
    <t>155</t>
  </si>
  <si>
    <t>24552530</t>
  </si>
  <si>
    <t>Přísada do potěrových betonů Plastifikátor - nad podlah. topení</t>
  </si>
  <si>
    <t>l</t>
  </si>
  <si>
    <t>spotřeba předp. 4 l/m3</t>
  </si>
  <si>
    <t>(1,7+2,1+1,7+2,1)*(0,045+0,02)*4</t>
  </si>
  <si>
    <t>(11+78,3+24+10+3,6+5,1+13+13,3+9,2)*(0,05+0,02)*4</t>
  </si>
  <si>
    <t>(15,7+6,5+8+4+2+1,7+2+1,7+3,6+2,1)*(0,045+0,02)*4</t>
  </si>
  <si>
    <t>156</t>
  </si>
  <si>
    <t>631316115R00</t>
  </si>
  <si>
    <t>Postřik nových beton. podlah proti prvotn. vysych.</t>
  </si>
  <si>
    <t>1,7+2,1+1,7+2,1</t>
  </si>
  <si>
    <t>11+78,3+24+10+3,6+5,1+13+13,3+9,2</t>
  </si>
  <si>
    <t>15,7+6,5+8+4+2+1,7+2+1,7+3,6+2,1</t>
  </si>
  <si>
    <t>220+20,3</t>
  </si>
  <si>
    <t>157</t>
  </si>
  <si>
    <t>631316231R00</t>
  </si>
  <si>
    <t>Hlazení betonových mazanin, strojně</t>
  </si>
  <si>
    <t>158</t>
  </si>
  <si>
    <t>631361921RT3</t>
  </si>
  <si>
    <t>Výztuž mazanin svařovanou sítí</t>
  </si>
  <si>
    <t>KD 37, drát d 5,0 mm, oko 150 x 150 mm</t>
  </si>
  <si>
    <t>(220+20,3)*0,00215*1,3</t>
  </si>
  <si>
    <t>159</t>
  </si>
  <si>
    <t>632451034R00</t>
  </si>
  <si>
    <t>Vyrovnávací potěr MC 15, v ploše, tl. 50 mm</t>
  </si>
  <si>
    <t>část z průměrné tl. 65 mm</t>
  </si>
  <si>
    <t>533,33</t>
  </si>
  <si>
    <t>S6+S9+S12+S16</t>
  </si>
  <si>
    <t>součást spádové vrstvy 30-100 mm</t>
  </si>
  <si>
    <t>160</t>
  </si>
  <si>
    <t>632457109R00</t>
  </si>
  <si>
    <t>Příplatek-potěr obyč.,dř.hlad.,zakřiv.,další 1 cm</t>
  </si>
  <si>
    <t>doplnění do prům. tloušťky 6,5 cm</t>
  </si>
  <si>
    <t>533,33*1,5</t>
  </si>
  <si>
    <t>161</t>
  </si>
  <si>
    <t>Vyrovnávací potěr MC 15, v ploše, tl. 50 mm, S9</t>
  </si>
  <si>
    <t>vyrovnání stáv. střechy</t>
  </si>
  <si>
    <t>9,16</t>
  </si>
  <si>
    <t>162</t>
  </si>
  <si>
    <t>639571210R00</t>
  </si>
  <si>
    <t>Kačírek pro okapový chodník tl. 100 mm, S7+S14</t>
  </si>
  <si>
    <t>S7+S14 okap. chodníky</t>
  </si>
  <si>
    <t>0,4*(21,55+0,4*4)</t>
  </si>
  <si>
    <t>0,4*(12,22+3,3*2+7,68+1+6,72+0,45*6)</t>
  </si>
  <si>
    <t>0,4*(5,33+11,54-2,7+0,45*2)</t>
  </si>
  <si>
    <t>0,5*(20,71+10,71)*2</t>
  </si>
  <si>
    <t>střecha tělocvičny</t>
  </si>
  <si>
    <t>0,5*(13,6+0,3+4,37+2,02+3,63+0,5-0,5*8)</t>
  </si>
  <si>
    <t>ostatní střechy</t>
  </si>
  <si>
    <t>Výplně otvorů</t>
  </si>
  <si>
    <t>163</t>
  </si>
  <si>
    <t>642942111R00</t>
  </si>
  <si>
    <t>Osazení zárubní dveřních ocelových, pl. do 2,5 m2</t>
  </si>
  <si>
    <t>64_</t>
  </si>
  <si>
    <t>4+5+1+1+1</t>
  </si>
  <si>
    <t>T01-T05</t>
  </si>
  <si>
    <t>164</t>
  </si>
  <si>
    <t>642942221R00</t>
  </si>
  <si>
    <t>Osazení zárubní dveřních ocelových, pl. do 4,5 m2</t>
  </si>
  <si>
    <t>T06+T07</t>
  </si>
  <si>
    <t>165</t>
  </si>
  <si>
    <t>553310602</t>
  </si>
  <si>
    <t>Zárubeň ocelová "S" 180 rozměr 800 x 1970 mm L, P</t>
  </si>
  <si>
    <t>T01</t>
  </si>
  <si>
    <t>166</t>
  </si>
  <si>
    <t>553310571</t>
  </si>
  <si>
    <t>Zárubeň ocelová "S" 120 rozměr 700 x 1970 mm L, P</t>
  </si>
  <si>
    <t>T02</t>
  </si>
  <si>
    <t>167</t>
  </si>
  <si>
    <t>553310603</t>
  </si>
  <si>
    <t>Zárubeň ocelová "S" 180 rozměr 900 x 1970 mm L, P</t>
  </si>
  <si>
    <t>T03+T04+T05</t>
  </si>
  <si>
    <t>168</t>
  </si>
  <si>
    <t>553310605T06</t>
  </si>
  <si>
    <t>Zárubeň ocelová "S" 180 rozměr 2-kř. 1400 x 1970 mm</t>
  </si>
  <si>
    <t>T06</t>
  </si>
  <si>
    <t>169</t>
  </si>
  <si>
    <t>553310608T07</t>
  </si>
  <si>
    <t>Zárubeň ocelová "S" 180 2-kř. rozměr 2000 x 1970 mm</t>
  </si>
  <si>
    <t>T07</t>
  </si>
  <si>
    <t>Hodinové zúčtovací sazby (HZS)</t>
  </si>
  <si>
    <t>170</t>
  </si>
  <si>
    <t>910      R00</t>
  </si>
  <si>
    <t>Hzs - predbezne obhlidky a revize</t>
  </si>
  <si>
    <t>h</t>
  </si>
  <si>
    <t>90_</t>
  </si>
  <si>
    <t>SO-01_9_</t>
  </si>
  <si>
    <t>4*2</t>
  </si>
  <si>
    <t>přejímka zákl. spáry - geolog + statik</t>
  </si>
  <si>
    <t>vyhodnocení sond stáv. základů školy - statik</t>
  </si>
  <si>
    <t>171</t>
  </si>
  <si>
    <t>909      R00</t>
  </si>
  <si>
    <t>Hzs-nezmeritelne stavebni prace</t>
  </si>
  <si>
    <t>nezměřitelné stavební práce</t>
  </si>
  <si>
    <t>172</t>
  </si>
  <si>
    <t>908      R00</t>
  </si>
  <si>
    <t>Hzs-práce výškových specialistů</t>
  </si>
  <si>
    <t>práce na střeše bez lešení</t>
  </si>
  <si>
    <t>Doplňující konstrukce a práce na pozemních komunikacích a zpevněných plochách</t>
  </si>
  <si>
    <t>173</t>
  </si>
  <si>
    <t>916561111RT7</t>
  </si>
  <si>
    <t>Osazení záhon.obrubníků do lože z C 12/15 s opěrou, S7+S14</t>
  </si>
  <si>
    <t>91_</t>
  </si>
  <si>
    <t>vč. obrubníku   100/5/20 cm</t>
  </si>
  <si>
    <t>S7+S14</t>
  </si>
  <si>
    <t>21,55+0,45*4</t>
  </si>
  <si>
    <t>12,22+3,3*2+7,68+1+6,72+0,45*6</t>
  </si>
  <si>
    <t>5,33+11,54-2,7</t>
  </si>
  <si>
    <t>1,78+14,19+0,65+1,79+2,04</t>
  </si>
  <si>
    <t>S15-zadní vstup</t>
  </si>
  <si>
    <t>Různé dokončovací konstrukce a práce inženýrských staveb</t>
  </si>
  <si>
    <t>174</t>
  </si>
  <si>
    <t>931971111R00</t>
  </si>
  <si>
    <t>Vložky do dilatačních spár, lepenka jednoduchá</t>
  </si>
  <si>
    <t>93_</t>
  </si>
  <si>
    <t>oddělení nových zákl. od stávajících</t>
  </si>
  <si>
    <t>0,8*(2,8+5,1+3,6+2,9+6,7+0,5*2+19,7)</t>
  </si>
  <si>
    <t>požadavek statika</t>
  </si>
  <si>
    <t>175</t>
  </si>
  <si>
    <t>931961115RR1</t>
  </si>
  <si>
    <t>Vložky do dilatačních spár, polystyren XPS, tl 30 mm</t>
  </si>
  <si>
    <t>XPS, oddělení nových základů od stávajících</t>
  </si>
  <si>
    <t>Lešení a stavební výtahy</t>
  </si>
  <si>
    <t>176</t>
  </si>
  <si>
    <t>941941031R00</t>
  </si>
  <si>
    <t>Montáž lešení leh.řad.s podlahami,š.do 1 m, H 10 m</t>
  </si>
  <si>
    <t>94_</t>
  </si>
  <si>
    <t>(8,3-1,5)*(2,4+2+21,8+0,6+2)</t>
  </si>
  <si>
    <t>5*(21+2)</t>
  </si>
  <si>
    <t>(8,4-1,5)*(5,4+1)+(4,6-1,5)*(6,6+1)</t>
  </si>
  <si>
    <t>(4,6-1,5)*(6,6+2+7+7,2+2)</t>
  </si>
  <si>
    <t>střecha 1NP</t>
  </si>
  <si>
    <t>(7,5-1,5)*7,2</t>
  </si>
  <si>
    <t>177</t>
  </si>
  <si>
    <t>941941191R00</t>
  </si>
  <si>
    <t>Příplatek za každý měsíc použití lešení k pol.1031</t>
  </si>
  <si>
    <t>178</t>
  </si>
  <si>
    <t>941941831R00</t>
  </si>
  <si>
    <t>Demontáž lešení leh.řad.s podlahami,š.1 m, H 10 m</t>
  </si>
  <si>
    <t>179</t>
  </si>
  <si>
    <t>941955002R00</t>
  </si>
  <si>
    <t>Lešení lehké pomocné, výška podlahy do 1,9 m</t>
  </si>
  <si>
    <t>11+78,3+24+10+20,3+15,7+3,6+5,1+13</t>
  </si>
  <si>
    <t>6,5+13,3+8+9,2+4+2+1,7+2+1,7+3,6</t>
  </si>
  <si>
    <t>2,1+9+15+24</t>
  </si>
  <si>
    <t>14,3+74,8+1,7+2,1+1,7+2,1</t>
  </si>
  <si>
    <t>3,3*2+7,7+2</t>
  </si>
  <si>
    <t>fasáda pohled sev. 1N06</t>
  </si>
  <si>
    <t>6,7+2+11,5+2+4,5</t>
  </si>
  <si>
    <t>fas. pohl. západní</t>
  </si>
  <si>
    <t>180</t>
  </si>
  <si>
    <t>943944122R00</t>
  </si>
  <si>
    <t>Montáž lešení prostorového těžkého, H 20 m, 600 kg</t>
  </si>
  <si>
    <t>220*(7,45-1,5)</t>
  </si>
  <si>
    <t>181</t>
  </si>
  <si>
    <t>943944292R00</t>
  </si>
  <si>
    <t>Příplatek za každý měsíc použití lešení k pol.4122</t>
  </si>
  <si>
    <t>220*(7,45-1,5)*2</t>
  </si>
  <si>
    <t>182</t>
  </si>
  <si>
    <t>943944822R00</t>
  </si>
  <si>
    <t>Demontáž lešení prostorov.těžkého, H 20 m, 600 kg</t>
  </si>
  <si>
    <t>183</t>
  </si>
  <si>
    <t>943955021R00</t>
  </si>
  <si>
    <t>Montáž lešeňové podlahy s příčníky a podél.,H 10 m</t>
  </si>
  <si>
    <t>220*1,2</t>
  </si>
  <si>
    <t>184</t>
  </si>
  <si>
    <t>943955198R00</t>
  </si>
  <si>
    <t>Pronájem - příplatek za každý den použití</t>
  </si>
  <si>
    <t>220*1,2*60</t>
  </si>
  <si>
    <t>1N05 - 2 měsíce</t>
  </si>
  <si>
    <t>185</t>
  </si>
  <si>
    <t>943955821R00</t>
  </si>
  <si>
    <t>Demontáž leš. podlahy s příč. a podélníky, H 10 m</t>
  </si>
  <si>
    <t>186</t>
  </si>
  <si>
    <t>946941501R00</t>
  </si>
  <si>
    <t>Návoz a odvoz pojízného lešení</t>
  </si>
  <si>
    <t>kompl</t>
  </si>
  <si>
    <t>tělocvična</t>
  </si>
  <si>
    <t>187</t>
  </si>
  <si>
    <t>946941102RT3</t>
  </si>
  <si>
    <t>Montáž pojízdných Alu věží, 2,5 x 1,45 m</t>
  </si>
  <si>
    <t>sada</t>
  </si>
  <si>
    <t>pracovní výška 8,2 m</t>
  </si>
  <si>
    <t>188</t>
  </si>
  <si>
    <t>946941802RT3</t>
  </si>
  <si>
    <t>Demontáž pojízdných Alu věží, 2,5 x 1,45 m</t>
  </si>
  <si>
    <t>pracovní výška 8,3 m</t>
  </si>
  <si>
    <t>189</t>
  </si>
  <si>
    <t>946941192RT3</t>
  </si>
  <si>
    <t>Nájemné pojízdných Alu věží, 2,5 x 1,45 m</t>
  </si>
  <si>
    <t>den</t>
  </si>
  <si>
    <t>2*30</t>
  </si>
  <si>
    <t>Různé dokončovací konstrukce a práce na pozemních stavbách</t>
  </si>
  <si>
    <t>190</t>
  </si>
  <si>
    <t>953941312R00</t>
  </si>
  <si>
    <t>Osazení požárního hasicího přístroje na stěnu, Z31</t>
  </si>
  <si>
    <t>95_</t>
  </si>
  <si>
    <t>dle výpisu zám. výrobků</t>
  </si>
  <si>
    <t>Z31</t>
  </si>
  <si>
    <t>191</t>
  </si>
  <si>
    <t>953941395R00</t>
  </si>
  <si>
    <t>Vystavení revizní zprávy-požární hasicí přístroj, Z31</t>
  </si>
  <si>
    <t>192</t>
  </si>
  <si>
    <t>44982603Z37</t>
  </si>
  <si>
    <t>Hydrantový systém, Z37 - dle výpisu zám. prvků</t>
  </si>
  <si>
    <t>Z37</t>
  </si>
  <si>
    <t>193</t>
  </si>
  <si>
    <t>44984114</t>
  </si>
  <si>
    <t>Přístroj hasicí 6 kg, Z31 - dle výpisu zám. výrobků</t>
  </si>
  <si>
    <t>Z31, dle výpisu zám. výrobků</t>
  </si>
  <si>
    <t>194</t>
  </si>
  <si>
    <t>952902110R00</t>
  </si>
  <si>
    <t>Zametání v místnostech, chodbách, na  schodišti a na půdách</t>
  </si>
  <si>
    <t>opakovaný úklid</t>
  </si>
  <si>
    <t>400</t>
  </si>
  <si>
    <t>195</t>
  </si>
  <si>
    <t>952901111R00</t>
  </si>
  <si>
    <t>Vyčištění budov o výšce podlaží do 4 m</t>
  </si>
  <si>
    <t>196</t>
  </si>
  <si>
    <t>952901114R00</t>
  </si>
  <si>
    <t>Vyčištění budov o výšce podlaží nad 4 m</t>
  </si>
  <si>
    <t>220</t>
  </si>
  <si>
    <t>197</t>
  </si>
  <si>
    <t>998011002R00</t>
  </si>
  <si>
    <t>Přesun hmot pro budovy zděné výšky do 12 m</t>
  </si>
  <si>
    <t>Bourání konstrukcí</t>
  </si>
  <si>
    <t>198</t>
  </si>
  <si>
    <t>113202111R00</t>
  </si>
  <si>
    <t>Vytrhání obrub obrubníků silničních</t>
  </si>
  <si>
    <t>96_</t>
  </si>
  <si>
    <t>19,3+5,6</t>
  </si>
  <si>
    <t>stáv. okap. chodník ZŠ</t>
  </si>
  <si>
    <t>199</t>
  </si>
  <si>
    <t>960111221R00</t>
  </si>
  <si>
    <t>Bourání konstrukcí z dílců prefa. betonových a ŽB</t>
  </si>
  <si>
    <t>do hl. 1,5 m</t>
  </si>
  <si>
    <t>0,16*1,5*4</t>
  </si>
  <si>
    <t>stáv. kanal. šachty</t>
  </si>
  <si>
    <t>200</t>
  </si>
  <si>
    <t>965042241RT1</t>
  </si>
  <si>
    <t>Bourání mazanin betonových tl. nad 10 cm, nad 4 m2</t>
  </si>
  <si>
    <t>ručně tl. mazaniny 10 - 15 cm</t>
  </si>
  <si>
    <t>(17,7+4,9)*1*0,15</t>
  </si>
  <si>
    <t>okapový chodník stáv. ZŠ</t>
  </si>
  <si>
    <t>1,7*1,8*0,15</t>
  </si>
  <si>
    <t>u vstupu do ZŠ</t>
  </si>
  <si>
    <t>85*0,15</t>
  </si>
  <si>
    <t>podklad zámk. dl. dvůr</t>
  </si>
  <si>
    <t>15*0,15</t>
  </si>
  <si>
    <t>pod zámk. dl. při Rolencově</t>
  </si>
  <si>
    <t>201</t>
  </si>
  <si>
    <t>965081923R00</t>
  </si>
  <si>
    <t>Bourání dlažeb beton. zámk., pl.nad 1 m2</t>
  </si>
  <si>
    <t>stávající dlažba dvůr</t>
  </si>
  <si>
    <t>zámk. dl. bez podkladu - dvůr</t>
  </si>
  <si>
    <t>zámk. dl. při Rolencově</t>
  </si>
  <si>
    <t>202</t>
  </si>
  <si>
    <t>962042321R00</t>
  </si>
  <si>
    <t>Bourání zdiva nadzákladového z betonu prostého</t>
  </si>
  <si>
    <t>0,33*(8,8+2,5)*0,74</t>
  </si>
  <si>
    <t>opěrná zídka dvůr</t>
  </si>
  <si>
    <t>203</t>
  </si>
  <si>
    <t>961044111R00</t>
  </si>
  <si>
    <t>Bourání základů z betonu prostého</t>
  </si>
  <si>
    <t>0,33*(8,8+2,5+1,1)*0,8</t>
  </si>
  <si>
    <t>204</t>
  </si>
  <si>
    <t>963042819R00</t>
  </si>
  <si>
    <t>Bourání schodišťových stupňů betonových</t>
  </si>
  <si>
    <t>3*1,1</t>
  </si>
  <si>
    <t>dvůr</t>
  </si>
  <si>
    <t>205</t>
  </si>
  <si>
    <t>962032241R00</t>
  </si>
  <si>
    <t>Bourání zdiva z cihel pálených na MC</t>
  </si>
  <si>
    <t>(1,7*2,6-1*2)*0,65</t>
  </si>
  <si>
    <t>107 - stáv. ZŠ</t>
  </si>
  <si>
    <t>1,51*2,97*0,65</t>
  </si>
  <si>
    <t>201 - stáv. ZŠ</t>
  </si>
  <si>
    <t>206</t>
  </si>
  <si>
    <t>968061112R00</t>
  </si>
  <si>
    <t>Vyvěšení dřevěných a plastových okenních křídel pl. do 1,5 m2</t>
  </si>
  <si>
    <t>stáv. ZŠ</t>
  </si>
  <si>
    <t>207</t>
  </si>
  <si>
    <t>968062246R00</t>
  </si>
  <si>
    <t>Vybourání plastových oken jednoduch. pl. 4 m2</t>
  </si>
  <si>
    <t>1,55*1,9</t>
  </si>
  <si>
    <t>1*2,1</t>
  </si>
  <si>
    <t>Prorážení otvorů a ostatní bourací práce</t>
  </si>
  <si>
    <t>208</t>
  </si>
  <si>
    <t>973100020RA0</t>
  </si>
  <si>
    <t>Vysekání kapes ve zdivu z cihel, 30 x 30 x 30 cm, S12</t>
  </si>
  <si>
    <t>97_</t>
  </si>
  <si>
    <t>6+4</t>
  </si>
  <si>
    <t>209</t>
  </si>
  <si>
    <t>976085311R00</t>
  </si>
  <si>
    <t>Vybourání kanal.rámů a poklopů plochy do 0,6 m2</t>
  </si>
  <si>
    <t>4+2</t>
  </si>
  <si>
    <t>stávající dvůr</t>
  </si>
  <si>
    <t>210</t>
  </si>
  <si>
    <t>978041110R00</t>
  </si>
  <si>
    <t>Odstranění KZS EPS F mm s omítkou</t>
  </si>
  <si>
    <t>0,7*(11,1+1,5+7+2,2+4,9)</t>
  </si>
  <si>
    <t>stěny stáv. fasády ZŠ-1NP</t>
  </si>
  <si>
    <t>0,6*(7+2,4)+5*0,6+7,5*2,7</t>
  </si>
  <si>
    <t>211</t>
  </si>
  <si>
    <t>975022441R00</t>
  </si>
  <si>
    <t>Podchycení zdiva výztuhou do 3 m,zdi do 90 cm do 3 m</t>
  </si>
  <si>
    <t>1,8</t>
  </si>
  <si>
    <t>212</t>
  </si>
  <si>
    <t>975063461R00</t>
  </si>
  <si>
    <t>Podchycení schodů visutých,rovných do 1200 kg/m2</t>
  </si>
  <si>
    <t>pro nový vstupní otvor</t>
  </si>
  <si>
    <t>1,85*(1,791+4,05+2,4)</t>
  </si>
  <si>
    <t>Demolice</t>
  </si>
  <si>
    <t>213</t>
  </si>
  <si>
    <t>981011416R00</t>
  </si>
  <si>
    <t>Demolice budov,zdivo,podíl kce.do 35%,MC,post.roz.</t>
  </si>
  <si>
    <t>98_</t>
  </si>
  <si>
    <t>demolice postupným rozebíráním</t>
  </si>
  <si>
    <t>(2,96*2,66+0,33*0,31)*3</t>
  </si>
  <si>
    <t>kůlna 1.05</t>
  </si>
  <si>
    <t>19,1</t>
  </si>
  <si>
    <t>tělocvična T01</t>
  </si>
  <si>
    <t>340,4</t>
  </si>
  <si>
    <t>T03</t>
  </si>
  <si>
    <t>57,5</t>
  </si>
  <si>
    <t>T04</t>
  </si>
  <si>
    <t>S</t>
  </si>
  <si>
    <t>Přesuny sutí</t>
  </si>
  <si>
    <t>214</t>
  </si>
  <si>
    <t>979082111R00</t>
  </si>
  <si>
    <t>Vnitrostaveništní doprava suti do 10 m</t>
  </si>
  <si>
    <t>S_</t>
  </si>
  <si>
    <t>308,81+88,125+11,7+1,367+0,8</t>
  </si>
  <si>
    <t>215</t>
  </si>
  <si>
    <t>979082121R00</t>
  </si>
  <si>
    <t>Příplatek k vnitrost. dopravě suti za dalších 5 m</t>
  </si>
  <si>
    <t>(308,81+88,125+11,7+1,367+0,8)*2</t>
  </si>
  <si>
    <t>216</t>
  </si>
  <si>
    <t>979081111R00</t>
  </si>
  <si>
    <t>Odvoz suti a vybour. hmot na skládku do 1 km</t>
  </si>
  <si>
    <t>217</t>
  </si>
  <si>
    <t>979081121R00</t>
  </si>
  <si>
    <t>Příplatek k odvozu za každý další 1 km</t>
  </si>
  <si>
    <t>410,8*9</t>
  </si>
  <si>
    <t>218</t>
  </si>
  <si>
    <t>979011111R00</t>
  </si>
  <si>
    <t>Svislá doprava suti a vybour. hmot za 2.NP a 1.PP</t>
  </si>
  <si>
    <t>219</t>
  </si>
  <si>
    <t>979094211R00</t>
  </si>
  <si>
    <t>Nakládání nebo překládání vybourané suti</t>
  </si>
  <si>
    <t>979999987R00</t>
  </si>
  <si>
    <t>Poplatek za recyklaci směsi suti betonu, cihel, tašek a ker.výrobků, kusovost nad 1600 cm2 (170107)</t>
  </si>
  <si>
    <t>308,2253+0,5849</t>
  </si>
  <si>
    <t>221</t>
  </si>
  <si>
    <t>979999976R00</t>
  </si>
  <si>
    <t>Poplatek za uložení, zemina a kamení kusovost nad 1600 cm2, (skup.170504)</t>
  </si>
  <si>
    <t>4,972</t>
  </si>
  <si>
    <t>222</t>
  </si>
  <si>
    <t>223</t>
  </si>
  <si>
    <t>979990163R00</t>
  </si>
  <si>
    <t>Poplatek za uložení suti - plast + sklo, skupina odpadu 170904</t>
  </si>
  <si>
    <t>0,141</t>
  </si>
  <si>
    <t>224</t>
  </si>
  <si>
    <t>979990168R00</t>
  </si>
  <si>
    <t>Poplatek za uložení suti - sklo, skupina odpadu 1702020</t>
  </si>
  <si>
    <t>225</t>
  </si>
  <si>
    <t>979990141R00</t>
  </si>
  <si>
    <t>Poplatek za uložení suti - polystyren s perlinkou, skupina odpadu 170604</t>
  </si>
  <si>
    <t>RTS II / 2024</t>
  </si>
  <si>
    <t>1,226</t>
  </si>
  <si>
    <t>226</t>
  </si>
  <si>
    <t>979999997R00</t>
  </si>
  <si>
    <t>Poplatek za recyklaci směsi suti betonu, cihel, tašek a keram.výrobků, kusovost do 1600 cm2 (170107)</t>
  </si>
  <si>
    <t>83,153</t>
  </si>
  <si>
    <t>711</t>
  </si>
  <si>
    <t>Izolace proti vodě</t>
  </si>
  <si>
    <t>227</t>
  </si>
  <si>
    <t>711111001RZ1</t>
  </si>
  <si>
    <t>Prov. izolace proti vlhkosti na ploše vodorovné, 1x asfaltovým penetračním nátěrem</t>
  </si>
  <si>
    <t>711_</t>
  </si>
  <si>
    <t>SO-01_71_</t>
  </si>
  <si>
    <t>vč. dodávky asf. penetr. laku</t>
  </si>
  <si>
    <t>na podkl. beton 1NP</t>
  </si>
  <si>
    <t>228</t>
  </si>
  <si>
    <t>711141559RT1</t>
  </si>
  <si>
    <t>Provedení izolace proti vlhkosti na ploše vodorovné, asfaltovými pásy přitavením</t>
  </si>
  <si>
    <t>1 vrstva - pásy ve specifikaci</t>
  </si>
  <si>
    <t>229</t>
  </si>
  <si>
    <t>628522691</t>
  </si>
  <si>
    <t>Pás asf. modifikovaný AL 40 mineral, natavovací - proti radonu - dle PD</t>
  </si>
  <si>
    <t>527,4*0,15</t>
  </si>
  <si>
    <t>230</t>
  </si>
  <si>
    <t>711112001RZ1</t>
  </si>
  <si>
    <t>Prov. izolace proti vlhkosti na ploše svislé, 1x asf. penetračním nát.</t>
  </si>
  <si>
    <t>včetně dodávky asfaltového laku</t>
  </si>
  <si>
    <t>S7+S8+S14</t>
  </si>
  <si>
    <t>(0,5+2,5)*0,5*21,55</t>
  </si>
  <si>
    <t>(2,55+2,35)*0,5*(12,22+3*2+7,38+1)</t>
  </si>
  <si>
    <t>(2+0,6)*0,5*(11,7+6,7+5,32)</t>
  </si>
  <si>
    <t>0,5*(5+4,2+3,6)</t>
  </si>
  <si>
    <t>podél stáv. budovy ZŠ</t>
  </si>
  <si>
    <t>0,6*(10,5+2,2+6,54+2,21)</t>
  </si>
  <si>
    <t>231</t>
  </si>
  <si>
    <t>711142559RT2</t>
  </si>
  <si>
    <t>Prov. izolace proti vlhkosti na ploše svislé, asfaltovými pásy přitavením</t>
  </si>
  <si>
    <t>2 vrstvy - pásy ve specifikaci</t>
  </si>
  <si>
    <t>232</t>
  </si>
  <si>
    <t>62852251</t>
  </si>
  <si>
    <t>Pás asfaltový modifikovaný 40 mineral, natavovací, kotvicí</t>
  </si>
  <si>
    <t>172,8*2</t>
  </si>
  <si>
    <t>345,6*0,2</t>
  </si>
  <si>
    <t>ztratné 20%</t>
  </si>
  <si>
    <t>233</t>
  </si>
  <si>
    <t>711132311R00</t>
  </si>
  <si>
    <t>Prov. izolace nopovou fólií na ploše svislé, vč. uchycení a těsnění</t>
  </si>
  <si>
    <t>ochrana XPS izolace</t>
  </si>
  <si>
    <t>S7+S8</t>
  </si>
  <si>
    <t>234</t>
  </si>
  <si>
    <t>998711202R00</t>
  </si>
  <si>
    <t>Přesun hmot pro izolace proti vodě, výšky do 12 m</t>
  </si>
  <si>
    <t>235</t>
  </si>
  <si>
    <t>998711292R00</t>
  </si>
  <si>
    <t>Příplatek zvětšený přesun, izolace proti vodě do 100 m</t>
  </si>
  <si>
    <t>712</t>
  </si>
  <si>
    <t>Izolace střech (živičné krytiny)</t>
  </si>
  <si>
    <t>236</t>
  </si>
  <si>
    <t>712391171RT1</t>
  </si>
  <si>
    <t>Prov. povl. krytiny střech, podkladní textilie</t>
  </si>
  <si>
    <t>712_</t>
  </si>
  <si>
    <t>1 vrstva - textilie ve specifikaci</t>
  </si>
  <si>
    <t>648,3</t>
  </si>
  <si>
    <t>S6</t>
  </si>
  <si>
    <t>237</t>
  </si>
  <si>
    <t>712391172RT1</t>
  </si>
  <si>
    <t>Prov. povl. krytiny střech, ochranná textilie, S6</t>
  </si>
  <si>
    <t>238</t>
  </si>
  <si>
    <t>69370514</t>
  </si>
  <si>
    <t>Geotextilie PP 300 g/m2 - dodávka, S6</t>
  </si>
  <si>
    <t>648,3*0,05</t>
  </si>
  <si>
    <t>ztratné 5%</t>
  </si>
  <si>
    <t>239</t>
  </si>
  <si>
    <t>712373111R00</t>
  </si>
  <si>
    <t>Prov. povlak. krytiny střech do 10°, fólií kotvenou do bet. podkladu</t>
  </si>
  <si>
    <t>6 kotev/m2</t>
  </si>
  <si>
    <t>20,71*11,7+7,68*3,245</t>
  </si>
  <si>
    <t>S6- tělocvična+1N06</t>
  </si>
  <si>
    <t>(20,71+11,71)*2*0,6</t>
  </si>
  <si>
    <t>tělocvična - atika</t>
  </si>
  <si>
    <t>68,8*0,42</t>
  </si>
  <si>
    <t>dtto-atika svisle</t>
  </si>
  <si>
    <t>46,7*0,38+(4,37+2,11)*(1,33+0,48)</t>
  </si>
  <si>
    <t>nad 2NP-atika svisle</t>
  </si>
  <si>
    <t>(1,3+1,8)*2*8*(0,4-0,2)</t>
  </si>
  <si>
    <t>nad 2NP-světlíky svisle</t>
  </si>
  <si>
    <t>(6,88+2,845)*2*0,4</t>
  </si>
  <si>
    <t>1N06 atika-bok</t>
  </si>
  <si>
    <t>144,6</t>
  </si>
  <si>
    <t>ostatní střechy nad 1NP</t>
  </si>
  <si>
    <t>121,5</t>
  </si>
  <si>
    <t>nad 2NP</t>
  </si>
  <si>
    <t>240</t>
  </si>
  <si>
    <t>283221051</t>
  </si>
  <si>
    <t>Fólie hydroiz. PVC-P, tl. 2,0 mm, střešní, proti prorůstání kořenů, S6</t>
  </si>
  <si>
    <t>648,30*0,12</t>
  </si>
  <si>
    <t>ztratné 12%</t>
  </si>
  <si>
    <t>241</t>
  </si>
  <si>
    <t>711409111RS6</t>
  </si>
  <si>
    <t>Montáž rozchodníkové rohože</t>
  </si>
  <si>
    <t>zelené střechy</t>
  </si>
  <si>
    <t>533,33-9,16</t>
  </si>
  <si>
    <t>S6+S12+S16</t>
  </si>
  <si>
    <t>242</t>
  </si>
  <si>
    <t>00590031</t>
  </si>
  <si>
    <t>Rohož rozchodníková 30 mm, dodávka -zelené střechy</t>
  </si>
  <si>
    <t>524,17</t>
  </si>
  <si>
    <t>524,17*0,08</t>
  </si>
  <si>
    <t>ztratné 8%</t>
  </si>
  <si>
    <t>243</t>
  </si>
  <si>
    <t>181301101R00</t>
  </si>
  <si>
    <t>Rozprostření substrátu, rovina, tl. do 10 cm do 500m2</t>
  </si>
  <si>
    <t>extenzivní substrát 5 cm</t>
  </si>
  <si>
    <t>S6+S12+S16 - zelené střechy</t>
  </si>
  <si>
    <t>-31,42-10,21</t>
  </si>
  <si>
    <t>odpočet plochy kačírku</t>
  </si>
  <si>
    <t>244</t>
  </si>
  <si>
    <t>10371531</t>
  </si>
  <si>
    <t>Substrát střešní extenzivní - zelené střechy</t>
  </si>
  <si>
    <t>524,17*0,05</t>
  </si>
  <si>
    <t>(-31,42-10,21)*0,05</t>
  </si>
  <si>
    <t>24,127*0,1</t>
  </si>
  <si>
    <t>ztratné 10%</t>
  </si>
  <si>
    <t>245</t>
  </si>
  <si>
    <t>712801001RX1</t>
  </si>
  <si>
    <t>Hydroakumulační vrstva pro zelené střechy D+M</t>
  </si>
  <si>
    <t>hybridní retenčně - vegetační desky</t>
  </si>
  <si>
    <t>246</t>
  </si>
  <si>
    <t>711403315RX1</t>
  </si>
  <si>
    <t>Drenážní + vodozádržná rohož, položení na sucho, D+M</t>
  </si>
  <si>
    <t>tloušťka rohože 17 mm</t>
  </si>
  <si>
    <t>247</t>
  </si>
  <si>
    <t>712378104RT4</t>
  </si>
  <si>
    <t>Prostup pro kabely s manžetou PVC</t>
  </si>
  <si>
    <t>průměr prostupu 110 mm</t>
  </si>
  <si>
    <t>K13</t>
  </si>
  <si>
    <t>248</t>
  </si>
  <si>
    <t>712348105RT3</t>
  </si>
  <si>
    <t>Prostup parozábranou s manžetou z asf. pásu, K13+K15</t>
  </si>
  <si>
    <t>průměr 110 mm, dle výp. klemp. výr.</t>
  </si>
  <si>
    <t>K13, pro kabely</t>
  </si>
  <si>
    <t>K15, pro odvětrání radonu</t>
  </si>
  <si>
    <t>249</t>
  </si>
  <si>
    <t>712378101RT3</t>
  </si>
  <si>
    <t>Komínek odvětrání kanalizace s manžetou z PVC</t>
  </si>
  <si>
    <t>pro DN 110 mm</t>
  </si>
  <si>
    <t>K15-radon z podloží</t>
  </si>
  <si>
    <t>250</t>
  </si>
  <si>
    <t>712378104R00</t>
  </si>
  <si>
    <t>Prostup pro kotvy s manžetou PVC</t>
  </si>
  <si>
    <t>kotvy záchytného systému</t>
  </si>
  <si>
    <t>251</t>
  </si>
  <si>
    <t>712378104RT2</t>
  </si>
  <si>
    <t>Prostup pro potrubí s manžetou PVC</t>
  </si>
  <si>
    <t>průměr prostupu 50 mm</t>
  </si>
  <si>
    <t>VZT5 - dle výpisu prostupů</t>
  </si>
  <si>
    <t>252</t>
  </si>
  <si>
    <t>712378104RT6</t>
  </si>
  <si>
    <t>průměr prostupu 155 mm</t>
  </si>
  <si>
    <t>4+10+2+6</t>
  </si>
  <si>
    <t>VZT4+DZT1+ZTI1+DZT1(1NP)</t>
  </si>
  <si>
    <t>253</t>
  </si>
  <si>
    <t>712378104RT7</t>
  </si>
  <si>
    <t>průměr prostupu 300 mm</t>
  </si>
  <si>
    <t>VZT1</t>
  </si>
  <si>
    <t>254</t>
  </si>
  <si>
    <t>712378104RT9</t>
  </si>
  <si>
    <t>průměr prostupu 350 mm</t>
  </si>
  <si>
    <t>světlovody</t>
  </si>
  <si>
    <t>255</t>
  </si>
  <si>
    <t>712378104RT8</t>
  </si>
  <si>
    <t>průměr prostupu 550 mm</t>
  </si>
  <si>
    <t>VZT2</t>
  </si>
  <si>
    <t>256</t>
  </si>
  <si>
    <t>712348104R00</t>
  </si>
  <si>
    <t>Prostup parozábranou pro kotvy s manžetou z asf. pásu</t>
  </si>
  <si>
    <t>pro záchytný systém</t>
  </si>
  <si>
    <t>257</t>
  </si>
  <si>
    <t>712348105RT1</t>
  </si>
  <si>
    <t>Prostup parozábranou s manžetou z asf. pásu</t>
  </si>
  <si>
    <t>258</t>
  </si>
  <si>
    <t>712348105RT5</t>
  </si>
  <si>
    <t>Prostup parozábranou s manžetou z asfaltového pásu</t>
  </si>
  <si>
    <t>259</t>
  </si>
  <si>
    <t>712348105RT6</t>
  </si>
  <si>
    <t>260</t>
  </si>
  <si>
    <t>712348105RT8</t>
  </si>
  <si>
    <t>261</t>
  </si>
  <si>
    <t>712348105RT7</t>
  </si>
  <si>
    <t>262</t>
  </si>
  <si>
    <t>712378111R00</t>
  </si>
  <si>
    <t>Povl. krytina střech, vnější rohová tvarovka</t>
  </si>
  <si>
    <t>typový poplast. prvek</t>
  </si>
  <si>
    <t>4*8</t>
  </si>
  <si>
    <t>světlíky</t>
  </si>
  <si>
    <t>ostatní rohy</t>
  </si>
  <si>
    <t>263</t>
  </si>
  <si>
    <t>712378110R00</t>
  </si>
  <si>
    <t>Povl. krytina střech, vnitřní rohová tvarovka</t>
  </si>
  <si>
    <t>264</t>
  </si>
  <si>
    <t>712378005R00</t>
  </si>
  <si>
    <t>Povl. krytina střech, stěnová lišta vyhnutá rš 70 mm</t>
  </si>
  <si>
    <t>(1,3+1,8)*2*8</t>
  </si>
  <si>
    <t>(20,71+11,71)*2</t>
  </si>
  <si>
    <t>atika tělocvičny</t>
  </si>
  <si>
    <t>13,6+0,3+4,37+2,02+3,63+0,5</t>
  </si>
  <si>
    <t>ostatní kouty střechy</t>
  </si>
  <si>
    <t>265</t>
  </si>
  <si>
    <t>712378007R00</t>
  </si>
  <si>
    <t>Povl. krytina střech, rohová lišta vnitřní rš 100 mm</t>
  </si>
  <si>
    <t>96,24</t>
  </si>
  <si>
    <t>atiky zevnitř</t>
  </si>
  <si>
    <t>266</t>
  </si>
  <si>
    <t>712378006R00</t>
  </si>
  <si>
    <t>Povl. krytina střech, rohová lišta vnější rš 100 mm</t>
  </si>
  <si>
    <t>typový poplastovaný prvek</t>
  </si>
  <si>
    <t>atiky vršek</t>
  </si>
  <si>
    <t>267</t>
  </si>
  <si>
    <t>712378008R00</t>
  </si>
  <si>
    <t>Povl. krytina střech, pásek rš 50 mm</t>
  </si>
  <si>
    <t>268</t>
  </si>
  <si>
    <t>712311101RZ1</t>
  </si>
  <si>
    <t>Prov. povl. krytiny střech do 10°, asfaltovým penetračním nátěrem</t>
  </si>
  <si>
    <t>1x nátěr - vč. dod. asf. pen. nátěru</t>
  </si>
  <si>
    <t>S6+S9+S12+S16-parozábrana</t>
  </si>
  <si>
    <t>46,7*0,38+(4,37+2,11)*0,3</t>
  </si>
  <si>
    <t>-39,02</t>
  </si>
  <si>
    <t>atika vršek - odpočet</t>
  </si>
  <si>
    <t>269</t>
  </si>
  <si>
    <t>712341559RT1</t>
  </si>
  <si>
    <t>Prov. povl. krytiny střech do 10°, asfaltovými pásy, přitavení celoplošně</t>
  </si>
  <si>
    <t>1 vrstva - asf. pás ve specifikaci</t>
  </si>
  <si>
    <t>589,58</t>
  </si>
  <si>
    <t>270</t>
  </si>
  <si>
    <t>Pás asfaltový modifikovaný AL 40 mineral, natavovací- dle výpisu</t>
  </si>
  <si>
    <t>589,58*0,15</t>
  </si>
  <si>
    <t>271</t>
  </si>
  <si>
    <t>998712202R00</t>
  </si>
  <si>
    <t>Přesun hmot pro povlakové krytiny, výšky do 12 m</t>
  </si>
  <si>
    <t>272</t>
  </si>
  <si>
    <t>998712292R00</t>
  </si>
  <si>
    <t>Příplatek zvětšený přesun, pro povlakové krytiny do 100 m</t>
  </si>
  <si>
    <t>713</t>
  </si>
  <si>
    <t>Izolace tepelné</t>
  </si>
  <si>
    <t>273</t>
  </si>
  <si>
    <t>713121121RT1</t>
  </si>
  <si>
    <t>Montáž tepelné izolace podlah na sucho, dvouvrstvá</t>
  </si>
  <si>
    <t>713_</t>
  </si>
  <si>
    <t>materiál ve specifikaci</t>
  </si>
  <si>
    <t>274</t>
  </si>
  <si>
    <t>28375460</t>
  </si>
  <si>
    <t>Deska izolační XPS univerzální</t>
  </si>
  <si>
    <t>(11+78,3+24+10+3,6+5,1+13+13,3+9,2)*0,14</t>
  </si>
  <si>
    <t>(15,7+6,5+8+4+2+1,7+2+1,7+3,6+2,1)*0,14</t>
  </si>
  <si>
    <t>(220+20,3)*0,1</t>
  </si>
  <si>
    <t>533,33*0,1</t>
  </si>
  <si>
    <t>S6+S9+S10(svrchu)+S12+S16</t>
  </si>
  <si>
    <t>49,87*0,1</t>
  </si>
  <si>
    <t>S10+S11-atika z boku zevnitř</t>
  </si>
  <si>
    <t>112,422*0,04</t>
  </si>
  <si>
    <t>ztratné 4%</t>
  </si>
  <si>
    <t>275</t>
  </si>
  <si>
    <t>713191100RT9</t>
  </si>
  <si>
    <t>Položení separační fólie</t>
  </si>
  <si>
    <t>včetně dodávky PE fólie</t>
  </si>
  <si>
    <t>373,26*0,1</t>
  </si>
  <si>
    <t>vytažení na stěnu</t>
  </si>
  <si>
    <t>276</t>
  </si>
  <si>
    <t>713121118RT1</t>
  </si>
  <si>
    <t>Montáž dilat. pásku podél stěn, oddělení od betonů apod.</t>
  </si>
  <si>
    <t>(2,2+5,15)*2</t>
  </si>
  <si>
    <t>(11,35+6,9)*2</t>
  </si>
  <si>
    <t>(2,51+9,56)*2</t>
  </si>
  <si>
    <t>(2,53+3,3)*2</t>
  </si>
  <si>
    <t>(20+11)*2</t>
  </si>
  <si>
    <t>(6,78+3,3+0,3)*2-3,64</t>
  </si>
  <si>
    <t>(3,435+1,9+0,9)*2</t>
  </si>
  <si>
    <t>4,235+2,845+3,775+4,025</t>
  </si>
  <si>
    <t>(4,235+1,9)*2</t>
  </si>
  <si>
    <t>(6,385+1,5)*2</t>
  </si>
  <si>
    <t>(1,8+2,25)*2</t>
  </si>
  <si>
    <t>(1,65+2,25)*2</t>
  </si>
  <si>
    <t>2,9+2,25+3,73+2,4</t>
  </si>
  <si>
    <t>5,52</t>
  </si>
  <si>
    <t>(2,65+3,6+0,1+2,5)*2</t>
  </si>
  <si>
    <t>(10,85+6,9)*2</t>
  </si>
  <si>
    <t>(1,25+3,2)*2</t>
  </si>
  <si>
    <t>3*2</t>
  </si>
  <si>
    <t>1N03/1N04 - 2 nad sebou</t>
  </si>
  <si>
    <t>(3,99+3,95)*2</t>
  </si>
  <si>
    <t>(1,5+2,6)*2</t>
  </si>
  <si>
    <t>(1,5+3,275)*2</t>
  </si>
  <si>
    <t>(3,435+3,775)*2</t>
  </si>
  <si>
    <t>277</t>
  </si>
  <si>
    <t>2837532R</t>
  </si>
  <si>
    <t>Pásek dilatační okrajový EPS100 š. 150 mm tl. 10 mm - dodávka</t>
  </si>
  <si>
    <t>oddělení od betonů apod.</t>
  </si>
  <si>
    <t>614,36</t>
  </si>
  <si>
    <t>obvod podlah</t>
  </si>
  <si>
    <t>614,36*0,1</t>
  </si>
  <si>
    <t>278</t>
  </si>
  <si>
    <t>713120010RX1</t>
  </si>
  <si>
    <t>Izolace podlah kročejová minerální z desek, D+M</t>
  </si>
  <si>
    <t>tloušťka 40 mm</t>
  </si>
  <si>
    <t>279</t>
  </si>
  <si>
    <t>713141323R00</t>
  </si>
  <si>
    <t>Montáž tepelné izolace střech do tl. 200 mm, 2 vrstvy, na kotvy, S6</t>
  </si>
  <si>
    <t>280</t>
  </si>
  <si>
    <t>28375704</t>
  </si>
  <si>
    <t>Deska izolační stabilizovaná EPS 100 1000 x 500 mm</t>
  </si>
  <si>
    <t>533,33*0,04</t>
  </si>
  <si>
    <t>281</t>
  </si>
  <si>
    <t>711212311R00</t>
  </si>
  <si>
    <t>Penetrace savých podkladů, atiky zevnitř</t>
  </si>
  <si>
    <t>48,12</t>
  </si>
  <si>
    <t>před lepením XPS</t>
  </si>
  <si>
    <t>282</t>
  </si>
  <si>
    <t>713131131RT4</t>
  </si>
  <si>
    <t>Montáž tepelné izolace stěn lepením- atika zevnitř</t>
  </si>
  <si>
    <t>lepidlo v ceně, XPS ve specifikaci</t>
  </si>
  <si>
    <t>25,81</t>
  </si>
  <si>
    <t>plocha zdiva atiky</t>
  </si>
  <si>
    <t>96,24*0,25</t>
  </si>
  <si>
    <t>plocha věnce atiky</t>
  </si>
  <si>
    <t>283</t>
  </si>
  <si>
    <t>713141312R00</t>
  </si>
  <si>
    <t>Montáž tep. izol. atiky vod. tl. 100 mm, 1 vrstva, na kotvy</t>
  </si>
  <si>
    <t>XPS je ve specifikaci</t>
  </si>
  <si>
    <t>39,02</t>
  </si>
  <si>
    <t>atika svrchu</t>
  </si>
  <si>
    <t>284</t>
  </si>
  <si>
    <t>998713292R00</t>
  </si>
  <si>
    <t>Příplatek zvětšený přesun, izolace tepelné do 100 m</t>
  </si>
  <si>
    <t>285</t>
  </si>
  <si>
    <t>998713202R00</t>
  </si>
  <si>
    <t>Přesun hmot pro izolace tepelné, výšky do 12 m</t>
  </si>
  <si>
    <t>722</t>
  </si>
  <si>
    <t>Vnitřní vodovod</t>
  </si>
  <si>
    <t>286</t>
  </si>
  <si>
    <t>722259201R00</t>
  </si>
  <si>
    <t>Montáž hydrantového systému, Z37</t>
  </si>
  <si>
    <t>722_</t>
  </si>
  <si>
    <t>SO-01_72_</t>
  </si>
  <si>
    <t>287</t>
  </si>
  <si>
    <t>722259991R00</t>
  </si>
  <si>
    <t>Tlaková zkouška nástěnného požárního hydrantu, Z37</t>
  </si>
  <si>
    <t>288</t>
  </si>
  <si>
    <t>722259995R00</t>
  </si>
  <si>
    <t>Vystavení revizní zprávy - nástěnný požární hydrant, Z37</t>
  </si>
  <si>
    <t>725</t>
  </si>
  <si>
    <t>Zařizovací předměty</t>
  </si>
  <si>
    <t>289</t>
  </si>
  <si>
    <t>725291146R00</t>
  </si>
  <si>
    <t>Madlo dvojité sklopné nerez, D+M, Z25</t>
  </si>
  <si>
    <t>soubor</t>
  </si>
  <si>
    <t>725_</t>
  </si>
  <si>
    <t>Z25</t>
  </si>
  <si>
    <t>290</t>
  </si>
  <si>
    <t>721223460RX1</t>
  </si>
  <si>
    <t>Vpusť podlahová - obetonování</t>
  </si>
  <si>
    <t>sprchy + tech. místnost</t>
  </si>
  <si>
    <t>1N07+1N11+1N13</t>
  </si>
  <si>
    <t>291</t>
  </si>
  <si>
    <t>725291123Z25</t>
  </si>
  <si>
    <t>Madlo nerez dl. 550 mm, D+M, Z25</t>
  </si>
  <si>
    <t>292</t>
  </si>
  <si>
    <t>725291124Z25</t>
  </si>
  <si>
    <t>Madlo nerez dl. 630 mm, D+M, Z25</t>
  </si>
  <si>
    <t>293</t>
  </si>
  <si>
    <t>998725202R00</t>
  </si>
  <si>
    <t>Přesun hmot pro zařizovací předměty, výšky do 12 m</t>
  </si>
  <si>
    <t>294</t>
  </si>
  <si>
    <t>998725292R00</t>
  </si>
  <si>
    <t>Příplatek za zvětšený přesun, zařizovací předměty do 100 m</t>
  </si>
  <si>
    <t>736</t>
  </si>
  <si>
    <t>Podlahové vytápění</t>
  </si>
  <si>
    <t>295</t>
  </si>
  <si>
    <t>736312132R00</t>
  </si>
  <si>
    <t>Systémová izolační deska tl. 50 mm, dod. + montáž</t>
  </si>
  <si>
    <t>736_</t>
  </si>
  <si>
    <t>SO-01_73_</t>
  </si>
  <si>
    <t>pro podlahové vytápění</t>
  </si>
  <si>
    <t>296</t>
  </si>
  <si>
    <t>998736202R00</t>
  </si>
  <si>
    <t>Přesun hmot pro podlahové vytápění, výšky do 12 m</t>
  </si>
  <si>
    <t>762</t>
  </si>
  <si>
    <t>Konstrukce tesařské</t>
  </si>
  <si>
    <t>297</t>
  </si>
  <si>
    <t>762441112R00</t>
  </si>
  <si>
    <t>Montáž obložení atiky z překliž. desek, 1 vrstva, šroubováním</t>
  </si>
  <si>
    <t>762_</t>
  </si>
  <si>
    <t>SO-01_76_</t>
  </si>
  <si>
    <t>0,4*(6,36+2,11)</t>
  </si>
  <si>
    <t>0,4*2,11+0,35*2,11</t>
  </si>
  <si>
    <t>0,4*(7,38+2,945*2+4*0,15)</t>
  </si>
  <si>
    <t>0,4*(2,95+14,925+11,24+6,515+4*0,15+2*0,1)</t>
  </si>
  <si>
    <t>0,4*(0,4+10,1+2,15+12,25+7+8*0,15)+0,25*2,75</t>
  </si>
  <si>
    <t>298</t>
  </si>
  <si>
    <t>309854243</t>
  </si>
  <si>
    <t>TURBO šroub FFS 7,5/202 T30</t>
  </si>
  <si>
    <t>7,38+2,945*2+4*0,15</t>
  </si>
  <si>
    <t>02,95+14,925+11,24+6,515+4*0,15+2*0,1</t>
  </si>
  <si>
    <t>0,4+10,1+2,15+12,25+7+8*0,15+2,75</t>
  </si>
  <si>
    <t>98,84*5</t>
  </si>
  <si>
    <t>spotřeba 6 ks/bm</t>
  </si>
  <si>
    <t>593*0,2</t>
  </si>
  <si>
    <t>299</t>
  </si>
  <si>
    <t>606233006</t>
  </si>
  <si>
    <t>Překližka vodovzdorná bříza tl. 21 mm jak. S/BB</t>
  </si>
  <si>
    <t>39,018</t>
  </si>
  <si>
    <t>vrchní strana atik</t>
  </si>
  <si>
    <t>39,018*0,08</t>
  </si>
  <si>
    <t>300</t>
  </si>
  <si>
    <t>762088116R00</t>
  </si>
  <si>
    <t>Zakrývání provizorní plachtou 15x20m,vč.odstranění</t>
  </si>
  <si>
    <t>dočasné zakrývání střech</t>
  </si>
  <si>
    <t>301</t>
  </si>
  <si>
    <t>998762202R00</t>
  </si>
  <si>
    <t>Přesun hmot pro tesařské konstrukce, výšky do 12 m</t>
  </si>
  <si>
    <t>764</t>
  </si>
  <si>
    <t>Konstrukce klempířské</t>
  </si>
  <si>
    <t>302</t>
  </si>
  <si>
    <t>764410340R00</t>
  </si>
  <si>
    <t>Oplechování parapetů včetně rohů Al, rš 230 mm</t>
  </si>
  <si>
    <t>764_</t>
  </si>
  <si>
    <t>dle výpisu klemp. výrobků</t>
  </si>
  <si>
    <t>3,1</t>
  </si>
  <si>
    <t>K01</t>
  </si>
  <si>
    <t>303</t>
  </si>
  <si>
    <t>764410350R00</t>
  </si>
  <si>
    <t>Oplechování parapetů včetně rohů Al, rš 280 mm</t>
  </si>
  <si>
    <t>5,3</t>
  </si>
  <si>
    <t>K02</t>
  </si>
  <si>
    <t>3,2</t>
  </si>
  <si>
    <t>K03</t>
  </si>
  <si>
    <t>K04</t>
  </si>
  <si>
    <t>K05</t>
  </si>
  <si>
    <t>304</t>
  </si>
  <si>
    <t>764410330R00</t>
  </si>
  <si>
    <t>Oplechování parapetů včetně rohů Al, rš 180 mm</t>
  </si>
  <si>
    <t>K14</t>
  </si>
  <si>
    <t>305</t>
  </si>
  <si>
    <t>764430350RT2</t>
  </si>
  <si>
    <t>Oplechování zdí včetně rohů z Al, rš 550 mm, K07</t>
  </si>
  <si>
    <t>nalepení Enkolitem</t>
  </si>
  <si>
    <t>K07, dle výpisu klemp. výrobků</t>
  </si>
  <si>
    <t>306</t>
  </si>
  <si>
    <t>764430260RT2</t>
  </si>
  <si>
    <t>Oplechování zdí z Pz plechu, rš 750 mm, K08</t>
  </si>
  <si>
    <t>K08</t>
  </si>
  <si>
    <t>307</t>
  </si>
  <si>
    <t>764522610R00</t>
  </si>
  <si>
    <t>Oplechování  z TiZn - úprava,  rš.1000 mm, K09</t>
  </si>
  <si>
    <t>K09</t>
  </si>
  <si>
    <t>308</t>
  </si>
  <si>
    <t>764554403R00</t>
  </si>
  <si>
    <t>Odpadní trouby z Ti Zn plechu, kruhové, D 120 mm, K10</t>
  </si>
  <si>
    <t>K10, vč. kolen, odskoků atd.</t>
  </si>
  <si>
    <t>309</t>
  </si>
  <si>
    <t>764454391R00</t>
  </si>
  <si>
    <t>Montáž trub Al odpadních kruhových, K11</t>
  </si>
  <si>
    <t>K11</t>
  </si>
  <si>
    <t>310</t>
  </si>
  <si>
    <t>764454394R00</t>
  </si>
  <si>
    <t>Montáž odskoku Al kruhového</t>
  </si>
  <si>
    <t>311</t>
  </si>
  <si>
    <t>764454393R00</t>
  </si>
  <si>
    <t>Montáž kolena Al kruhového</t>
  </si>
  <si>
    <t>312</t>
  </si>
  <si>
    <t>764454010K11</t>
  </si>
  <si>
    <t>Odpadní trouby z AL plechu kruhové, K11</t>
  </si>
  <si>
    <t>prům. 120 mm, dle výpisu klemp. výr.</t>
  </si>
  <si>
    <t>K11, vč. kolen, odskoků a kotlíku</t>
  </si>
  <si>
    <t>313</t>
  </si>
  <si>
    <t>764430320RX1</t>
  </si>
  <si>
    <t>Oplech. atiky (fas. panelů) - vč. OK, XPS atd. dle popisu - K06</t>
  </si>
  <si>
    <t>vše dle výpisu klemp. výrobků</t>
  </si>
  <si>
    <t>66,4</t>
  </si>
  <si>
    <t>K06</t>
  </si>
  <si>
    <t>314</t>
  </si>
  <si>
    <t>764430310K12</t>
  </si>
  <si>
    <t>Ukončovací lišta styku folie a stěny, K12</t>
  </si>
  <si>
    <t>2*(20,71+11,71)</t>
  </si>
  <si>
    <t>K12-tělocvična-střecha</t>
  </si>
  <si>
    <t>7,68</t>
  </si>
  <si>
    <t>nářaďovna</t>
  </si>
  <si>
    <t>21,01+0,655+6,63</t>
  </si>
  <si>
    <t>styk stř. 1NP+2NP a tělocvičny</t>
  </si>
  <si>
    <t>2,42+3,6+12,11+0,49</t>
  </si>
  <si>
    <t>styk stř. 1NP+2NP a stáv. ZŠ</t>
  </si>
  <si>
    <t>315</t>
  </si>
  <si>
    <t>Prostup folií s manžetou PVC, K13+K15</t>
  </si>
  <si>
    <t>průměr 110 mm, dle výp. klemp. výrobků</t>
  </si>
  <si>
    <t>316</t>
  </si>
  <si>
    <t>721176242R00</t>
  </si>
  <si>
    <t>Potrubí KG dešťové (svislé), D 110 x 3,2 mm, K15</t>
  </si>
  <si>
    <t>K15 - odvětrání radonu</t>
  </si>
  <si>
    <t>317</t>
  </si>
  <si>
    <t>764816420RX1</t>
  </si>
  <si>
    <t>Okapnice z poplast. plechu, rš 200 mm, vč. zatěsnění</t>
  </si>
  <si>
    <t>styk nového soklu se stáv. fasádou</t>
  </si>
  <si>
    <t>11,1+1,5+7+2,1</t>
  </si>
  <si>
    <t>318</t>
  </si>
  <si>
    <t>764312821R00</t>
  </si>
  <si>
    <t>Demontáž krytiny, tab. 2 x 0,67 m, do 25 m2, do 30°</t>
  </si>
  <si>
    <t>4,91*2,195</t>
  </si>
  <si>
    <t>P9, stáv. škola</t>
  </si>
  <si>
    <t>319</t>
  </si>
  <si>
    <t>764352810R00</t>
  </si>
  <si>
    <t>Demontáž žlabů půlkruh. rovných, rš 330 mm, do 30°</t>
  </si>
  <si>
    <t>4,91</t>
  </si>
  <si>
    <t>stáv. střecha ZŠ u schodiště</t>
  </si>
  <si>
    <t>320</t>
  </si>
  <si>
    <t>764351836R00</t>
  </si>
  <si>
    <t>Demontáž háků, sklon do 30°</t>
  </si>
  <si>
    <t>321</t>
  </si>
  <si>
    <t>764391820R00</t>
  </si>
  <si>
    <t>Demontáž závětrné lišty, rš 250 a 330 mm, do 30°</t>
  </si>
  <si>
    <t>2,2*2</t>
  </si>
  <si>
    <t>střecha stáv. ZŠ</t>
  </si>
  <si>
    <t>322</t>
  </si>
  <si>
    <t>764454801R00</t>
  </si>
  <si>
    <t>Demontáž odpadních trub kruhových, D 75 a 100 mm</t>
  </si>
  <si>
    <t>střecha stáv, ZŠ</t>
  </si>
  <si>
    <t>323</t>
  </si>
  <si>
    <t>998764202R00</t>
  </si>
  <si>
    <t>Přesun hmot pro klempířské konstr., výšky do 12 m</t>
  </si>
  <si>
    <t>324</t>
  </si>
  <si>
    <t>998764292R00</t>
  </si>
  <si>
    <t>Příplatek zvětš. přesun, klempíř. konstr. do 100 m</t>
  </si>
  <si>
    <t>766</t>
  </si>
  <si>
    <t>Konstrukce truhlářské</t>
  </si>
  <si>
    <t>325</t>
  </si>
  <si>
    <t>766441111R00</t>
  </si>
  <si>
    <t>Položení podlahy teras z prken, na podkladní rošt</t>
  </si>
  <si>
    <t>766_</t>
  </si>
  <si>
    <t>326</t>
  </si>
  <si>
    <t>766661112R00</t>
  </si>
  <si>
    <t>Montáž dveří do zárubně,otevíravých 1kř.do 0,8 m</t>
  </si>
  <si>
    <t>4+5</t>
  </si>
  <si>
    <t>T01+T02</t>
  </si>
  <si>
    <t>327</t>
  </si>
  <si>
    <t>61160186T01</t>
  </si>
  <si>
    <t>Dveře vnitřní hladké plné 1 kříd. HPL 80x197 lak</t>
  </si>
  <si>
    <t>T01-vše dle výpisu truhl. výr.</t>
  </si>
  <si>
    <t>vč. větrací mřížky atd.</t>
  </si>
  <si>
    <t>328</t>
  </si>
  <si>
    <t>61160156T02</t>
  </si>
  <si>
    <t>Dveře vnitřní hladké plné 1 kříd. HPL 70x197 lak</t>
  </si>
  <si>
    <t>T02-vše dle výpisu truhl. výr.</t>
  </si>
  <si>
    <t>329</t>
  </si>
  <si>
    <t>766661122R00</t>
  </si>
  <si>
    <t>Montáž dveří do zárubně,otevíravých 1kř.nad 0,8 m</t>
  </si>
  <si>
    <t>330</t>
  </si>
  <si>
    <t>61160216T03</t>
  </si>
  <si>
    <t>Dveře vnitřní hladké plné 1 kříd. HPL 90x197 lak</t>
  </si>
  <si>
    <t>T03-vše dle výpisu truhl. výr.</t>
  </si>
  <si>
    <t>vč. madlo pro imobilní atd.</t>
  </si>
  <si>
    <t>331</t>
  </si>
  <si>
    <t>61160216T04</t>
  </si>
  <si>
    <t>T04-vše dle výpisu truhl. výr.</t>
  </si>
  <si>
    <t>vč. úpravy zamykání atd.</t>
  </si>
  <si>
    <t>332</t>
  </si>
  <si>
    <t>61160216T05</t>
  </si>
  <si>
    <t>T05-vše dle výpisu truhl. výr.</t>
  </si>
  <si>
    <t>333</t>
  </si>
  <si>
    <t>766661132R00</t>
  </si>
  <si>
    <t>Montáž dveří do zárubně,otevíravých 2kř.do 1,45 m</t>
  </si>
  <si>
    <t>334</t>
  </si>
  <si>
    <t>61160315T06</t>
  </si>
  <si>
    <t>Dveře vnitřní hladké prosklené 2 kříd. HPL 140x197 lak</t>
  </si>
  <si>
    <t>T06-vše dle výpisu truhl. výr.</t>
  </si>
  <si>
    <t>vč. kulatého okna atd.</t>
  </si>
  <si>
    <t>335</t>
  </si>
  <si>
    <t>766661142R00</t>
  </si>
  <si>
    <t>Montáž dveří do zárubně,otevíravých 2kř.nad 1,45 m</t>
  </si>
  <si>
    <t>336</t>
  </si>
  <si>
    <t>61160316T07</t>
  </si>
  <si>
    <t>Dveře vnitřní hladké prosklené 2 kříd. HPL 200x197 lak</t>
  </si>
  <si>
    <t>T07-vše dle výpisu truhl. výr.</t>
  </si>
  <si>
    <t>337</t>
  </si>
  <si>
    <t>766670021R00</t>
  </si>
  <si>
    <t>Montáž kliky a štítku</t>
  </si>
  <si>
    <t>materiál je ve specifikaci</t>
  </si>
  <si>
    <t>4+5+1+1+1+1+1</t>
  </si>
  <si>
    <t>T01 - T07</t>
  </si>
  <si>
    <t>338</t>
  </si>
  <si>
    <t>54914624</t>
  </si>
  <si>
    <t>Kování dveřní samet chrom</t>
  </si>
  <si>
    <t>339</t>
  </si>
  <si>
    <t>766124100T08</t>
  </si>
  <si>
    <t>Stěna sanitární systémová - dod. + montáž</t>
  </si>
  <si>
    <t>provedení dle výpisu truhl. výrobků</t>
  </si>
  <si>
    <t>T08</t>
  </si>
  <si>
    <t>340</t>
  </si>
  <si>
    <t>766124100T09</t>
  </si>
  <si>
    <t>T09</t>
  </si>
  <si>
    <t>341</t>
  </si>
  <si>
    <t>766124100T10</t>
  </si>
  <si>
    <t>T10</t>
  </si>
  <si>
    <t>342</t>
  </si>
  <si>
    <t>766124100T11</t>
  </si>
  <si>
    <t>T11</t>
  </si>
  <si>
    <t>343</t>
  </si>
  <si>
    <t>766124100T12</t>
  </si>
  <si>
    <t>T12</t>
  </si>
  <si>
    <t>344</t>
  </si>
  <si>
    <t>766670021T13</t>
  </si>
  <si>
    <t>Výměna kování na stáv. vstupních dveřích</t>
  </si>
  <si>
    <t>rozsah dle výpisu truhl. výrobků</t>
  </si>
  <si>
    <t>T13, vč. panik. kování atd.</t>
  </si>
  <si>
    <t>345</t>
  </si>
  <si>
    <t>766416133R00</t>
  </si>
  <si>
    <t>Obložení stěn nad 5 m2, překližkové desky nad 1,5 m2, T14</t>
  </si>
  <si>
    <t>neobsahuje rošt a materiál</t>
  </si>
  <si>
    <t>165,5</t>
  </si>
  <si>
    <t>T14</t>
  </si>
  <si>
    <t>346</t>
  </si>
  <si>
    <t>6062171T14</t>
  </si>
  <si>
    <t>Překližka bříza tl. 18 mm, fréz. hrany + lak dle výpisu truhl. výr. T14</t>
  </si>
  <si>
    <t>T14 - dodávka dle výpisu</t>
  </si>
  <si>
    <t>165,5*0,08</t>
  </si>
  <si>
    <t>347</t>
  </si>
  <si>
    <t>762495000R00</t>
  </si>
  <si>
    <t>Spojovací a ochr. prostř. obložení stěn, stropů, T14</t>
  </si>
  <si>
    <t>348</t>
  </si>
  <si>
    <t>766417111T14</t>
  </si>
  <si>
    <t>Podkladový rošt pod obložení stěn - dvojitý, T14</t>
  </si>
  <si>
    <t>neobsahuje D+M nosných prvků</t>
  </si>
  <si>
    <t>(3+2)*165,5</t>
  </si>
  <si>
    <t>T14, předpoklad 5 bm latí/m2</t>
  </si>
  <si>
    <t>vč. dodávky dřev. latí</t>
  </si>
  <si>
    <t>349</t>
  </si>
  <si>
    <t>766417112T14</t>
  </si>
  <si>
    <t>Nosné prvky podklad. roštu obložení stěn D+M, T14</t>
  </si>
  <si>
    <t>protinárazová pružná tlumící funkce</t>
  </si>
  <si>
    <t>6*165,5</t>
  </si>
  <si>
    <t>T14, předpoklad 6 ks/m2</t>
  </si>
  <si>
    <t>350</t>
  </si>
  <si>
    <t>766211500R00</t>
  </si>
  <si>
    <t>Montáž madel atyp.průběžných, š. do 15 cm, T15</t>
  </si>
  <si>
    <t>dle výpisu truhl. výrobků</t>
  </si>
  <si>
    <t>3,3</t>
  </si>
  <si>
    <t>T15</t>
  </si>
  <si>
    <t>351</t>
  </si>
  <si>
    <t>6119142T15</t>
  </si>
  <si>
    <t>Madlo bukové vč. nerez úchytů - dle výpisu truhl. výr.-T15</t>
  </si>
  <si>
    <t>T15 - prov. dle výpisu</t>
  </si>
  <si>
    <t>352</t>
  </si>
  <si>
    <t>766670032RAI</t>
  </si>
  <si>
    <t>Dveře plastové typové, Z35</t>
  </si>
  <si>
    <t>pouze montáž, dveře ve specifikaci</t>
  </si>
  <si>
    <t>Z35, dle výpisu prvků</t>
  </si>
  <si>
    <t>353</t>
  </si>
  <si>
    <t>766670032Z35</t>
  </si>
  <si>
    <t>Dveře plastové, Z35, dle  výpisu zám. prvků</t>
  </si>
  <si>
    <t>bílé, 90 x 200 cm</t>
  </si>
  <si>
    <t>Z35</t>
  </si>
  <si>
    <t>354</t>
  </si>
  <si>
    <t>998766202R00</t>
  </si>
  <si>
    <t>Přesun hmot pro truhlářské konstr., výšky do 12 m</t>
  </si>
  <si>
    <t>355</t>
  </si>
  <si>
    <t>998766292R00</t>
  </si>
  <si>
    <t>Příplatek zvětš. přesun, truhlář. konstr. do 100 m</t>
  </si>
  <si>
    <t>767</t>
  </si>
  <si>
    <t>Konstrukce doplňkové stavební (zámečnické)</t>
  </si>
  <si>
    <t>356</t>
  </si>
  <si>
    <t>767110219Z01</t>
  </si>
  <si>
    <t>Vstupní dveře z hliníkových profilů - Z01</t>
  </si>
  <si>
    <t>ks</t>
  </si>
  <si>
    <t>767_</t>
  </si>
  <si>
    <t>vše dle výpisu zám. prvků</t>
  </si>
  <si>
    <t>Z01, vč. paropásek</t>
  </si>
  <si>
    <t>357</t>
  </si>
  <si>
    <t>767110219Z02</t>
  </si>
  <si>
    <t>Okno z hliníkových profilů - Z02</t>
  </si>
  <si>
    <t>Z02, vč. paropásek</t>
  </si>
  <si>
    <t>358</t>
  </si>
  <si>
    <t>767110219Z03</t>
  </si>
  <si>
    <t>Vnitřní prosklená stěna z hliníkových profilů - Z03</t>
  </si>
  <si>
    <t>Z03, vč. paropásek</t>
  </si>
  <si>
    <t>359</t>
  </si>
  <si>
    <t>767110219Z04</t>
  </si>
  <si>
    <t>Okno 3-dílné  z hliníkových profilů - Z04</t>
  </si>
  <si>
    <t>Z04, vč. paropásek</t>
  </si>
  <si>
    <t>360</t>
  </si>
  <si>
    <t>767110219Z05</t>
  </si>
  <si>
    <t>Vnitřní prosklená stěna z hliníkových profilů - Z05</t>
  </si>
  <si>
    <t>Z05, vč. paropásek</t>
  </si>
  <si>
    <t>361</t>
  </si>
  <si>
    <t>767110219Z06</t>
  </si>
  <si>
    <t>Vnitřní prosklená stěna z hliníkových profilů - Z06</t>
  </si>
  <si>
    <t>Z06, vč. paropásek</t>
  </si>
  <si>
    <t>362</t>
  </si>
  <si>
    <t>767110219Z07</t>
  </si>
  <si>
    <t>Vnitřní prosklená stěna z hliníkových profilů - Z07</t>
  </si>
  <si>
    <t>Z07, vč. paropásek</t>
  </si>
  <si>
    <t>363</t>
  </si>
  <si>
    <t>767110219Z08</t>
  </si>
  <si>
    <t>Vnitřní prosklená stěna z hliníkových profilů - Z08</t>
  </si>
  <si>
    <t>Z08</t>
  </si>
  <si>
    <t>364</t>
  </si>
  <si>
    <t>767110219Z09</t>
  </si>
  <si>
    <t>Vnitřní prosklená stěna z hliníkových profilů - Z09</t>
  </si>
  <si>
    <t>Z09, vč. paropásek</t>
  </si>
  <si>
    <t>365</t>
  </si>
  <si>
    <t>767110219Z10</t>
  </si>
  <si>
    <t>Vstupní dveře z hliníkových profilů - Z10</t>
  </si>
  <si>
    <t>Z10, vč. paropásek</t>
  </si>
  <si>
    <t>366</t>
  </si>
  <si>
    <t>767110219Z11</t>
  </si>
  <si>
    <t>Vstupní dveře z hliníkových profilů - Z11</t>
  </si>
  <si>
    <t>Z11, vč. paropásek</t>
  </si>
  <si>
    <t>367</t>
  </si>
  <si>
    <t>767110219Z12</t>
  </si>
  <si>
    <t>Okno z hliníkových profilů - Z12</t>
  </si>
  <si>
    <t>Z12, vč. paropásek</t>
  </si>
  <si>
    <t>368</t>
  </si>
  <si>
    <t>767110219Z13</t>
  </si>
  <si>
    <t>Okenní sestava z hliník. profilů - Z13</t>
  </si>
  <si>
    <t>Z13, vč. paropásek</t>
  </si>
  <si>
    <t>369</t>
  </si>
  <si>
    <t>767110219Z14</t>
  </si>
  <si>
    <t>Vnitřní prosklená stěna z hliníkových profilů - Z14</t>
  </si>
  <si>
    <t>Z14</t>
  </si>
  <si>
    <t>370</t>
  </si>
  <si>
    <t>767110219Z15</t>
  </si>
  <si>
    <t>Okno z hliníkových profilů - Z15</t>
  </si>
  <si>
    <t>Z15, vč. paropásek</t>
  </si>
  <si>
    <t>371</t>
  </si>
  <si>
    <t>767110219Z16</t>
  </si>
  <si>
    <t>Okno z hliníkových profilů - Z16</t>
  </si>
  <si>
    <t>Z16, vč. paropásek</t>
  </si>
  <si>
    <t>372</t>
  </si>
  <si>
    <t>767110219Z17</t>
  </si>
  <si>
    <t>Okno z hliníkových profilů - Z17</t>
  </si>
  <si>
    <t>Z17, vč. paropásek</t>
  </si>
  <si>
    <t>373</t>
  </si>
  <si>
    <t>767110219Z18</t>
  </si>
  <si>
    <t>Okno z hliníkových profilů - Z18</t>
  </si>
  <si>
    <t>Z18, vč. paropásek</t>
  </si>
  <si>
    <t>374</t>
  </si>
  <si>
    <t>767110219Z19</t>
  </si>
  <si>
    <t>Okno z hliníkových profilů - Z19</t>
  </si>
  <si>
    <t>Z19, vč. paropásek</t>
  </si>
  <si>
    <t>375</t>
  </si>
  <si>
    <t>767110219Z20</t>
  </si>
  <si>
    <t>Okno z hliníkových profilů - Z20</t>
  </si>
  <si>
    <t>Z20, vč. paropásek</t>
  </si>
  <si>
    <t>376</t>
  </si>
  <si>
    <t>767110219Z21</t>
  </si>
  <si>
    <t>Okno z hliníkových profilů - Z21</t>
  </si>
  <si>
    <t>Z21, vč. paropásek</t>
  </si>
  <si>
    <t>377</t>
  </si>
  <si>
    <t>767110219Z22</t>
  </si>
  <si>
    <t>Okno z hliníkových profilů - Z22</t>
  </si>
  <si>
    <t>Z22, vč. paropásek</t>
  </si>
  <si>
    <t>378</t>
  </si>
  <si>
    <t>766624044R00</t>
  </si>
  <si>
    <t>Montáž střešních oken neotevíravých Z23</t>
  </si>
  <si>
    <t>vč. 3 zvedacích + 1 zkoseného rámu</t>
  </si>
  <si>
    <t>Z23</t>
  </si>
  <si>
    <t>379</t>
  </si>
  <si>
    <t>6114087Z23</t>
  </si>
  <si>
    <t>Okno střešní neotevír. 1000/1500 mm pro plochou střechu Z23, vše dle výp. prvků</t>
  </si>
  <si>
    <t>Z23, sada = okno + 3 x zvedací rám 15 cm</t>
  </si>
  <si>
    <t>+ 1 x zkosený rám pod okno</t>
  </si>
  <si>
    <t>vlastnosti dle výpisu zám. prvků</t>
  </si>
  <si>
    <t>380</t>
  </si>
  <si>
    <t>766620061RA0</t>
  </si>
  <si>
    <t>Světlovod, základní délka 1,85 m, Z24</t>
  </si>
  <si>
    <t>Z24, dodávka a montáž</t>
  </si>
  <si>
    <t>381</t>
  </si>
  <si>
    <t>787911111Z25</t>
  </si>
  <si>
    <t>Montáž zrcadla na stěnu, Z25</t>
  </si>
  <si>
    <t>382</t>
  </si>
  <si>
    <t>55149061Z25</t>
  </si>
  <si>
    <t>Zrcadlo nerez sklopné 600 x 450 mm, Z25</t>
  </si>
  <si>
    <t>Z25, dle výpisu prvků</t>
  </si>
  <si>
    <t>383</t>
  </si>
  <si>
    <t>767995102Z26</t>
  </si>
  <si>
    <t>Výroba a montáž oplocení s brankou, Z26</t>
  </si>
  <si>
    <t>3,5*2,6</t>
  </si>
  <si>
    <t>Z25, vč. pozinkování atd.</t>
  </si>
  <si>
    <t>384</t>
  </si>
  <si>
    <t>767842160R00</t>
  </si>
  <si>
    <t>Kotvicí bod dl.600 mm nerez, bet.konstr. tl.140 mm, Z27</t>
  </si>
  <si>
    <t>záchytný systém na střeše</t>
  </si>
  <si>
    <t>24+17+14</t>
  </si>
  <si>
    <t>Z27, dle výpisu zám. prvků</t>
  </si>
  <si>
    <t>385</t>
  </si>
  <si>
    <t>767842160Z27</t>
  </si>
  <si>
    <t>Revize záchytného systému na střeše, Z27</t>
  </si>
  <si>
    <t>386</t>
  </si>
  <si>
    <t>31459102Z27</t>
  </si>
  <si>
    <t>Lano nerez TSL-L8 vč. montáže</t>
  </si>
  <si>
    <t>70+50+42</t>
  </si>
  <si>
    <t>Z27 - záchytný systém na střeše</t>
  </si>
  <si>
    <t>387</t>
  </si>
  <si>
    <t>210220460R00</t>
  </si>
  <si>
    <t>Montáž pev. žebříku na střechu do 7 m výšky, Z28+Z29</t>
  </si>
  <si>
    <t>Z28+Z29</t>
  </si>
  <si>
    <t>388</t>
  </si>
  <si>
    <t>553539012Z28</t>
  </si>
  <si>
    <t>Žebřík s ochr. košem, výška 3,55 m, pozink, Z28</t>
  </si>
  <si>
    <t>Z28 - vše dle výpisu zám. prvků</t>
  </si>
  <si>
    <t>389</t>
  </si>
  <si>
    <t>553539012Z29</t>
  </si>
  <si>
    <t>Žebřík s ochr. košem, výška 5,96 m, pozink, Z29</t>
  </si>
  <si>
    <t>Z29 - vše dle výpisu zám. prvků</t>
  </si>
  <si>
    <t>390</t>
  </si>
  <si>
    <t>767995102Z30</t>
  </si>
  <si>
    <t>Výroba a montáž oplocení s brankou, Z30</t>
  </si>
  <si>
    <t>2,55*2</t>
  </si>
  <si>
    <t>Z30, vč. pozinkování atd.</t>
  </si>
  <si>
    <t>391</t>
  </si>
  <si>
    <t>767990010RAD</t>
  </si>
  <si>
    <t>Atypické ocelové konstrukce, Z32+Z33</t>
  </si>
  <si>
    <t>kg</t>
  </si>
  <si>
    <t>50 - 100 kg/kus</t>
  </si>
  <si>
    <t>(22,3*3,45*6+22,3*3,95)*1,1</t>
  </si>
  <si>
    <t>Z32</t>
  </si>
  <si>
    <t>50*3</t>
  </si>
  <si>
    <t>Z32-příprava pro koš+tyč+žebříky</t>
  </si>
  <si>
    <t>14,7*3,65*10*1,1</t>
  </si>
  <si>
    <t>Z33</t>
  </si>
  <si>
    <t>392</t>
  </si>
  <si>
    <t>30995961RX1</t>
  </si>
  <si>
    <t>Přirážka za pozinkování ocel. prvků</t>
  </si>
  <si>
    <t>393</t>
  </si>
  <si>
    <t>767990010Z34</t>
  </si>
  <si>
    <t>Atypické ocel. konstrukce, Z34 - rektifik. profily</t>
  </si>
  <si>
    <t>dle výpisu zám. prvků</t>
  </si>
  <si>
    <t>16*6+59</t>
  </si>
  <si>
    <t>Z34, vč. pozinkování</t>
  </si>
  <si>
    <t>394</t>
  </si>
  <si>
    <t>283189201Z36</t>
  </si>
  <si>
    <t>Stříška vchodová skleněná, Z36, prov. dle výpisu prvků</t>
  </si>
  <si>
    <t>Z36, D+M</t>
  </si>
  <si>
    <t>395</t>
  </si>
  <si>
    <t>767995101Z38</t>
  </si>
  <si>
    <t>Pororošt vč. souvisejících prací, Z38</t>
  </si>
  <si>
    <t>Z38</t>
  </si>
  <si>
    <t>396</t>
  </si>
  <si>
    <t>6974250Z40</t>
  </si>
  <si>
    <t>Rohož - čisticí zóna, Z40, provedení dle výpisu zám. prvků</t>
  </si>
  <si>
    <t>1,85*0,95</t>
  </si>
  <si>
    <t>Z40, vč. montáže</t>
  </si>
  <si>
    <t>397</t>
  </si>
  <si>
    <t>767995102Z41</t>
  </si>
  <si>
    <t>Výroba a montáž oplocení s brankou, Z41</t>
  </si>
  <si>
    <t>1,75*1,7</t>
  </si>
  <si>
    <t>Z41, vč. pozinkování atd.</t>
  </si>
  <si>
    <t>398</t>
  </si>
  <si>
    <t>767996801Z42</t>
  </si>
  <si>
    <t>Demontáž, uskladnění +montáž, Z42</t>
  </si>
  <si>
    <t>Z42</t>
  </si>
  <si>
    <t>399</t>
  </si>
  <si>
    <t>767723391RX1</t>
  </si>
  <si>
    <t>Příplatek za systém centrálního klíče</t>
  </si>
  <si>
    <t>pro všechny zámky</t>
  </si>
  <si>
    <t>Atypické ocelové konstrukce, S12</t>
  </si>
  <si>
    <t>18,8*3,03*6*1,1</t>
  </si>
  <si>
    <t>strop nad 1N04, S12 - U160</t>
  </si>
  <si>
    <t>3,77*3,03*6*1,1</t>
  </si>
  <si>
    <t>L50/50/5</t>
  </si>
  <si>
    <t>401</t>
  </si>
  <si>
    <t>998767202R00</t>
  </si>
  <si>
    <t>Přesun hmot pro zámečnické konstr., výšky do 12 m</t>
  </si>
  <si>
    <t>402</t>
  </si>
  <si>
    <t>998767292R00</t>
  </si>
  <si>
    <t>Příplatek za zvětšený přesun, zámečnické konstrukce do 100 m</t>
  </si>
  <si>
    <t>771</t>
  </si>
  <si>
    <t>Podlahy z dlaždic</t>
  </si>
  <si>
    <t>403</t>
  </si>
  <si>
    <t>771101101R00</t>
  </si>
  <si>
    <t>Vysávání podlah prům.vysavačem pro pokládku dlažby</t>
  </si>
  <si>
    <t>771_</t>
  </si>
  <si>
    <t>SO-01_77_</t>
  </si>
  <si>
    <t>S2-P02 - 2N03 - 2N06</t>
  </si>
  <si>
    <t>S4-P02- 1N07+1N11+1N13+1N15-1N21</t>
  </si>
  <si>
    <t>404</t>
  </si>
  <si>
    <t>771315112R00</t>
  </si>
  <si>
    <t>Penetrace cement.a anhydrit.podkladu, pro samoniv. stěrku</t>
  </si>
  <si>
    <t>vč. materiálu</t>
  </si>
  <si>
    <t>405</t>
  </si>
  <si>
    <t>771101111R00</t>
  </si>
  <si>
    <t>Vyrovnání podkladů maltou ze suché malt. směsi tloušťky do 10 mm</t>
  </si>
  <si>
    <t>pod ker. dlažby, mat. je ve specifikaci</t>
  </si>
  <si>
    <t>406</t>
  </si>
  <si>
    <t>24551557</t>
  </si>
  <si>
    <t>Stěrka samonivelační, dle výpisu skladeb, tl. do 5 mm, pod ker. dlažby</t>
  </si>
  <si>
    <t>spotřeba cca 1,2kg/m2 na 1mm tloušťky</t>
  </si>
  <si>
    <t>329,4*0,1</t>
  </si>
  <si>
    <t>(1,7+2,1+1,7+2,1)*1,2*5</t>
  </si>
  <si>
    <t>(15,7+6,5+8+4+2+1,7+2+1,7+3,6+2,1)*1,2*5</t>
  </si>
  <si>
    <t>407</t>
  </si>
  <si>
    <t>771101141R00</t>
  </si>
  <si>
    <t>Provedení hydroizol. stěrky pod dlažby jednovrstvé</t>
  </si>
  <si>
    <t>408</t>
  </si>
  <si>
    <t>58581761</t>
  </si>
  <si>
    <t>Stěrka hydroizolační 1-složková, dle výp. skladeb, pro dlažby</t>
  </si>
  <si>
    <t>spotřeba cca 1,4 kg/m2/mm tl.</t>
  </si>
  <si>
    <t>(1,7+2,1+1,7+2,1)*1,4*2*1,1</t>
  </si>
  <si>
    <t>(15,7+6,5+8+4+2+1,7+2+1,7+3,6+2,1)*1,4*2*1,1</t>
  </si>
  <si>
    <t>409</t>
  </si>
  <si>
    <t>771101210R00</t>
  </si>
  <si>
    <t>Penetrace podkladu pod dlažby</t>
  </si>
  <si>
    <t>410</t>
  </si>
  <si>
    <t>771575118R00</t>
  </si>
  <si>
    <t>Montáž podlah keram.,hladké, tmel, 60x60 cm</t>
  </si>
  <si>
    <t>411</t>
  </si>
  <si>
    <t>59764207</t>
  </si>
  <si>
    <t>Dlažba matná 600 x 600 x 10 mm, R10 - dle výpisu povrchů a výběru investora</t>
  </si>
  <si>
    <t>15,23*0,1</t>
  </si>
  <si>
    <t>sokl</t>
  </si>
  <si>
    <t>56,423*0,1</t>
  </si>
  <si>
    <t>412</t>
  </si>
  <si>
    <t>771130111R00</t>
  </si>
  <si>
    <t>Obklad soklíků rovných do tmele výšky do 100 mm</t>
  </si>
  <si>
    <t>(3,99+3,95)*2-1,05+0,4</t>
  </si>
  <si>
    <t>413</t>
  </si>
  <si>
    <t>771479001R00</t>
  </si>
  <si>
    <t>Řezání dlaždic keramických pro soklíky</t>
  </si>
  <si>
    <t>414</t>
  </si>
  <si>
    <t>771578011R00</t>
  </si>
  <si>
    <t>Spára podlaha - stěna, silikonem</t>
  </si>
  <si>
    <t>(3,435+1,9+0,9)*2-0,9+0,2-1,6+0,4</t>
  </si>
  <si>
    <t>(4,235+1,9)*2-0,9+0,2-1,6+0,4</t>
  </si>
  <si>
    <t>(1,8+2,25)*2-0,9</t>
  </si>
  <si>
    <t>(1,65+2,25)*2-0,9</t>
  </si>
  <si>
    <t>2,9+2,25+3,73+2,4-0,7</t>
  </si>
  <si>
    <t>5,52-0,7</t>
  </si>
  <si>
    <t>(1,25+3,2)*2-0,7</t>
  </si>
  <si>
    <t>415</t>
  </si>
  <si>
    <t>771579791R00</t>
  </si>
  <si>
    <t>Příplatek za plochu podlah keram. do 5 m2 jednotl.</t>
  </si>
  <si>
    <t>4+2+1,7</t>
  </si>
  <si>
    <t>S4-P02- 1N15-1N17</t>
  </si>
  <si>
    <t>416</t>
  </si>
  <si>
    <t>781419706R00</t>
  </si>
  <si>
    <t>Příplatek za spárovací vodotěsnou hmotu - plošně</t>
  </si>
  <si>
    <t>ker. dlažby vč. soklu</t>
  </si>
  <si>
    <t>((3,99+3,95)*2-1,05+0,4)*0,1</t>
  </si>
  <si>
    <t>1N07 - sokl</t>
  </si>
  <si>
    <t>417</t>
  </si>
  <si>
    <t>771577133RX1</t>
  </si>
  <si>
    <t>Lišta nerezová přechodová, různá výška podlah, D+M</t>
  </si>
  <si>
    <t>přechody podlah</t>
  </si>
  <si>
    <t>0,7*2</t>
  </si>
  <si>
    <t>1,05+0,9+0,9+0,9+0,7+0,7+0,7</t>
  </si>
  <si>
    <t>418</t>
  </si>
  <si>
    <t>771579793RT3</t>
  </si>
  <si>
    <t>Příplatek za spárovací hmotu - plošně,keram.dlažba</t>
  </si>
  <si>
    <t>419</t>
  </si>
  <si>
    <t>771101147R00</t>
  </si>
  <si>
    <t>Provedení bandáže koutů, mat. ve specifikaci</t>
  </si>
  <si>
    <t>styk podlaha - stěna</t>
  </si>
  <si>
    <t>420</t>
  </si>
  <si>
    <t>59760235.A</t>
  </si>
  <si>
    <t>Páska izolační 125 mm x 30 m - bandáž koutů, materiál</t>
  </si>
  <si>
    <t>82,07</t>
  </si>
  <si>
    <t>82,07*0,07</t>
  </si>
  <si>
    <t>421</t>
  </si>
  <si>
    <t>771575118RX2</t>
  </si>
  <si>
    <t>Zhot. nášlapné vrstvy podlahy - vinyl/dlažba, D+M</t>
  </si>
  <si>
    <t>v novém průchodu ze stávající ZŠ</t>
  </si>
  <si>
    <t>1,7*0,7</t>
  </si>
  <si>
    <t>1N04/1.07 - vinyl/dlažba</t>
  </si>
  <si>
    <t>422</t>
  </si>
  <si>
    <t>998771202R00</t>
  </si>
  <si>
    <t>Přesun hmot pro podlahy z dlaždic, výšky do 12 m</t>
  </si>
  <si>
    <t>423</t>
  </si>
  <si>
    <t>998771292R00</t>
  </si>
  <si>
    <t>Příplatek za zvětšený přesun, podl. z dlaždic do 100 m</t>
  </si>
  <si>
    <t>775</t>
  </si>
  <si>
    <t>Podlahy vlysové a parketové</t>
  </si>
  <si>
    <t>424</t>
  </si>
  <si>
    <t>775101101R00</t>
  </si>
  <si>
    <t>Vysávání podlah prům.vysavačem,podlahy vlys,parket</t>
  </si>
  <si>
    <t>775_</t>
  </si>
  <si>
    <t>S5 - P04</t>
  </si>
  <si>
    <t>425</t>
  </si>
  <si>
    <t>775542042RX1</t>
  </si>
  <si>
    <t>Podložka 10 mm pod lamelové podlahy</t>
  </si>
  <si>
    <t>dle výpisu skladeb a povrchů</t>
  </si>
  <si>
    <t>426</t>
  </si>
  <si>
    <t>775542000R00</t>
  </si>
  <si>
    <t>Položení podložky pod lamelové podlahy</t>
  </si>
  <si>
    <t>427</t>
  </si>
  <si>
    <t>775541400RP4</t>
  </si>
  <si>
    <t>Položení podlah parketových sportovních s roštem, bez materiálu</t>
  </si>
  <si>
    <t>vč. podkkladního roštu z desek - dle výpisu povrchů a skladeb</t>
  </si>
  <si>
    <t>S5 - P04, vč. spoj. materiálu</t>
  </si>
  <si>
    <t>428</t>
  </si>
  <si>
    <t>61151380RS5</t>
  </si>
  <si>
    <t>Parkety Jasan tl. 21 mm - dle výpisu povrchů, dodávka, sport. podlaha</t>
  </si>
  <si>
    <t>bude odsouhlaseno investorem</t>
  </si>
  <si>
    <t>240,3*0,02</t>
  </si>
  <si>
    <t>ztratné 2%</t>
  </si>
  <si>
    <t>429</t>
  </si>
  <si>
    <t>60511080</t>
  </si>
  <si>
    <t>Řezivo střed. SM/BO jak. I tl. 18 - 40 mm, š. 110 mm, 3 - 6 m, podkl. rošt</t>
  </si>
  <si>
    <t>dle výpisu povrchů a skladeb</t>
  </si>
  <si>
    <t>desky pro podkladní rošt parket</t>
  </si>
  <si>
    <t>(220+20,3)*1/0,5*0,11*0,022</t>
  </si>
  <si>
    <t>S5 - P04 - vrstva 1</t>
  </si>
  <si>
    <t>vrstva 2</t>
  </si>
  <si>
    <t>(220+20,3)*1/0,135*0,11*0,022</t>
  </si>
  <si>
    <t>vrstva 3</t>
  </si>
  <si>
    <t>6,6337*0,15</t>
  </si>
  <si>
    <t>430</t>
  </si>
  <si>
    <t>762085151R00</t>
  </si>
  <si>
    <t>Hoblování řeziva strojní</t>
  </si>
  <si>
    <t>podkladní rošt sport. podlahy</t>
  </si>
  <si>
    <t>431</t>
  </si>
  <si>
    <t>762911125R00</t>
  </si>
  <si>
    <t>Impregnace řeziv.tlakovakuová</t>
  </si>
  <si>
    <t>předpoklad množství</t>
  </si>
  <si>
    <t>432</t>
  </si>
  <si>
    <t>762526210RT3</t>
  </si>
  <si>
    <t>Montáž podlahových lišt dřevěných</t>
  </si>
  <si>
    <t>včetně dodávky, lišty 7 x 43 mm</t>
  </si>
  <si>
    <t>(20+11)*2-3,64</t>
  </si>
  <si>
    <t>433</t>
  </si>
  <si>
    <t>775981124RT1</t>
  </si>
  <si>
    <t>Lišta nerezová podlahová krycí, dřevěná podlaha, D+M</t>
  </si>
  <si>
    <t>profil 760/A, samolepicí, šířka 60 mm</t>
  </si>
  <si>
    <t>3,64</t>
  </si>
  <si>
    <t>1N05/1N06</t>
  </si>
  <si>
    <t>434</t>
  </si>
  <si>
    <t>775599145R00</t>
  </si>
  <si>
    <t>Lak dřevěných podlah PU, Z+3x, přebroušení</t>
  </si>
  <si>
    <t>435</t>
  </si>
  <si>
    <t>775599200R00</t>
  </si>
  <si>
    <t>Vyleštění dřevěných podlah</t>
  </si>
  <si>
    <t>436</t>
  </si>
  <si>
    <t>589651121R00</t>
  </si>
  <si>
    <t>Lajnování sportovních ploch, do š.12 cm</t>
  </si>
  <si>
    <t>19*6+10*8</t>
  </si>
  <si>
    <t>S5 - P04 - předpokl. rozsah</t>
  </si>
  <si>
    <t>437</t>
  </si>
  <si>
    <t>998775202R00</t>
  </si>
  <si>
    <t>Přesun hmot pro podlahy vlysové, výšky do 12 m</t>
  </si>
  <si>
    <t>776</t>
  </si>
  <si>
    <t>Podlahy povlakové</t>
  </si>
  <si>
    <t>438</t>
  </si>
  <si>
    <t>776101101R00</t>
  </si>
  <si>
    <t>Vysávání podlah prům.vysavačem pod povlak.podlahy</t>
  </si>
  <si>
    <t>776_</t>
  </si>
  <si>
    <t>S1-P1</t>
  </si>
  <si>
    <t>78,3+24+10+5,1+13+13,3+9,2</t>
  </si>
  <si>
    <t>S3-P1</t>
  </si>
  <si>
    <t>0,825*2+0,155*5*2</t>
  </si>
  <si>
    <t>2N01-schody</t>
  </si>
  <si>
    <t>439</t>
  </si>
  <si>
    <t>440</t>
  </si>
  <si>
    <t>776101115R00</t>
  </si>
  <si>
    <t>Vyrovnání podkladů samonivelační hmotou, bez mat.</t>
  </si>
  <si>
    <t>pod vinyl</t>
  </si>
  <si>
    <t>441</t>
  </si>
  <si>
    <t>Stěrka samonivelační, do tl. 5 mm, materiál, pod vinyl</t>
  </si>
  <si>
    <t>spotřeba cca 1,2kg/m2/mm tlouišťky</t>
  </si>
  <si>
    <t>1455,2*0,1</t>
  </si>
  <si>
    <t>(14,3+74,8)*1,2*5</t>
  </si>
  <si>
    <t>(78,3+24+10+5,1+13+13,3+9,2)*1,2*5</t>
  </si>
  <si>
    <t>442</t>
  </si>
  <si>
    <t>776101121R00</t>
  </si>
  <si>
    <t>Prov. penetrace podkladu pod.povlak.podlahy, bez mat.</t>
  </si>
  <si>
    <t>443</t>
  </si>
  <si>
    <t>24592231</t>
  </si>
  <si>
    <t>Penetrace hloubková P201 - materiál - pod vinyl</t>
  </si>
  <si>
    <t>(14,3+74,8)*0,25</t>
  </si>
  <si>
    <t>S1-P1 - spotřeba 0,25 l/m2</t>
  </si>
  <si>
    <t>(78,3+24+10+5,1+13+13,3+9,2)*0,25</t>
  </si>
  <si>
    <t>S3-P1 - spotřeba 0,25 l/m2</t>
  </si>
  <si>
    <t>(0,825*2+0,155*5*2)*0,25</t>
  </si>
  <si>
    <t>444</t>
  </si>
  <si>
    <t>776521230RT1</t>
  </si>
  <si>
    <t>Lepení podlah povlakových z dílců PVC, vodivých</t>
  </si>
  <si>
    <t>pouze nalepení - PVC ve specifikaci</t>
  </si>
  <si>
    <t>445</t>
  </si>
  <si>
    <t>284103P01</t>
  </si>
  <si>
    <t>Podlaha lepená Vinyl  pásy, vlastnosti dle výpisu povrchů, materiál</t>
  </si>
  <si>
    <t>požadavek na vodivost</t>
  </si>
  <si>
    <t>0,825*1,51+(1,51*3+1,53+1,6+0,06)*0,155</t>
  </si>
  <si>
    <t>dodávka - dle výběru investora</t>
  </si>
  <si>
    <t>142,85*0,06*1,2</t>
  </si>
  <si>
    <t>na soklové lišty vč. ztratného</t>
  </si>
  <si>
    <t>244,44235*0,04</t>
  </si>
  <si>
    <t>446</t>
  </si>
  <si>
    <t>776421200R00</t>
  </si>
  <si>
    <t>Lepení podlahových soklíků k PVC podlahám,na lišty</t>
  </si>
  <si>
    <t>S1+S2 - P01</t>
  </si>
  <si>
    <t>(11,35+6,9)*2-1,55-1,65</t>
  </si>
  <si>
    <t>(2,51+9,56)*2-1,55-1,05-2,1</t>
  </si>
  <si>
    <t>5,76*2+2,63-1,1-1,4</t>
  </si>
  <si>
    <t>(1,5+3,275)*2-1,2-0,8*2-1,5</t>
  </si>
  <si>
    <t>(3,435+3,775)*2-0,9-0,8*2+0,2</t>
  </si>
  <si>
    <t>4,235+2,845+3,775+4,025-0,9-0,8*2+0,2</t>
  </si>
  <si>
    <t>6,385*2+1,5-0,7*3-0,8*2-0,9-1,2</t>
  </si>
  <si>
    <t>(2,65+3,6+0,1+2,5)*2-0,7*2-0,9-1,51</t>
  </si>
  <si>
    <t>(10,85+6,9)*2-0,9</t>
  </si>
  <si>
    <t>447</t>
  </si>
  <si>
    <t>28342451</t>
  </si>
  <si>
    <t>Lišta soklová PVC pro vinyl, 58 x 11,8 mm, materiál dle výběru inv.</t>
  </si>
  <si>
    <t>154,5*0,02</t>
  </si>
  <si>
    <t>448</t>
  </si>
  <si>
    <t>776220110RT1</t>
  </si>
  <si>
    <t>Lepení podlah z PVC na stupnice rovné</t>
  </si>
  <si>
    <t>pouze lepení - PVC ve specifikaci</t>
  </si>
  <si>
    <t>1,51*2</t>
  </si>
  <si>
    <t>449</t>
  </si>
  <si>
    <t>776220120RT1</t>
  </si>
  <si>
    <t>Lepení podlah z PVC na stupnice točivé</t>
  </si>
  <si>
    <t>1,51+1,53+1,6</t>
  </si>
  <si>
    <t>450</t>
  </si>
  <si>
    <t>776220200RT1</t>
  </si>
  <si>
    <t>Lepení podlah z PVC na podstupnice</t>
  </si>
  <si>
    <t>1,51*3+1,53+1,6+0,06</t>
  </si>
  <si>
    <t>451</t>
  </si>
  <si>
    <t>776210300RT1</t>
  </si>
  <si>
    <t>Lepení hran na stupně</t>
  </si>
  <si>
    <t>pouze lepení - hrana ve specifikaci</t>
  </si>
  <si>
    <t>452</t>
  </si>
  <si>
    <t>5537040121</t>
  </si>
  <si>
    <t>Hrana schodová lepicí Al - dodávka dle výběru investora</t>
  </si>
  <si>
    <t>7,72*0,1</t>
  </si>
  <si>
    <t>453</t>
  </si>
  <si>
    <t>776971711R00</t>
  </si>
  <si>
    <t>Čisticí textilní běhoun - vlastnosti dle výpisu povrchů P01</t>
  </si>
  <si>
    <t>vč. ukonč. lišt, dle výběru investora</t>
  </si>
  <si>
    <t>S3 - P03 - 1N01</t>
  </si>
  <si>
    <t>454</t>
  </si>
  <si>
    <t>776981121RU1</t>
  </si>
  <si>
    <t>Lišta nerezová přechodová,stejná výška povl.podlah, D+M</t>
  </si>
  <si>
    <t>na hmoždinky, šířky 30 mm</t>
  </si>
  <si>
    <t>0,9</t>
  </si>
  <si>
    <t>S1-P1 - 2N01/2N02</t>
  </si>
  <si>
    <t>1,65+1,4</t>
  </si>
  <si>
    <t>S3-P1-1N01/1N02+1N02/1N03</t>
  </si>
  <si>
    <t>1,05+0,8*2+1,35</t>
  </si>
  <si>
    <t>0,8*2</t>
  </si>
  <si>
    <t>1N14/1N12+1N10</t>
  </si>
  <si>
    <t>455</t>
  </si>
  <si>
    <t>998776202R00</t>
  </si>
  <si>
    <t>Přesun hmot pro podlahy povlakové, výšky do 12 m</t>
  </si>
  <si>
    <t>456</t>
  </si>
  <si>
    <t>998776292R00</t>
  </si>
  <si>
    <t>Příplatek za zvětšený přesun, podlahy povlak. do 100 m</t>
  </si>
  <si>
    <t>781</t>
  </si>
  <si>
    <t>Obklady (keramické)</t>
  </si>
  <si>
    <t>457</t>
  </si>
  <si>
    <t>781101210R00</t>
  </si>
  <si>
    <t>Penetrace podkladu pod obklady</t>
  </si>
  <si>
    <t>781_</t>
  </si>
  <si>
    <t>SO-01_78_</t>
  </si>
  <si>
    <t>vč. dodávky materiálu</t>
  </si>
  <si>
    <t>458</t>
  </si>
  <si>
    <t>781415016R00</t>
  </si>
  <si>
    <t>Montáž obkladů stěn, porovin.,tmel, nad 20x25 cm</t>
  </si>
  <si>
    <t>459</t>
  </si>
  <si>
    <t>781101142R00</t>
  </si>
  <si>
    <t>Hydroizolační stěrka dvouvrstvá pod obklady</t>
  </si>
  <si>
    <t>460</t>
  </si>
  <si>
    <t>Stěrka hydroizolační 1-složková, dle výp. skladeb, pro dlažby - dodávka</t>
  </si>
  <si>
    <t>(3,435+1,9+0,9)*2*2,4*1,4*2*1,2</t>
  </si>
  <si>
    <t>(-(0,9+0,18)*2,4-1,6*0,9)*1,4*2*1,2</t>
  </si>
  <si>
    <t>(4,235+1,9)*2*2,4*1,4*2*1,2</t>
  </si>
  <si>
    <t>461</t>
  </si>
  <si>
    <t>781310111R00</t>
  </si>
  <si>
    <t>Obkládání ostění do tmele šířky do 150 mm</t>
  </si>
  <si>
    <t>2,4</t>
  </si>
  <si>
    <t>1N11 - sprcha</t>
  </si>
  <si>
    <t>1N13 - sprcha</t>
  </si>
  <si>
    <t>1,2</t>
  </si>
  <si>
    <t>1N15 - za klozetem</t>
  </si>
  <si>
    <t>1N16+1N17 - za klozetem</t>
  </si>
  <si>
    <t>1N18+1N19+1N20- za klozetem</t>
  </si>
  <si>
    <t>462</t>
  </si>
  <si>
    <t>781310121R00</t>
  </si>
  <si>
    <t>Obkládání ostění do tmele šířky do 300 mm</t>
  </si>
  <si>
    <t>2*2</t>
  </si>
  <si>
    <t>2N03+2N04 - obez. stoupačky</t>
  </si>
  <si>
    <t>463</t>
  </si>
  <si>
    <t>781320111R00</t>
  </si>
  <si>
    <t>Obkládání parapetů do tmele šířky do 150 mm</t>
  </si>
  <si>
    <t>0,85</t>
  </si>
  <si>
    <t>1,25</t>
  </si>
  <si>
    <t>2N06 - za klozetem</t>
  </si>
  <si>
    <t>1,05</t>
  </si>
  <si>
    <t>2N04 - za klozetem</t>
  </si>
  <si>
    <t>464</t>
  </si>
  <si>
    <t>781320121R00</t>
  </si>
  <si>
    <t>Obkládání parapetů do tmele šířky do 300 mm</t>
  </si>
  <si>
    <t>1,6</t>
  </si>
  <si>
    <t>1,65</t>
  </si>
  <si>
    <t>2,6</t>
  </si>
  <si>
    <t>465</t>
  </si>
  <si>
    <t>781320131R00</t>
  </si>
  <si>
    <t>Obkládání parapetů do tmele šířky do 450 mm</t>
  </si>
  <si>
    <t>1N22</t>
  </si>
  <si>
    <t>466</t>
  </si>
  <si>
    <t>597813741</t>
  </si>
  <si>
    <t>Obkládačka 300 x 600 mm bílá lesk, dle výpisu povrchů a výběru investora</t>
  </si>
  <si>
    <t>výpis povrchů - O01 - plochy</t>
  </si>
  <si>
    <t>(3,435+1,9+0,9)*2*2,4-(0,9+0,1)*2,4-1,6*0,9</t>
  </si>
  <si>
    <t>(4,235+1,9)*2*2,4-(0,9+0,1)*2,4-1,6*0,9</t>
  </si>
  <si>
    <t>ostění</t>
  </si>
  <si>
    <t>parapety</t>
  </si>
  <si>
    <t>2,4*0,18</t>
  </si>
  <si>
    <t>1,2*0,15</t>
  </si>
  <si>
    <t>2*2*0,2</t>
  </si>
  <si>
    <t>162,3895*0,1</t>
  </si>
  <si>
    <t>0,85*0,15</t>
  </si>
  <si>
    <t>1,25*0,15</t>
  </si>
  <si>
    <t>1,05*0,15</t>
  </si>
  <si>
    <t>1,6*0,24</t>
  </si>
  <si>
    <t>0,85*0,24</t>
  </si>
  <si>
    <t>1,65*0,24</t>
  </si>
  <si>
    <t>2,6*0,24</t>
  </si>
  <si>
    <t>1,2*0,24</t>
  </si>
  <si>
    <t>467</t>
  </si>
  <si>
    <t>obklady stěn</t>
  </si>
  <si>
    <t>468</t>
  </si>
  <si>
    <t>781419711R00</t>
  </si>
  <si>
    <t>Příplatek k obkladu stěn za plochu do 10 m2 jedntl</t>
  </si>
  <si>
    <t>469</t>
  </si>
  <si>
    <t>Spára stěna - stěna, silikonem</t>
  </si>
  <si>
    <t>mimo sprchové kouty</t>
  </si>
  <si>
    <t>2,4*2</t>
  </si>
  <si>
    <t>2,6*4</t>
  </si>
  <si>
    <t>2*5</t>
  </si>
  <si>
    <t>2*4</t>
  </si>
  <si>
    <t>470</t>
  </si>
  <si>
    <t>781497913R00</t>
  </si>
  <si>
    <t>Profil koutový 11 mm, D+M</t>
  </si>
  <si>
    <t>svislé kouty sprch</t>
  </si>
  <si>
    <t>2,4*4</t>
  </si>
  <si>
    <t>471</t>
  </si>
  <si>
    <t>781497121RS3</t>
  </si>
  <si>
    <t>Lišta hliníková rohová k obkladům,  D+M</t>
  </si>
  <si>
    <t>profil RB, pro tloušťku obkladu 10 mm</t>
  </si>
  <si>
    <t>1N11 - sprchy</t>
  </si>
  <si>
    <t>1N13 - sprchy</t>
  </si>
  <si>
    <t>1,2+0,85+0,15</t>
  </si>
  <si>
    <t>1N17 - za klozetem</t>
  </si>
  <si>
    <t>1N19 - za klozetem</t>
  </si>
  <si>
    <t>2+1,05</t>
  </si>
  <si>
    <t>2N03+2N04-obezd. + za WC</t>
  </si>
  <si>
    <t>2N05+2N06 - za WC</t>
  </si>
  <si>
    <t>472</t>
  </si>
  <si>
    <t>781497121RS7</t>
  </si>
  <si>
    <t>Lišta hliníková rohová k obkladům, D+M</t>
  </si>
  <si>
    <t>profil ZB, pro tloušťku obkladu 10 mm</t>
  </si>
  <si>
    <t>2,4*2+0,9*2</t>
  </si>
  <si>
    <t>2,02*2+1+0,9*2+0,85</t>
  </si>
  <si>
    <t>1N15 u dveří a okna</t>
  </si>
  <si>
    <t>2,02*2+0,8+0,9*2+1,65</t>
  </si>
  <si>
    <t>2,02*2+0,8+0,9*2+2,6</t>
  </si>
  <si>
    <t>2,02*2+0,8</t>
  </si>
  <si>
    <t>2,0*2</t>
  </si>
  <si>
    <t>2N03+2N04 - u dveří</t>
  </si>
  <si>
    <t>2,0*2+1,1*2</t>
  </si>
  <si>
    <t>2N05+2N06 - u dveří + okna</t>
  </si>
  <si>
    <t>473</t>
  </si>
  <si>
    <t>998781202R00</t>
  </si>
  <si>
    <t>Přesun hmot pro obklady keramické, výšky do 12 m</t>
  </si>
  <si>
    <t>474</t>
  </si>
  <si>
    <t>998781292R00</t>
  </si>
  <si>
    <t>Příplatek za zvětšený přesun, obkl. keramické do 100 m</t>
  </si>
  <si>
    <t>783</t>
  </si>
  <si>
    <t>Nátěry</t>
  </si>
  <si>
    <t>475</t>
  </si>
  <si>
    <t>783893152RX1</t>
  </si>
  <si>
    <t>Nátěr beton.stropů a sloupů penetrace + 2x - lazura</t>
  </si>
  <si>
    <t>783_</t>
  </si>
  <si>
    <t>stropy</t>
  </si>
  <si>
    <t>78,3</t>
  </si>
  <si>
    <t>20,3</t>
  </si>
  <si>
    <t>15,7</t>
  </si>
  <si>
    <t>5,1</t>
  </si>
  <si>
    <t>13,3</t>
  </si>
  <si>
    <t>10,8*1*10+29,08*0,5</t>
  </si>
  <si>
    <t>1N05-průvlaky P22+P23+P21</t>
  </si>
  <si>
    <t>0,4*3,95*4*2</t>
  </si>
  <si>
    <t>1N05-sloupy S1</t>
  </si>
  <si>
    <t>0,28*(1+1,5)*2*8</t>
  </si>
  <si>
    <t>2N02- lemy světlíků</t>
  </si>
  <si>
    <t>9,2</t>
  </si>
  <si>
    <t>průvlaky + sloupy atd.</t>
  </si>
  <si>
    <t>476</t>
  </si>
  <si>
    <t>783124720R00</t>
  </si>
  <si>
    <t>Nátěr syntetický OK "B" základní</t>
  </si>
  <si>
    <t>OK stropu 1N04</t>
  </si>
  <si>
    <t>0,546*3,03*6*1,1</t>
  </si>
  <si>
    <t>0,2*3,03*6*1,1</t>
  </si>
  <si>
    <t>477</t>
  </si>
  <si>
    <t>783124220RX1</t>
  </si>
  <si>
    <t>Nátěr syntetický ocel. zárubní 1x + 2x email</t>
  </si>
  <si>
    <t>odstín dle PD</t>
  </si>
  <si>
    <t>ocelové zárubně</t>
  </si>
  <si>
    <t>784</t>
  </si>
  <si>
    <t>Malby</t>
  </si>
  <si>
    <t>478</t>
  </si>
  <si>
    <t>784450025RA0</t>
  </si>
  <si>
    <t>Malba ze směsi akrylátová, penetrace 1x, bílá 2x</t>
  </si>
  <si>
    <t>784_</t>
  </si>
  <si>
    <t>6,06+17,11</t>
  </si>
  <si>
    <t>SDK - předstěny</t>
  </si>
  <si>
    <t>27,34+21,7+30*1,2</t>
  </si>
  <si>
    <t>SDK- zákryty</t>
  </si>
  <si>
    <t>47,1</t>
  </si>
  <si>
    <t>SDK-podhledy</t>
  </si>
  <si>
    <t>789,37+1,24</t>
  </si>
  <si>
    <t>omítky vnitřní</t>
  </si>
  <si>
    <t>479</t>
  </si>
  <si>
    <t>784011222RT2</t>
  </si>
  <si>
    <t>Zakrytí podlah, včetně odstranění</t>
  </si>
  <si>
    <t>včetně papírové lepenky</t>
  </si>
  <si>
    <t>2,1+9+15+24+220</t>
  </si>
  <si>
    <t>venkovní plochy + střechy</t>
  </si>
  <si>
    <t>VORN</t>
  </si>
  <si>
    <t>01VRN</t>
  </si>
  <si>
    <t>480</t>
  </si>
  <si>
    <t>013002VRN</t>
  </si>
  <si>
    <t>Projektové práce</t>
  </si>
  <si>
    <t>Soubor</t>
  </si>
  <si>
    <t>RTS I / 2023</t>
  </si>
  <si>
    <t>01VRN_</t>
  </si>
  <si>
    <t>SO-01_Â _</t>
  </si>
  <si>
    <t>dokumentace skut. provedení</t>
  </si>
  <si>
    <t>481</t>
  </si>
  <si>
    <t>Projektové práce - plán BOZP</t>
  </si>
  <si>
    <t>splnění podmínek zabezp. stavby dle plánu BOZP</t>
  </si>
  <si>
    <t>482</t>
  </si>
  <si>
    <t>Projektové práce zhotovitele - dle TZ</t>
  </si>
  <si>
    <t>dílenská a výrobní dokumentace</t>
  </si>
  <si>
    <t>02VRN</t>
  </si>
  <si>
    <t>483</t>
  </si>
  <si>
    <t>020001VRN</t>
  </si>
  <si>
    <t>Příprava staveniště - zabezpečení staveniště včetně vjezdu proti vniknutí nepovolaných osob</t>
  </si>
  <si>
    <t>02VRN_</t>
  </si>
  <si>
    <t>03VRN</t>
  </si>
  <si>
    <t>484</t>
  </si>
  <si>
    <t>030001VRN</t>
  </si>
  <si>
    <t>Zařízení staveniště vč. WC, skladu, kanceláře</t>
  </si>
  <si>
    <t>03VRN_</t>
  </si>
  <si>
    <t>vč. mobilního oplocení</t>
  </si>
  <si>
    <t>vč. likvidace ZS</t>
  </si>
  <si>
    <t>485</t>
  </si>
  <si>
    <t>031002VRN</t>
  </si>
  <si>
    <t>Přípravné práce</t>
  </si>
  <si>
    <t>průzkum výskytu chrán. živočichů</t>
  </si>
  <si>
    <t>486</t>
  </si>
  <si>
    <t>vytýčení stáv. sítí dle TZ a vyjádření</t>
  </si>
  <si>
    <t>487</t>
  </si>
  <si>
    <t>Přípravné práce - pasportizace stavu okolních objektů</t>
  </si>
  <si>
    <t>včetně přilehlé příjezdové komunikace</t>
  </si>
  <si>
    <t>05VRN</t>
  </si>
  <si>
    <t>488</t>
  </si>
  <si>
    <t>056002VRN</t>
  </si>
  <si>
    <t>Koordinační činnost</t>
  </si>
  <si>
    <t>05VRN_</t>
  </si>
  <si>
    <t>07VRN</t>
  </si>
  <si>
    <t>489</t>
  </si>
  <si>
    <t>070001VRN</t>
  </si>
  <si>
    <t>07VRN_</t>
  </si>
  <si>
    <t>490</t>
  </si>
  <si>
    <t>072002VRN</t>
  </si>
  <si>
    <t>Silniční provoz - dočasné dopravní značení - zřízení + nájem + demontáž</t>
  </si>
  <si>
    <t>vč. vyřízení</t>
  </si>
  <si>
    <t>09VRN</t>
  </si>
  <si>
    <t>491</t>
  </si>
  <si>
    <t>090001VRN</t>
  </si>
  <si>
    <t>Ostatní náklady - průběžné čištění + úklid dotčených komunikací - ul. Požární</t>
  </si>
  <si>
    <t>09VRN_</t>
  </si>
  <si>
    <t>vč. ul. Rolencova a Na návsi, po celou dobu stavby</t>
  </si>
  <si>
    <t>492</t>
  </si>
  <si>
    <t>115100001RAA</t>
  </si>
  <si>
    <t>Čerpání vody na výšku 10 m, do 500 l</t>
  </si>
  <si>
    <t>SO-02_1_</t>
  </si>
  <si>
    <t>SO-02_</t>
  </si>
  <si>
    <t>včetně pohotovosti čerpací soupravy</t>
  </si>
  <si>
    <t>493</t>
  </si>
  <si>
    <t>119001411R00</t>
  </si>
  <si>
    <t>Dočasné zajištění beton.a plast. potrubí do DN 200</t>
  </si>
  <si>
    <t>3*1,35</t>
  </si>
  <si>
    <t>494</t>
  </si>
  <si>
    <t>119001421R00</t>
  </si>
  <si>
    <t>Dočasné zajištění kabelů - do počtu 3 kabelů</t>
  </si>
  <si>
    <t>2*1,35</t>
  </si>
  <si>
    <t>495</t>
  </si>
  <si>
    <t>119001421VD</t>
  </si>
  <si>
    <t>Dodatečná ochrana kabelů tvárnicemi</t>
  </si>
  <si>
    <t>vlastní</t>
  </si>
  <si>
    <t>119_</t>
  </si>
  <si>
    <t>vč. dodávky betonového nebo plastového půlžlábku a jeho osazení</t>
  </si>
  <si>
    <t>496</t>
  </si>
  <si>
    <t>120001101R00</t>
  </si>
  <si>
    <t>Příplatek za ztížení vykopávky v blízkosti vedení</t>
  </si>
  <si>
    <t>3*1,35*1,15</t>
  </si>
  <si>
    <t>2*1,35*1,15</t>
  </si>
  <si>
    <t>497</t>
  </si>
  <si>
    <t>131201201R00</t>
  </si>
  <si>
    <t>Hloubení zapažených jam v hor.3 do 100 m3</t>
  </si>
  <si>
    <t>3*2,8*1,28</t>
  </si>
  <si>
    <t>RŠ ZTI</t>
  </si>
  <si>
    <t>498</t>
  </si>
  <si>
    <t>131201202R00</t>
  </si>
  <si>
    <t>Hloubení zapažených jam v hor.3 do 1000 m3</t>
  </si>
  <si>
    <t>20,35*6,7*4,1</t>
  </si>
  <si>
    <t>ZÁSAK</t>
  </si>
  <si>
    <t>499</t>
  </si>
  <si>
    <t>131201209R00</t>
  </si>
  <si>
    <t>Příplatek za lepivost - hloubení zapaž.jam v hor.3</t>
  </si>
  <si>
    <t>(10,752+559,0145)*0,3</t>
  </si>
  <si>
    <t>30%</t>
  </si>
  <si>
    <t>500</t>
  </si>
  <si>
    <t>132201212R00</t>
  </si>
  <si>
    <t>Hloubení rýh š.do 200 cm hor.3 do 1000m3,STROJNĚ</t>
  </si>
  <si>
    <t>15*1,35*1,15</t>
  </si>
  <si>
    <t>BP</t>
  </si>
  <si>
    <t>32*1,1*1,5</t>
  </si>
  <si>
    <t>VODA</t>
  </si>
  <si>
    <t>82*1,15*0,92</t>
  </si>
  <si>
    <t>SPL.KAN</t>
  </si>
  <si>
    <t>88*1,35*1,26+24*1,35*2,62</t>
  </si>
  <si>
    <t>DEST.KAN</t>
  </si>
  <si>
    <t>501</t>
  </si>
  <si>
    <t>397,4195*0,3</t>
  </si>
  <si>
    <t>Roubení</t>
  </si>
  <si>
    <t>502</t>
  </si>
  <si>
    <t>151101101R00</t>
  </si>
  <si>
    <t>Pažení a rozepření stěn rýh - příložné - hl.do 2 m</t>
  </si>
  <si>
    <t>15_</t>
  </si>
  <si>
    <t>14*1,15*2</t>
  </si>
  <si>
    <t>88*1,26*2</t>
  </si>
  <si>
    <t>32*1,5*2</t>
  </si>
  <si>
    <t>503</t>
  </si>
  <si>
    <t>151101102R00</t>
  </si>
  <si>
    <t>Pažení a rozepření stěn rýh - příložné - hl.do 4 m</t>
  </si>
  <si>
    <t>1*2,2*2</t>
  </si>
  <si>
    <t>24*2,62*2</t>
  </si>
  <si>
    <t>504</t>
  </si>
  <si>
    <t>151101111R00</t>
  </si>
  <si>
    <t>Odstranění pažení stěn rýh - příložné - hl. do 2 m</t>
  </si>
  <si>
    <t>349,96</t>
  </si>
  <si>
    <t>505</t>
  </si>
  <si>
    <t>151101112R00</t>
  </si>
  <si>
    <t>Odstranění pažení stěn rýh - příložné - hl. do 4 m</t>
  </si>
  <si>
    <t>130,16</t>
  </si>
  <si>
    <t>506</t>
  </si>
  <si>
    <t>151101201R00</t>
  </si>
  <si>
    <t>Pažení stěn výkopu - příložné - hloubky do 4 m</t>
  </si>
  <si>
    <t>(6+5,6)*1,28</t>
  </si>
  <si>
    <t>507</t>
  </si>
  <si>
    <t>151101211R00</t>
  </si>
  <si>
    <t>Odstranění pažení stěn - příložné - hl. do 4 m</t>
  </si>
  <si>
    <t>14,848</t>
  </si>
  <si>
    <t>508</t>
  </si>
  <si>
    <t>151101301R00</t>
  </si>
  <si>
    <t>Rozepření stěn pažení - příložné -  hl. do 4 m</t>
  </si>
  <si>
    <t>10,752</t>
  </si>
  <si>
    <t>509</t>
  </si>
  <si>
    <t>151101311R00</t>
  </si>
  <si>
    <t>Odstranění rozepření stěn - příložné - hl. do 4 m</t>
  </si>
  <si>
    <t>510</t>
  </si>
  <si>
    <t>151101401R00</t>
  </si>
  <si>
    <t>Vzepření stěn pažení - příložné - hl. do 4 m</t>
  </si>
  <si>
    <t>511</t>
  </si>
  <si>
    <t>151101411R00</t>
  </si>
  <si>
    <t>Odstranění vzepření stěn - příložné - hl. do 4 m</t>
  </si>
  <si>
    <t>512</t>
  </si>
  <si>
    <t>151201202R00</t>
  </si>
  <si>
    <t>Pažení stěn výkopu - zátažné - hloubky do 8 m</t>
  </si>
  <si>
    <t>(40,7+13,4)*4,1</t>
  </si>
  <si>
    <t>VSAK</t>
  </si>
  <si>
    <t>513</t>
  </si>
  <si>
    <t>151201212R00</t>
  </si>
  <si>
    <t>Odstranění pažení stěn - zátažné - hl. do 8 m</t>
  </si>
  <si>
    <t>221,81</t>
  </si>
  <si>
    <t>514</t>
  </si>
  <si>
    <t>151201302R00</t>
  </si>
  <si>
    <t>Rozepření stěn pažení - zátažné -  hl. do 8 m</t>
  </si>
  <si>
    <t>559,01</t>
  </si>
  <si>
    <t>515</t>
  </si>
  <si>
    <t>151201312R00</t>
  </si>
  <si>
    <t>Odstranění rozepření stěn - zátažné - hl. do 8 m</t>
  </si>
  <si>
    <t>516</t>
  </si>
  <si>
    <t>151201402R00</t>
  </si>
  <si>
    <t>Vzepření stěn pažení - zátažné - hl. do 8 m</t>
  </si>
  <si>
    <t>517</t>
  </si>
  <si>
    <t>151201412R00</t>
  </si>
  <si>
    <t>Odstranění vzepření stěn - zátažné - hl. do 8 m</t>
  </si>
  <si>
    <t>518</t>
  </si>
  <si>
    <t>161101101R00</t>
  </si>
  <si>
    <t>Svislé přemístění výkopku z hor.1-4 do 2,5 m</t>
  </si>
  <si>
    <t>52,8</t>
  </si>
  <si>
    <t>(86,76+234,58+23,28)*0,5</t>
  </si>
  <si>
    <t>KANALIZACE</t>
  </si>
  <si>
    <t>519</t>
  </si>
  <si>
    <t>86,76</t>
  </si>
  <si>
    <t>234,58</t>
  </si>
  <si>
    <t>23,28</t>
  </si>
  <si>
    <t>559,01-297,36</t>
  </si>
  <si>
    <t>520</t>
  </si>
  <si>
    <t>171201201R00</t>
  </si>
  <si>
    <t>Uložení sypaniny na skl.-sypanina na výšku přes 2m</t>
  </si>
  <si>
    <t>669,822</t>
  </si>
  <si>
    <t>521</t>
  </si>
  <si>
    <t>174101101R00</t>
  </si>
  <si>
    <t>Zásyp jam, rýh, šachet se zhutněním</t>
  </si>
  <si>
    <t>297,36</t>
  </si>
  <si>
    <t>522</t>
  </si>
  <si>
    <t>175101101RT2</t>
  </si>
  <si>
    <t>Obsyp + zásyp potrubí bez prohození sypaniny</t>
  </si>
  <si>
    <t>s dodáním štěrkopísku frakce 0 - 22 mm</t>
  </si>
  <si>
    <t>32*1,1*1,4</t>
  </si>
  <si>
    <t>82*1,15*1</t>
  </si>
  <si>
    <t>88*1,35*1,11+24*1,35*2,47</t>
  </si>
  <si>
    <t>10,752-0,56-0,224-1,98</t>
  </si>
  <si>
    <t>15*1,35*1</t>
  </si>
  <si>
    <t>Hloubení pro podzemní stěny, ražení a hloubení důlní</t>
  </si>
  <si>
    <t>523</t>
  </si>
  <si>
    <t>19_</t>
  </si>
  <si>
    <t>524</t>
  </si>
  <si>
    <t>213151111R00</t>
  </si>
  <si>
    <t>Montáž vsakovacího bloku nebo tunelu</t>
  </si>
  <si>
    <t>SO-02_2_</t>
  </si>
  <si>
    <t>525</t>
  </si>
  <si>
    <t>213151121R00</t>
  </si>
  <si>
    <t>Obalení vsakovacích bloků geotextílií</t>
  </si>
  <si>
    <t>526</t>
  </si>
  <si>
    <t>17,92*0,0054</t>
  </si>
  <si>
    <t>FILTR</t>
  </si>
  <si>
    <t>9,6*0,0054</t>
  </si>
  <si>
    <t>RŠ</t>
  </si>
  <si>
    <t>Různé kompletní konstrukce nedělitelné do stav. dílů</t>
  </si>
  <si>
    <t>527</t>
  </si>
  <si>
    <t>380321462R00</t>
  </si>
  <si>
    <t>Beton komplet.konstrukcí železový C 35/45 do 30 cm</t>
  </si>
  <si>
    <t>38_</t>
  </si>
  <si>
    <t>SO-02_3_</t>
  </si>
  <si>
    <t>min. objemová hmotnost 2400kg/m3</t>
  </si>
  <si>
    <t>2,7</t>
  </si>
  <si>
    <t>528</t>
  </si>
  <si>
    <t>389381001RT1</t>
  </si>
  <si>
    <t>Dobetonování prefabrikovaných konstrukcí</t>
  </si>
  <si>
    <t>betonem třídy C 12/15</t>
  </si>
  <si>
    <t>0,5</t>
  </si>
  <si>
    <t>dobetonování prostupů VŠ + VPUST</t>
  </si>
  <si>
    <t>Podkladní a vedlejší konstrukce (kromě vozovek a železničního svršku)</t>
  </si>
  <si>
    <t>529</t>
  </si>
  <si>
    <t>451572111RK1</t>
  </si>
  <si>
    <t>Lože pod potrubí z kameniva těženého 0 - 4 mm</t>
  </si>
  <si>
    <t>45_</t>
  </si>
  <si>
    <t>SO-02_4_</t>
  </si>
  <si>
    <t>kraj Jihomoravský</t>
  </si>
  <si>
    <t>32*1,1*0,1</t>
  </si>
  <si>
    <t>82*1,15*0,15</t>
  </si>
  <si>
    <t>112*1,35*0,15</t>
  </si>
  <si>
    <t>3*2,8*0,1</t>
  </si>
  <si>
    <t>15*1,35*0,15</t>
  </si>
  <si>
    <t>2,88*2,88*0,15</t>
  </si>
  <si>
    <t>2*2*0,15</t>
  </si>
  <si>
    <t>530</t>
  </si>
  <si>
    <t>452311131R00</t>
  </si>
  <si>
    <t>Desky podkladní pod potrubí z betonu C 12/15</t>
  </si>
  <si>
    <t>1,6*1,4*0,1</t>
  </si>
  <si>
    <t>531</t>
  </si>
  <si>
    <t>452311161R00</t>
  </si>
  <si>
    <t>Desky podkladní pod potrubí z betonu C 25/30</t>
  </si>
  <si>
    <t>2,88*2,88*0,2</t>
  </si>
  <si>
    <t>532</t>
  </si>
  <si>
    <t>452351101R00</t>
  </si>
  <si>
    <t>Bednění desek nebo sedlových loží pod potrubí</t>
  </si>
  <si>
    <t>6*0,1</t>
  </si>
  <si>
    <t>2,88*2,88*0,35</t>
  </si>
  <si>
    <t>2*2*0,35</t>
  </si>
  <si>
    <t>533</t>
  </si>
  <si>
    <t>457572211R00</t>
  </si>
  <si>
    <t>Filtr.vrstvy ze zhut.kam.těž.hr.16-32, bez úpravy</t>
  </si>
  <si>
    <t>(20,35*6,7*1,01)-33,85</t>
  </si>
  <si>
    <t>534</t>
  </si>
  <si>
    <t>457572214RK1</t>
  </si>
  <si>
    <t>Filtr.vrstvy ze zhut.kam.těž.hr.32-63, bez úpravy</t>
  </si>
  <si>
    <t>(20,35*6,7*0,85)+43,57-3,28</t>
  </si>
  <si>
    <t>535</t>
  </si>
  <si>
    <t>591100031RA0</t>
  </si>
  <si>
    <t>Chodník z dlažby zámkové tl. 6 cm - oprava</t>
  </si>
  <si>
    <t>SO-02_5_</t>
  </si>
  <si>
    <t>2*1,5</t>
  </si>
  <si>
    <t>Potrubí z trub plastických, skleněných a čedičových</t>
  </si>
  <si>
    <t>536</t>
  </si>
  <si>
    <t>871181121R00</t>
  </si>
  <si>
    <t>Montáž trubek polyetylenových ve výkopu d 50 mm</t>
  </si>
  <si>
    <t>87_</t>
  </si>
  <si>
    <t>SO-02_8_</t>
  </si>
  <si>
    <t>8+2+24</t>
  </si>
  <si>
    <t>537</t>
  </si>
  <si>
    <t>871211121R00</t>
  </si>
  <si>
    <t>Montáž trubek polyetylenových ve výkopu d 63 mm</t>
  </si>
  <si>
    <t>24+2</t>
  </si>
  <si>
    <t>538</t>
  </si>
  <si>
    <t>871313121R00</t>
  </si>
  <si>
    <t>Montáž trub kanaliz. z plastu, hrdlových, do DN 150</t>
  </si>
  <si>
    <t>9+6+18</t>
  </si>
  <si>
    <t>539</t>
  </si>
  <si>
    <t>871353121R00</t>
  </si>
  <si>
    <t>Montáž trub kanaliz. z plastu, hrdlových, DN 200</t>
  </si>
  <si>
    <t>26+16+6</t>
  </si>
  <si>
    <t>540</t>
  </si>
  <si>
    <t>871512101R00</t>
  </si>
  <si>
    <t>Přirážka za 1 spoj elektrotvarovky do DN 150</t>
  </si>
  <si>
    <t>541</t>
  </si>
  <si>
    <t>877313123R00</t>
  </si>
  <si>
    <t>Montáž tvarovek jednoos. plast. gum.kroužek DN 150</t>
  </si>
  <si>
    <t>542</t>
  </si>
  <si>
    <t>877353121R00</t>
  </si>
  <si>
    <t>Montáž tvarovek odboč. plast. gum. kroužek DN 200</t>
  </si>
  <si>
    <t>Ostatní konstrukce a práce na trubním vedení</t>
  </si>
  <si>
    <t>543</t>
  </si>
  <si>
    <t>892233111R00</t>
  </si>
  <si>
    <t>Desinfekce vodovodního potrubí DN 70</t>
  </si>
  <si>
    <t>89_</t>
  </si>
  <si>
    <t>34+26</t>
  </si>
  <si>
    <t>544</t>
  </si>
  <si>
    <t>892241111R00</t>
  </si>
  <si>
    <t>Tlaková zkouška vodovodního potrubí DN 80</t>
  </si>
  <si>
    <t>545</t>
  </si>
  <si>
    <t>892571111R00</t>
  </si>
  <si>
    <t>Zkouška těsnosti kanalizace DN do 200, vodou</t>
  </si>
  <si>
    <t>16+6+6+18</t>
  </si>
  <si>
    <t>546</t>
  </si>
  <si>
    <t>893152111R00</t>
  </si>
  <si>
    <t>Montáž šachty vodoměrné/armaturní a revizní plastové hranaté</t>
  </si>
  <si>
    <t>547</t>
  </si>
  <si>
    <t>893412010RA0</t>
  </si>
  <si>
    <t>Šachta vodoměrná plast.hranatá samonosná v.min 1340 mm</t>
  </si>
  <si>
    <t>500x400mm, zateplená, nosnost 0,5-40t, potrubí PE HD 50x4,6, včetně úpravy vstupních otvoru</t>
  </si>
  <si>
    <t>548</t>
  </si>
  <si>
    <t>894138001RT3</t>
  </si>
  <si>
    <t>Přípl.za dalších 0,60m výšky vstupu,šachty na stok</t>
  </si>
  <si>
    <t>včetně 2 ks skruže TBS-Q 100/25 PS 100/250/90</t>
  </si>
  <si>
    <t>549</t>
  </si>
  <si>
    <t>894211111R00</t>
  </si>
  <si>
    <t>Šachty z betonu kruhové,dno C 25/30,potrubí DN 200</t>
  </si>
  <si>
    <t>550</t>
  </si>
  <si>
    <t>894310040vd</t>
  </si>
  <si>
    <t>Šachtice z C20/25 xc2, do 2,50 m3 OP</t>
  </si>
  <si>
    <t>551</t>
  </si>
  <si>
    <t>894401211RT2</t>
  </si>
  <si>
    <t>Osazení betonových skruží rovných 29/100/9</t>
  </si>
  <si>
    <t>včetně dodávky skruže TBS-Q 100/25 PS 100/250/90</t>
  </si>
  <si>
    <t>552</t>
  </si>
  <si>
    <t>894402211RT2</t>
  </si>
  <si>
    <t>Osazení beton. skruží přechodových 60/100/70/9</t>
  </si>
  <si>
    <t>včetně skruže přechod. TBR-Q 625/600/90/SPK (SLK)</t>
  </si>
  <si>
    <t>553</t>
  </si>
  <si>
    <t>894431312RBB</t>
  </si>
  <si>
    <t>Šachta, D 425 mm, dl.šach.roury 1,50 m, 1 přítok</t>
  </si>
  <si>
    <t>dno KG D 200 mm, poklop šedá litina 40 t</t>
  </si>
  <si>
    <t>554</t>
  </si>
  <si>
    <t>894431312RBC</t>
  </si>
  <si>
    <t>Šachta, D 425 mm, dl.šach.roury do 1,50 m, 1 přítok</t>
  </si>
  <si>
    <t>dno KG D 200 mm, poklop - litinová mříž D400</t>
  </si>
  <si>
    <t>555</t>
  </si>
  <si>
    <t>894431332RBB</t>
  </si>
  <si>
    <t>Šachta, D 425 mm, dl.šach.roury do 3,0 m, 1 přítok</t>
  </si>
  <si>
    <t>556</t>
  </si>
  <si>
    <t>899103111RT2</t>
  </si>
  <si>
    <t>Osazení poklopu s rámem do 150 kg</t>
  </si>
  <si>
    <t>včetně dodávky poklopu lit. kruhového D 600</t>
  </si>
  <si>
    <t>557</t>
  </si>
  <si>
    <t>899331111R00</t>
  </si>
  <si>
    <t>Výšková úprava vstupu do 20 cm, zvýšení poklopu</t>
  </si>
  <si>
    <t>558</t>
  </si>
  <si>
    <t>SO-02_9_</t>
  </si>
  <si>
    <t>napojení na st. IS, úpravy zídky oplocení, napojení ve VŠ</t>
  </si>
  <si>
    <t>559</t>
  </si>
  <si>
    <t>931981015R00</t>
  </si>
  <si>
    <t>Těsnění trubních prostupů bentonit.páskou 20x5 mm</t>
  </si>
  <si>
    <t>560</t>
  </si>
  <si>
    <t>970051100R00</t>
  </si>
  <si>
    <t>Vrtání jádrové do ŽB do D 100 mm</t>
  </si>
  <si>
    <t>2*0,3</t>
  </si>
  <si>
    <t>VŠ</t>
  </si>
  <si>
    <t>561</t>
  </si>
  <si>
    <t>970051250R00</t>
  </si>
  <si>
    <t>Vrtání jádrové do ŽB do D 250 mm</t>
  </si>
  <si>
    <t>0,2</t>
  </si>
  <si>
    <t>ST. VPUST</t>
  </si>
  <si>
    <t>562</t>
  </si>
  <si>
    <t>979100012RA0</t>
  </si>
  <si>
    <t>Odvoz suti a vyb.hmot do 10 km, vnitrost. 25 m</t>
  </si>
  <si>
    <t>0,03631</t>
  </si>
  <si>
    <t>563</t>
  </si>
  <si>
    <t>979999998R00</t>
  </si>
  <si>
    <t>Poplatek za recyklaci suť do 5 % příměsí (skup.170107)</t>
  </si>
  <si>
    <t>564</t>
  </si>
  <si>
    <t>711141559RZ2</t>
  </si>
  <si>
    <t>SO-02_71_</t>
  </si>
  <si>
    <t>2 vrstvy - včetně dodávky</t>
  </si>
  <si>
    <t>565</t>
  </si>
  <si>
    <t>711142559RZ4</t>
  </si>
  <si>
    <t>Provedení izolace proti vlhkosti na ploše svislé, asfaltovými pásy přitavením</t>
  </si>
  <si>
    <t>2 vrstva - včetně dodávky</t>
  </si>
  <si>
    <t>1,5</t>
  </si>
  <si>
    <t>566</t>
  </si>
  <si>
    <t>711199097R00</t>
  </si>
  <si>
    <t>Příplatek za plochu do 10 m2, izolace proti vlhkosti, natavenými asfaltovými pásy</t>
  </si>
  <si>
    <t>5,5</t>
  </si>
  <si>
    <t>567</t>
  </si>
  <si>
    <t>713571113R00</t>
  </si>
  <si>
    <t>Požárně ochranná manžeta hl. 60 mm, požární odolnost EI 90, D 75 mm</t>
  </si>
  <si>
    <t>568</t>
  </si>
  <si>
    <t>713571115R00</t>
  </si>
  <si>
    <t>Požárně ochranná manžeta hl. 60 mm, požární odolnost EI 90, D 110 mm</t>
  </si>
  <si>
    <t>721</t>
  </si>
  <si>
    <t>Vnitřní kanalizace</t>
  </si>
  <si>
    <t>569</t>
  </si>
  <si>
    <t>721152210R00</t>
  </si>
  <si>
    <t>Potrubí svařované PE odpadní - svislé, D 160 x 6,2 mm</t>
  </si>
  <si>
    <t>721_</t>
  </si>
  <si>
    <t>SO-02_72_</t>
  </si>
  <si>
    <t>570</t>
  </si>
  <si>
    <t>721152220R00</t>
  </si>
  <si>
    <t>Čisticí kus svařované PE,pro odpadní svislé, D 160 mm</t>
  </si>
  <si>
    <t>571</t>
  </si>
  <si>
    <t>721152309R00</t>
  </si>
  <si>
    <t>Nosný žlábek pro potrubí svařované, D 125 mm</t>
  </si>
  <si>
    <t>572</t>
  </si>
  <si>
    <t>721152328R00</t>
  </si>
  <si>
    <t>Potrubí svařované PE - db20 - svislé, D 110 x 6,0 mm</t>
  </si>
  <si>
    <t>573</t>
  </si>
  <si>
    <t>721152330R00</t>
  </si>
  <si>
    <t>Potrubí svařované PE - db20 - svislé, D 135 x 6,0 mm</t>
  </si>
  <si>
    <t>574</t>
  </si>
  <si>
    <t>721152338R00</t>
  </si>
  <si>
    <t>Čisticí kus svařované PE - db20 - odpadní svislé, D 110 mm</t>
  </si>
  <si>
    <t>575</t>
  </si>
  <si>
    <t>721152340R00</t>
  </si>
  <si>
    <t>Čisticí kus svařované PE - db20 - odpadní svislé, D 135 mm</t>
  </si>
  <si>
    <t>576</t>
  </si>
  <si>
    <t>721154330R00</t>
  </si>
  <si>
    <t>Potrubí svařované PE - db20, ležaté zavěšené, D 135 x 6 mm</t>
  </si>
  <si>
    <t>577</t>
  </si>
  <si>
    <t>721171239R00</t>
  </si>
  <si>
    <t>Tvarovka k připojení závěsného WC/výlevky, D 90/110</t>
  </si>
  <si>
    <t>4+1+1</t>
  </si>
  <si>
    <t>578</t>
  </si>
  <si>
    <t>721175212R00</t>
  </si>
  <si>
    <t>Automatický uzávěr proti vodě , zajišťovací, D 160 mm</t>
  </si>
  <si>
    <t>v RŠ</t>
  </si>
  <si>
    <t>579</t>
  </si>
  <si>
    <t>721176222R00</t>
  </si>
  <si>
    <t>Potrubí KG svodné (ležaté) v zemi, D 110 x 3,2 mm</t>
  </si>
  <si>
    <t>580</t>
  </si>
  <si>
    <t>721176223R00</t>
  </si>
  <si>
    <t>Potrubí KG svodné (ležaté) v zemi, D 125 x 3,2 mm</t>
  </si>
  <si>
    <t>581</t>
  </si>
  <si>
    <t>721176224R00</t>
  </si>
  <si>
    <t>Potrubí KG svodné (ležaté) v zemi, D 160 x 4,0 mm</t>
  </si>
  <si>
    <t>SN8</t>
  </si>
  <si>
    <t>582</t>
  </si>
  <si>
    <t>721176225R00</t>
  </si>
  <si>
    <t>Potrubí KG svodné (ležaté) v zemi, D 200 x 4,9 mm</t>
  </si>
  <si>
    <t>583</t>
  </si>
  <si>
    <t>721178103R00</t>
  </si>
  <si>
    <t>Potrubí odhlučněné PP připojovací, D 50 x 2,0 mm</t>
  </si>
  <si>
    <t>584</t>
  </si>
  <si>
    <t>721178104R00</t>
  </si>
  <si>
    <t>Potrubí odhlučněné PP připojovací, D 75 x 2,6 mm</t>
  </si>
  <si>
    <t>585</t>
  </si>
  <si>
    <t>721178106R00</t>
  </si>
  <si>
    <t>Potrubí odhlučněné PP připojovací, D 110 x 3,6 mm</t>
  </si>
  <si>
    <t>586</t>
  </si>
  <si>
    <t>721178114R00</t>
  </si>
  <si>
    <t>Potrubí odhlučněné PP odpadní - svislé, D 75 x 2,6 mm</t>
  </si>
  <si>
    <t>587</t>
  </si>
  <si>
    <t>721178116R00</t>
  </si>
  <si>
    <t>Potrubí odhlučněné PP odpadní - svislé, D 110 x 3,6 mm</t>
  </si>
  <si>
    <t>588</t>
  </si>
  <si>
    <t>721178117R00</t>
  </si>
  <si>
    <t>Potrubí odhlučněné PP odpadní - svislé, D 125 x 4,2 mm</t>
  </si>
  <si>
    <t>589</t>
  </si>
  <si>
    <t>721178118R00</t>
  </si>
  <si>
    <t>Potrubí odhlučněné PP odpadní - svislé, D 160 x 5,2 mm</t>
  </si>
  <si>
    <t>590</t>
  </si>
  <si>
    <t>721178124R00</t>
  </si>
  <si>
    <t>Čisticí kus odhlučněné PP pro potrubí svislé, D 75 mm</t>
  </si>
  <si>
    <t>591</t>
  </si>
  <si>
    <t>721178126R00</t>
  </si>
  <si>
    <t>Čisticí kus odhlučněné PP pro potrubí svislé, D 110 mm</t>
  </si>
  <si>
    <t>592</t>
  </si>
  <si>
    <t>721194105R00</t>
  </si>
  <si>
    <t>Vyvedení odpadních výpustek, D 50 x 1,8 mm</t>
  </si>
  <si>
    <t>10+2</t>
  </si>
  <si>
    <t>593</t>
  </si>
  <si>
    <t>721194107R00</t>
  </si>
  <si>
    <t>Vyvedení odpadních výpustek, D 75 x 1,9 mm</t>
  </si>
  <si>
    <t>594</t>
  </si>
  <si>
    <t>721194109R00</t>
  </si>
  <si>
    <t>Vyvedení odpadních výpustek, D 110 x 2,3 mm</t>
  </si>
  <si>
    <t>5+1</t>
  </si>
  <si>
    <t>595</t>
  </si>
  <si>
    <t>721211520RT2</t>
  </si>
  <si>
    <t>Vpusť dvorní, klapka, lapač</t>
  </si>
  <si>
    <t>litinová mřížka, litinový rám, D 110, 160 mm</t>
  </si>
  <si>
    <t>596</t>
  </si>
  <si>
    <t>721223423RT2</t>
  </si>
  <si>
    <t>Vpusť podlahová se zápachovou uzávěrkou</t>
  </si>
  <si>
    <t>mřížka nerez 115 x 115 D 50/75/110 mm</t>
  </si>
  <si>
    <t>597</t>
  </si>
  <si>
    <t>721234101RT1</t>
  </si>
  <si>
    <t>Vtok střešní PP pro plochou střechu</t>
  </si>
  <si>
    <t>živičný pás, případně dle specifikace ASŘ, záchytný koš D 75, 110, 125 mm</t>
  </si>
  <si>
    <t>598</t>
  </si>
  <si>
    <t>721242110RT1</t>
  </si>
  <si>
    <t>Lapač střešních splavenin PP HL600, kloub</t>
  </si>
  <si>
    <t>zápachová klapka, koš na listí, DN 100 mm</t>
  </si>
  <si>
    <t>výměna za stávající</t>
  </si>
  <si>
    <t>599</t>
  </si>
  <si>
    <t>721242803R00</t>
  </si>
  <si>
    <t>Demontáž lapače střešních splavenin, DN 100 mm</t>
  </si>
  <si>
    <t>600</t>
  </si>
  <si>
    <t>721273150RT1</t>
  </si>
  <si>
    <t>Hlavice ventilační přivětrávací</t>
  </si>
  <si>
    <t>přivzdušňovací ventil, D 50/75/110 mm</t>
  </si>
  <si>
    <t>601</t>
  </si>
  <si>
    <t>721290111R00</t>
  </si>
  <si>
    <t>Zkouška těsnosti kanalizace vodou DN 125 mm</t>
  </si>
  <si>
    <t>20+2+11+21+33+33+15+8+18+36+30</t>
  </si>
  <si>
    <t>602</t>
  </si>
  <si>
    <t>721290112R00</t>
  </si>
  <si>
    <t>Zkouška těsnosti kanalizace vodou DN 200 mm</t>
  </si>
  <si>
    <t>13+15+89+9+33+26</t>
  </si>
  <si>
    <t>603</t>
  </si>
  <si>
    <t>722130234R00</t>
  </si>
  <si>
    <t>Potrubí z trubek závitových pozinkovaných svařovaných 11 343, DN 32 mm</t>
  </si>
  <si>
    <t>604</t>
  </si>
  <si>
    <t>722130236R00</t>
  </si>
  <si>
    <t>Potrubí z trubek závitových pozinkovaných svařovaných 11 343, DN 50 mm</t>
  </si>
  <si>
    <t>605</t>
  </si>
  <si>
    <t>722131916R00</t>
  </si>
  <si>
    <t>Oprava závitového potrubí, vsazení odbočky DN 50 mm</t>
  </si>
  <si>
    <t>propojení ve VŠ</t>
  </si>
  <si>
    <t>606</t>
  </si>
  <si>
    <t>722170927R00</t>
  </si>
  <si>
    <t>Oprava plastového potrubí, spojka přímá, vnější závit 50 x 6/4"</t>
  </si>
  <si>
    <t>propojení na st. rozvod u RD a ve VŠ</t>
  </si>
  <si>
    <t>607</t>
  </si>
  <si>
    <t>722178113RT1</t>
  </si>
  <si>
    <t>Potrubí vícevrstvé vodovodní AL/PeX, lisovaný spoj, D 20 x 2,0 mm, PN 10</t>
  </si>
  <si>
    <t>mosazné press fitinky</t>
  </si>
  <si>
    <t>38+62</t>
  </si>
  <si>
    <t>608</t>
  </si>
  <si>
    <t>722178114RT1</t>
  </si>
  <si>
    <t>Potrubí vícevrstvé vodovodní AL/PeX, lisovaný spoj, D 26 x 3,0 mm, PN 10</t>
  </si>
  <si>
    <t>30+51</t>
  </si>
  <si>
    <t>609</t>
  </si>
  <si>
    <t>722178115RT1</t>
  </si>
  <si>
    <t>Potrubí vícevrstvé vodovodní AL/PeX, lisovaný spoj, D 32 x 3,0 mm, PN 10</t>
  </si>
  <si>
    <t>15+52</t>
  </si>
  <si>
    <t>610</t>
  </si>
  <si>
    <t>722178116RT1</t>
  </si>
  <si>
    <t>Potrubí vícevrstvé vodovodní AL/PeX, lisovaný spoj, D 40 x 3,5 mm, PN 10</t>
  </si>
  <si>
    <t>14+9</t>
  </si>
  <si>
    <t>611</t>
  </si>
  <si>
    <t>722178117RT1</t>
  </si>
  <si>
    <t>Potrubí vícevrstvé vodovodní AL/PeX, lisovaný spoj, D 50 x 4,0 mm PN 10</t>
  </si>
  <si>
    <t>79+9</t>
  </si>
  <si>
    <t>612</t>
  </si>
  <si>
    <t>722178118RT1</t>
  </si>
  <si>
    <t>Potrubí vícevrstvé vodovodní AL/PeX, lisovaný spoj, D 63 x 4,5 mm PN 10</t>
  </si>
  <si>
    <t>613</t>
  </si>
  <si>
    <t>722181211RT9</t>
  </si>
  <si>
    <t>Izolace návleková tl. stěny 6 mm</t>
  </si>
  <si>
    <t>vnitřní průměr 28 mm</t>
  </si>
  <si>
    <t>614</t>
  </si>
  <si>
    <t>722181211RU1</t>
  </si>
  <si>
    <t>vnitřní průměr 32 mm</t>
  </si>
  <si>
    <t>615</t>
  </si>
  <si>
    <t>722181211RU2</t>
  </si>
  <si>
    <t>vnitřní průměr 35 mm</t>
  </si>
  <si>
    <t>616</t>
  </si>
  <si>
    <t>722181211RV9</t>
  </si>
  <si>
    <t>vnitřní průměr 40 mm</t>
  </si>
  <si>
    <t>617</t>
  </si>
  <si>
    <t>722181211RZ6</t>
  </si>
  <si>
    <t>vnitřní průměr 20 mm</t>
  </si>
  <si>
    <t>618</t>
  </si>
  <si>
    <t>722181212RW6</t>
  </si>
  <si>
    <t>Izolace návleková tl. stěny 9 mm</t>
  </si>
  <si>
    <t>vnitřní průměr 50 mm</t>
  </si>
  <si>
    <t>619</t>
  </si>
  <si>
    <t>722181212RW8</t>
  </si>
  <si>
    <t>vnitřní průměr 54 mm</t>
  </si>
  <si>
    <t>620</t>
  </si>
  <si>
    <t>722181212RY3</t>
  </si>
  <si>
    <t>vnitřní průměr 63 mm</t>
  </si>
  <si>
    <t>621</t>
  </si>
  <si>
    <t>722181215R00</t>
  </si>
  <si>
    <t>Izolace návleková  tl. stěny 25 mm</t>
  </si>
  <si>
    <t>622</t>
  </si>
  <si>
    <t>722181215RT9</t>
  </si>
  <si>
    <t>623</t>
  </si>
  <si>
    <t>722181215RU1</t>
  </si>
  <si>
    <t>624</t>
  </si>
  <si>
    <t>722181215RV9</t>
  </si>
  <si>
    <t>Izolace návleková tl. stěny 25 mm</t>
  </si>
  <si>
    <t>625</t>
  </si>
  <si>
    <t>722181215RW6</t>
  </si>
  <si>
    <t>626</t>
  </si>
  <si>
    <t>722190223R00</t>
  </si>
  <si>
    <t>Přípojky vodovodní pro pevné připojení DN 25 mm</t>
  </si>
  <si>
    <t>627</t>
  </si>
  <si>
    <t>722190225R00</t>
  </si>
  <si>
    <t>Přípojky vodovodní pro pevné připojení DN 40 mm</t>
  </si>
  <si>
    <t>628</t>
  </si>
  <si>
    <t>722190401R00</t>
  </si>
  <si>
    <t>Vyvedení a upevnění výpustek DN 15 mm</t>
  </si>
  <si>
    <t>18+2+4+1+8+2+2+2</t>
  </si>
  <si>
    <t>629</t>
  </si>
  <si>
    <t>722190901R00</t>
  </si>
  <si>
    <t>Uzavření/otevření vodovodního potrubí při opravě</t>
  </si>
  <si>
    <t>630</t>
  </si>
  <si>
    <t>722191112R00</t>
  </si>
  <si>
    <t>Hadice flexibilní k baterii M 10, DN 15 mm, délka 500 mm</t>
  </si>
  <si>
    <t>18+2</t>
  </si>
  <si>
    <t>631</t>
  </si>
  <si>
    <t>722191133R00</t>
  </si>
  <si>
    <t>Hadice sanitární flexibilní, DN 15 mm, délka 500 mm</t>
  </si>
  <si>
    <t>632</t>
  </si>
  <si>
    <t>722212440R00</t>
  </si>
  <si>
    <t>Štítky orientační na zeď</t>
  </si>
  <si>
    <t>633</t>
  </si>
  <si>
    <t>722213312R00</t>
  </si>
  <si>
    <t>Úpravna vody magnetická PN 1,6 ,DN 40</t>
  </si>
  <si>
    <t>634</t>
  </si>
  <si>
    <t>722220111R00</t>
  </si>
  <si>
    <t>Nástěnka K 247, pro výtokový ventil G 1/2"</t>
  </si>
  <si>
    <t>18+24+1+2+2</t>
  </si>
  <si>
    <t>635</t>
  </si>
  <si>
    <t>722220121R00</t>
  </si>
  <si>
    <t>Nástěnka K 247, pro baterii G 1/2"</t>
  </si>
  <si>
    <t>pár</t>
  </si>
  <si>
    <t>4+1</t>
  </si>
  <si>
    <t>636</t>
  </si>
  <si>
    <t>722221122R00</t>
  </si>
  <si>
    <t>Kohout vodovodní, kulový, zahradní, DN 15 mm x DN 20 mm</t>
  </si>
  <si>
    <t>637</t>
  </si>
  <si>
    <t>722231195R00</t>
  </si>
  <si>
    <t>Ventil vodovodní pojistný pružinový P10-237-616, G 6/4"</t>
  </si>
  <si>
    <t>638</t>
  </si>
  <si>
    <t>722235111R00</t>
  </si>
  <si>
    <t>Kohout vodovodní, kulový, vnitřní-vnitřní závit, DN 15 mm</t>
  </si>
  <si>
    <t>639</t>
  </si>
  <si>
    <t>722235112R00</t>
  </si>
  <si>
    <t>Kohout vodovodní, kulový, vnitřní-vnitřní závit, DN 20 mm</t>
  </si>
  <si>
    <t>640</t>
  </si>
  <si>
    <t>722235113R00</t>
  </si>
  <si>
    <t>Kohout vodovodní, kulový, vnitřní-vnitřní závit, DN 25 mm</t>
  </si>
  <si>
    <t>641</t>
  </si>
  <si>
    <t>722235114R00</t>
  </si>
  <si>
    <t>Kohout vodovodní, kulový, vnitřní-vnitřní závit, DN 32 mm</t>
  </si>
  <si>
    <t>642</t>
  </si>
  <si>
    <t>722235115R00</t>
  </si>
  <si>
    <t>Kohout vodovodní, kulový, vnitřní-vnitřní závit, DN 40 mm</t>
  </si>
  <si>
    <t>643</t>
  </si>
  <si>
    <t>722235141R00</t>
  </si>
  <si>
    <t>Kohout vodovodní, kulový s vypouštěním, vnitřní-vnitřní závit, DN 15 mm</t>
  </si>
  <si>
    <t>644</t>
  </si>
  <si>
    <t>722235142R00</t>
  </si>
  <si>
    <t>Kohout vodovodní, kulový s vypouštěním, vnitřní-vnitřní závit, DN 20 mm</t>
  </si>
  <si>
    <t>645</t>
  </si>
  <si>
    <t>722235143R00</t>
  </si>
  <si>
    <t>Kohout vodovodní, kulový s vypouštěním, vnitřní-vnitřní závit, DN 25 mm</t>
  </si>
  <si>
    <t>646</t>
  </si>
  <si>
    <t>722235144R00</t>
  </si>
  <si>
    <t>Kohout vodovodní, kulový s vypouštěním, vnitřní-vnitřní závit, DN 32 mm</t>
  </si>
  <si>
    <t>647</t>
  </si>
  <si>
    <t>722235145R00</t>
  </si>
  <si>
    <t>Kohout vodovodní, kulový s vypouštěním, vnitřní-vnitřní závit, DN 40 mm</t>
  </si>
  <si>
    <t>648</t>
  </si>
  <si>
    <t>722235146R00</t>
  </si>
  <si>
    <t>Kohout vodovodní, kulový s vypouštěním, vnitřní-vnitřní závit, DN 50 mm</t>
  </si>
  <si>
    <t>649</t>
  </si>
  <si>
    <t>722235571R00</t>
  </si>
  <si>
    <t>Kohout vodovodní, kulový, DN 15 mm</t>
  </si>
  <si>
    <t>650</t>
  </si>
  <si>
    <t>722235572R00</t>
  </si>
  <si>
    <t>Kohout vodovodní, kulový, DN 20 mm</t>
  </si>
  <si>
    <t>651</t>
  </si>
  <si>
    <t>722235573R00</t>
  </si>
  <si>
    <t>Kohout vodovodní, kulový, DN 25 mm</t>
  </si>
  <si>
    <t>652</t>
  </si>
  <si>
    <t>722235574R00</t>
  </si>
  <si>
    <t>Kohout vodovodní, kulový, DN 32 mm</t>
  </si>
  <si>
    <t>653</t>
  </si>
  <si>
    <t>722235575R00</t>
  </si>
  <si>
    <t>Kohout vodovodní, kulový, DN 40 mm</t>
  </si>
  <si>
    <t>654</t>
  </si>
  <si>
    <t>722235651R00</t>
  </si>
  <si>
    <t>Ventil vodovodní, zpětný, DN 15 mm</t>
  </si>
  <si>
    <t>655</t>
  </si>
  <si>
    <t>722235652R00</t>
  </si>
  <si>
    <t>Ventil vodovodní, zpětný, DN 20 mm</t>
  </si>
  <si>
    <t>656</t>
  </si>
  <si>
    <t>722235653R00</t>
  </si>
  <si>
    <t>Ventil vodovodní, zpětný, DN 25 mm</t>
  </si>
  <si>
    <t>657</t>
  </si>
  <si>
    <t>722235655R00</t>
  </si>
  <si>
    <t>Ventil vodovodní, zpětný, DN 40 mm</t>
  </si>
  <si>
    <t>658</t>
  </si>
  <si>
    <t>722239101R00</t>
  </si>
  <si>
    <t>Montáž vodovodních armatur 2závity, G 1/2"</t>
  </si>
  <si>
    <t>3+1</t>
  </si>
  <si>
    <t>659</t>
  </si>
  <si>
    <t>722239102R00</t>
  </si>
  <si>
    <t>Montáž vodovodních armatur 2závity, G 3/4"</t>
  </si>
  <si>
    <t>660</t>
  </si>
  <si>
    <t>722239103R00</t>
  </si>
  <si>
    <t>Montáž vodovodních armatur 2závity, G 1"</t>
  </si>
  <si>
    <t>661</t>
  </si>
  <si>
    <t>722239104R00</t>
  </si>
  <si>
    <t>Montáž vodovodních armatur 2závity, G 5/4"</t>
  </si>
  <si>
    <t>662</t>
  </si>
  <si>
    <t>722239106R00</t>
  </si>
  <si>
    <t>Montáž vodovodních armatur 2závity, G 2"</t>
  </si>
  <si>
    <t>663</t>
  </si>
  <si>
    <t>722254201RT4</t>
  </si>
  <si>
    <t>Hydrantový systém, box s plnými dveřmi</t>
  </si>
  <si>
    <t>průměr 19/30 mm, stálotvará hadice</t>
  </si>
  <si>
    <t>664</t>
  </si>
  <si>
    <t>Tlaková zkouška nástěnného požárního hydrantu</t>
  </si>
  <si>
    <t>665</t>
  </si>
  <si>
    <t>722259994R00</t>
  </si>
  <si>
    <t>Revize nástěnného požárního hydrantu</t>
  </si>
  <si>
    <t>666</t>
  </si>
  <si>
    <t>Vystavení revizní zprávy - nástěnný požární hydrant</t>
  </si>
  <si>
    <t>667</t>
  </si>
  <si>
    <t>722264111R00</t>
  </si>
  <si>
    <t>Vodoměr bytový SV DN 15 x 80 mm, Qn 1,5</t>
  </si>
  <si>
    <t>668</t>
  </si>
  <si>
    <t>722264114R00</t>
  </si>
  <si>
    <t>Vodoměr bytový SV DN 20 x 130 mm, Qn 2,5</t>
  </si>
  <si>
    <t>669</t>
  </si>
  <si>
    <t>722265116vd</t>
  </si>
  <si>
    <t>Vodoměr domovní SV DN25, Qn 10; Qmax 12,5</t>
  </si>
  <si>
    <t>670</t>
  </si>
  <si>
    <t>722268616R00</t>
  </si>
  <si>
    <t>Sestava vodoměrná s ventily Qn 10 DN 50 - 50 mm</t>
  </si>
  <si>
    <t>671</t>
  </si>
  <si>
    <t>722280106R00</t>
  </si>
  <si>
    <t>Tlaková zkouška vodovodního potrubí DN 32 mm</t>
  </si>
  <si>
    <t>100+81+67+23+27</t>
  </si>
  <si>
    <t>672</t>
  </si>
  <si>
    <t>722280107R00</t>
  </si>
  <si>
    <t>Tlaková zkouška vodovodního potrubí DN 40 mm</t>
  </si>
  <si>
    <t>673</t>
  </si>
  <si>
    <t>722280108R00</t>
  </si>
  <si>
    <t>Tlaková zkouška vodovodního potrubí DN 50 mm</t>
  </si>
  <si>
    <t>8+3</t>
  </si>
  <si>
    <t>674</t>
  </si>
  <si>
    <t>722290234R00</t>
  </si>
  <si>
    <t>Proplach a dezinfekce vodovodního potrubí DN 80 mm</t>
  </si>
  <si>
    <t>100+81+67+23+88+8+27+3</t>
  </si>
  <si>
    <t>724</t>
  </si>
  <si>
    <t>Strojní vybavení</t>
  </si>
  <si>
    <t>675</t>
  </si>
  <si>
    <t>724231182R00</t>
  </si>
  <si>
    <t>Teploměr s pevným stonkem a jímkou - 100 mm</t>
  </si>
  <si>
    <t>724_</t>
  </si>
  <si>
    <t>676</t>
  </si>
  <si>
    <t>725016101R00</t>
  </si>
  <si>
    <t>Pisoár, bílý</t>
  </si>
  <si>
    <t xml:space="preserve">komplet vč. příslušenství
</t>
  </si>
  <si>
    <t>677</t>
  </si>
  <si>
    <t>725019103R00</t>
  </si>
  <si>
    <t>Výlevka závěsná s plastovou mžížkou</t>
  </si>
  <si>
    <t>678</t>
  </si>
  <si>
    <t>725100001RA0</t>
  </si>
  <si>
    <t>Umyvadlo, baterie, zápachová uzávěrka</t>
  </si>
  <si>
    <t>Automatická umyvadlová baterie s elektronikou ALS pro teplou a studenou vodu, 24 V DC</t>
  </si>
  <si>
    <t>679</t>
  </si>
  <si>
    <t>725100001ZTP0</t>
  </si>
  <si>
    <t>Umyvadlo pro ZTP, baterie, zápachová uzávěrka</t>
  </si>
  <si>
    <t>680</t>
  </si>
  <si>
    <t>725100004RA0</t>
  </si>
  <si>
    <t>Sprchové stání, baterie, podlahová vpust</t>
  </si>
  <si>
    <t>Automatické ovládání sprchy s elektronikou ALS s termostatickým ventilem pro teplou a studenou vodu, 24 V DC</t>
  </si>
  <si>
    <t>681</t>
  </si>
  <si>
    <t>725100023RA0</t>
  </si>
  <si>
    <t>Klozet se zazděnou nádržkou</t>
  </si>
  <si>
    <t>682</t>
  </si>
  <si>
    <t>725100024RA0</t>
  </si>
  <si>
    <t>Klozet pro ZTP se zazděnou nádržkou</t>
  </si>
  <si>
    <t>683</t>
  </si>
  <si>
    <t>725121621R00</t>
  </si>
  <si>
    <t>Splachovač pisoárů automatický</t>
  </si>
  <si>
    <t>Infračervený splachovač pisoáru s elektronikou ALS, 24 V DC</t>
  </si>
  <si>
    <t>684</t>
  </si>
  <si>
    <t>725814106R00</t>
  </si>
  <si>
    <t>Ventil rohový s filtrem DN 15 x DN 15</t>
  </si>
  <si>
    <t>18+2+4+1</t>
  </si>
  <si>
    <t>685</t>
  </si>
  <si>
    <t>725825114RT0</t>
  </si>
  <si>
    <t>Baterie dřezová nástěnná ruční</t>
  </si>
  <si>
    <t>pro výlevku</t>
  </si>
  <si>
    <t>686</t>
  </si>
  <si>
    <t>725860180RT1</t>
  </si>
  <si>
    <t>Sifon pračkový , D 40/50 mm nerezový</t>
  </si>
  <si>
    <t>podomítková uzávěrka, krycí deska nerez 160x110 mm</t>
  </si>
  <si>
    <t>732</t>
  </si>
  <si>
    <t>Strojovny</t>
  </si>
  <si>
    <t>687</t>
  </si>
  <si>
    <t>732331513R00</t>
  </si>
  <si>
    <t>Nádoby expanzní tlak.s memb., 25 l</t>
  </si>
  <si>
    <t>732_</t>
  </si>
  <si>
    <t>SO-02_73_</t>
  </si>
  <si>
    <t>H27</t>
  </si>
  <si>
    <t>Vedení trubní dálková a přípojná</t>
  </si>
  <si>
    <t>688</t>
  </si>
  <si>
    <t>998276101R00</t>
  </si>
  <si>
    <t>Přesun hmot, trubní vedení plastová, otevř. výkop</t>
  </si>
  <si>
    <t>H27_</t>
  </si>
  <si>
    <t>0,0006+7,3879+1,06106</t>
  </si>
  <si>
    <t>H721</t>
  </si>
  <si>
    <t>689</t>
  </si>
  <si>
    <t>998721102R00</t>
  </si>
  <si>
    <t>Přesun hmot pro vnitřní kanalizaci, výšky do 12 m</t>
  </si>
  <si>
    <t>H721_</t>
  </si>
  <si>
    <t>2,01228</t>
  </si>
  <si>
    <t>H722</t>
  </si>
  <si>
    <t>690</t>
  </si>
  <si>
    <t>998722101R00</t>
  </si>
  <si>
    <t>Přesun hmot pro vnitřní vodovod, výšky do 6 m</t>
  </si>
  <si>
    <t>H722_</t>
  </si>
  <si>
    <t>1,48387</t>
  </si>
  <si>
    <t>H725</t>
  </si>
  <si>
    <t>691</t>
  </si>
  <si>
    <t>998725101R00</t>
  </si>
  <si>
    <t>Přesun hmot pro zařizovací předměty, výšky do 6 m</t>
  </si>
  <si>
    <t>H725_</t>
  </si>
  <si>
    <t>0,40249</t>
  </si>
  <si>
    <t>M</t>
  </si>
  <si>
    <t>692</t>
  </si>
  <si>
    <t>28302VD</t>
  </si>
  <si>
    <t>Předčisticí a regulační šachta (AKU. FILTR) pro dešťové vody 6EO/PB+mont+doprava</t>
  </si>
  <si>
    <t>0</t>
  </si>
  <si>
    <t>Z99999_</t>
  </si>
  <si>
    <t>SO-02_Z_</t>
  </si>
  <si>
    <t>693</t>
  </si>
  <si>
    <t>28349010</t>
  </si>
  <si>
    <t>Dvířka revizní plná SI 2020 rozměr 200 x 200 mm</t>
  </si>
  <si>
    <t>694</t>
  </si>
  <si>
    <t>28349012</t>
  </si>
  <si>
    <t>Dvířka revizní plná SI 2030 rozměr 200 x 300 mm</t>
  </si>
  <si>
    <t>695</t>
  </si>
  <si>
    <t>283vsak001VD</t>
  </si>
  <si>
    <t>Vsak. tělo tunelu o roz. (d x š x v) 2,3 x 0,81 x 1,3 m</t>
  </si>
  <si>
    <t>696</t>
  </si>
  <si>
    <t>283vsak002VD</t>
  </si>
  <si>
    <t>Čelo vsakovacího tunelu, (d x š x v) 0,48 x 0,78 x 1,3 m</t>
  </si>
  <si>
    <t>697</t>
  </si>
  <si>
    <t>28611141.A</t>
  </si>
  <si>
    <t>Trubka kanalizační KGEM SN 4 PVC 110 x 3,2 x 1000 mm</t>
  </si>
  <si>
    <t>;ztratné 10%; 2</t>
  </si>
  <si>
    <t>698</t>
  </si>
  <si>
    <t>286111951</t>
  </si>
  <si>
    <t>Trubka kanalizační PVC SN 16 DN 150/6000</t>
  </si>
  <si>
    <t>;ztratné 10%; 0,2</t>
  </si>
  <si>
    <t>699</t>
  </si>
  <si>
    <t>286111953</t>
  </si>
  <si>
    <t>Trubka kanalizační PVC SN 16 DN 200/6000</t>
  </si>
  <si>
    <t>;ztratné 10%; 1</t>
  </si>
  <si>
    <t>700</t>
  </si>
  <si>
    <t>286134317</t>
  </si>
  <si>
    <t>Trubka tl. PE100 50x4,6 mm PN16</t>
  </si>
  <si>
    <t>;ztratné 10%; 3,4</t>
  </si>
  <si>
    <t>701</t>
  </si>
  <si>
    <t>286134321</t>
  </si>
  <si>
    <t>Trubka tl. PE100 63x5,8 mm PN16</t>
  </si>
  <si>
    <t>;ztratné 10%; 2,6</t>
  </si>
  <si>
    <t>702</t>
  </si>
  <si>
    <t>28615422.A</t>
  </si>
  <si>
    <t>Zátka HTM D 75 mm PP</t>
  </si>
  <si>
    <t>703</t>
  </si>
  <si>
    <t>28615423.A</t>
  </si>
  <si>
    <t>Zátka HTM D 110 mm PP</t>
  </si>
  <si>
    <t>704</t>
  </si>
  <si>
    <t>286506003</t>
  </si>
  <si>
    <t>Koleno kanalizační PVC SDR 34 (SN16) DN 150/45° SN16</t>
  </si>
  <si>
    <t>705</t>
  </si>
  <si>
    <t>286506013</t>
  </si>
  <si>
    <t>Koleno kanalizační PVC SDR 34 (SN16) DN 200/45° SN16</t>
  </si>
  <si>
    <t>706</t>
  </si>
  <si>
    <t>28651652.A</t>
  </si>
  <si>
    <t>Koleno kanalizační KGB 110/ 45° PVC</t>
  </si>
  <si>
    <t>707</t>
  </si>
  <si>
    <t>28651654.A</t>
  </si>
  <si>
    <t>Koleno kanalizační KGB 110/ 87° PVC</t>
  </si>
  <si>
    <t>708</t>
  </si>
  <si>
    <t>28651842.A</t>
  </si>
  <si>
    <t>Kus čisticí kanalizační KGRE DN 150 PVC</t>
  </si>
  <si>
    <t>709</t>
  </si>
  <si>
    <t>28653324.A</t>
  </si>
  <si>
    <t>Koleno 90° elektrosvařovací d 50 mm</t>
  </si>
  <si>
    <t>710</t>
  </si>
  <si>
    <t>28653325.A</t>
  </si>
  <si>
    <t>Koleno 90° elektrosvařovací d 63 mm</t>
  </si>
  <si>
    <t>673909991034</t>
  </si>
  <si>
    <t>Fólie výstražná šířka 34 cm modrá síťovina</t>
  </si>
  <si>
    <t>30+26</t>
  </si>
  <si>
    <t>673909992034</t>
  </si>
  <si>
    <t>Fólie výstražná šířka 34 cm červená síťovina</t>
  </si>
  <si>
    <t>69366199</t>
  </si>
  <si>
    <t>Geotextilie 500 g/m2 š. 200cm 100% PP</t>
  </si>
  <si>
    <t>714</t>
  </si>
  <si>
    <t>7220007VD</t>
  </si>
  <si>
    <t>Termostatický směšovací ventil pro TV - 1/2"</t>
  </si>
  <si>
    <t>715</t>
  </si>
  <si>
    <t>7220008VDVD</t>
  </si>
  <si>
    <t>Termostatický směšovací ventil pro TV - 3/4"</t>
  </si>
  <si>
    <t>průzkum trhu</t>
  </si>
  <si>
    <t>716</t>
  </si>
  <si>
    <t>7220009VD</t>
  </si>
  <si>
    <t>Termostatický směšovací ventil pro TV - 1"</t>
  </si>
  <si>
    <t>717</t>
  </si>
  <si>
    <t>722cerp001VD</t>
  </si>
  <si>
    <t>Cirkulační čerpadlo pro systémy TV</t>
  </si>
  <si>
    <t>718</t>
  </si>
  <si>
    <t>722potVD001VD</t>
  </si>
  <si>
    <t>Uchycovací materiál pro vodovodní potrubní rozvody</t>
  </si>
  <si>
    <t>719</t>
  </si>
  <si>
    <t>722vod0002VD</t>
  </si>
  <si>
    <t>Kontrolovatelný zpětný ventil - třída 2(EA) - DN32</t>
  </si>
  <si>
    <t>720</t>
  </si>
  <si>
    <t>722vod0004VD</t>
  </si>
  <si>
    <t>Kontrolovatelný zpětný ventil - třída 2(EA) - DN50</t>
  </si>
  <si>
    <t>SO-02_Â _</t>
  </si>
  <si>
    <t>Dokončovací konstrukce na pozemních stavbách</t>
  </si>
  <si>
    <t>222619111R00IM</t>
  </si>
  <si>
    <t>Koordinace činností souvisejících s MaR</t>
  </si>
  <si>
    <t>hod</t>
  </si>
  <si>
    <t>SO-03_9_</t>
  </si>
  <si>
    <t>SO-03_</t>
  </si>
  <si>
    <t>723</t>
  </si>
  <si>
    <t>M221IM</t>
  </si>
  <si>
    <t>D+M autonomní systém měření a regulace v rámci VZT jednotky a propojení s řídícími prvky, (čidla, regulátory)</t>
  </si>
  <si>
    <t>kpl</t>
  </si>
  <si>
    <t>713411111R00IM</t>
  </si>
  <si>
    <t>Montáž tepelné izolace potrubí a ohybů pásy nebo rohožemi ovinutými kolem potrubí a staženými ocelovým drátem  jednovrstvá</t>
  </si>
  <si>
    <t>SO-03_71_</t>
  </si>
  <si>
    <t>3.50000</t>
  </si>
  <si>
    <t>d 250 mm:</t>
  </si>
  <si>
    <t>3.40000</t>
  </si>
  <si>
    <t>300 x 300 mm:</t>
  </si>
  <si>
    <t>23.10000</t>
  </si>
  <si>
    <t>650 x 300 mm:</t>
  </si>
  <si>
    <t>9.85000</t>
  </si>
  <si>
    <t>d 500 mm:</t>
  </si>
  <si>
    <t>34.90000</t>
  </si>
  <si>
    <t>800 x 400 mm:</t>
  </si>
  <si>
    <t>713491111R00IM</t>
  </si>
  <si>
    <t>Izolace tepelné potrubí a ohybů - doplňky montáž oplechování (plech ve specifikaci)  pevného, potrubí</t>
  </si>
  <si>
    <t>74.75000</t>
  </si>
  <si>
    <t>Odkaz na mn. položky pořadí 1:</t>
  </si>
  <si>
    <t>726</t>
  </si>
  <si>
    <t>998713203R00IM</t>
  </si>
  <si>
    <t>Přesun hmot pro izolace tepelné v objektech výšky do 24 m</t>
  </si>
  <si>
    <t>727</t>
  </si>
  <si>
    <t>5.96903</t>
  </si>
  <si>
    <t>728</t>
  </si>
  <si>
    <t>998713202R00IM</t>
  </si>
  <si>
    <t>Přesun hmot pro izolace tepelné v objektech výšky do 12 m</t>
  </si>
  <si>
    <t>729</t>
  </si>
  <si>
    <t>138121300000RIM</t>
  </si>
  <si>
    <t>Plech hladký pozinkovaný DX51D+Z275, rozměr 0,80 x 1000 x 2000 mm</t>
  </si>
  <si>
    <t>463.45000</t>
  </si>
  <si>
    <t>Odkaz na mn. položky pořadí 2:</t>
  </si>
  <si>
    <t>69.51750</t>
  </si>
  <si>
    <t>prořez 15%:</t>
  </si>
  <si>
    <t>730</t>
  </si>
  <si>
    <t>63153583RIM</t>
  </si>
  <si>
    <t>Rohož izolační  DP 80 kg/m3 5000 x 500 x 40 mm</t>
  </si>
  <si>
    <t>11.21250</t>
  </si>
  <si>
    <t>731</t>
  </si>
  <si>
    <t>7131IM</t>
  </si>
  <si>
    <t>Izolační návlek na VZT potrubí, DN100, tl. izolace 25 mm, např. TERMOSLEEV 102 T</t>
  </si>
  <si>
    <t>19.00000</t>
  </si>
  <si>
    <t>2.00000</t>
  </si>
  <si>
    <t>prořez:</t>
  </si>
  <si>
    <t>728111114R00IM</t>
  </si>
  <si>
    <t>Montáž čtyřhranného plechového potrubí  do průřezu 0,13 m2</t>
  </si>
  <si>
    <t>SO-03_73_</t>
  </si>
  <si>
    <t>Odkaz na mn. položky pořadí 28:</t>
  </si>
  <si>
    <t>733</t>
  </si>
  <si>
    <t>728111117R00IM</t>
  </si>
  <si>
    <t>Montáž čtyřhranného plechového potrubí  do průřezu 0,40 m2</t>
  </si>
  <si>
    <t>1.00000</t>
  </si>
  <si>
    <t>Odkaz na mn. položky pořadí 29:</t>
  </si>
  <si>
    <t>734</t>
  </si>
  <si>
    <t>728112113R00IM</t>
  </si>
  <si>
    <t>Montáž kruhového plechového potrubí do průměru d 300 mm</t>
  </si>
  <si>
    <t>24.00000</t>
  </si>
  <si>
    <t>Odkaz na mn. položky pořadí 26:</t>
  </si>
  <si>
    <t>735</t>
  </si>
  <si>
    <t>728112115R00IM</t>
  </si>
  <si>
    <t>Montáž kruhového plechového potrubí do průměru d 500 mm</t>
  </si>
  <si>
    <t>43.00000</t>
  </si>
  <si>
    <t>Odkaz na mn. položky pořadí 27:</t>
  </si>
  <si>
    <t>728312112R00IM</t>
  </si>
  <si>
    <t>Montáž tlumiče hluku do čtyřhranného potrubí, do průřezu 0,30 m2,</t>
  </si>
  <si>
    <t>737</t>
  </si>
  <si>
    <t>728312114R00IM</t>
  </si>
  <si>
    <t>Montáž tlumiče hluku do čtyřhranného potrubí, do průřezu 0,60 m2,</t>
  </si>
  <si>
    <t>738</t>
  </si>
  <si>
    <t>728413124R00IM</t>
  </si>
  <si>
    <t>Montáž dýzy kruhové, do průměru d 400 mm</t>
  </si>
  <si>
    <t>739</t>
  </si>
  <si>
    <t>1.07; 2.05IM</t>
  </si>
  <si>
    <t>D+M čidlo CO2 s IR senzorem - 1,5m nad podlahou</t>
  </si>
  <si>
    <t>740</t>
  </si>
  <si>
    <t>2.02IM</t>
  </si>
  <si>
    <t>D+M Vyústka odvodní do kruhového potrubí, rozměr 520x200mm, komfortní dvouřadá s rámečkem, rozteč 20mm</t>
  </si>
  <si>
    <t>741</t>
  </si>
  <si>
    <t>2.03IM</t>
  </si>
  <si>
    <t>D+M Vyústka přívodní do kruhového potrubí, rozměr 620x120mm, komfortní dvouřadá s rámečkem, rozteč 20 mm</t>
  </si>
  <si>
    <t>742</t>
  </si>
  <si>
    <t>2.04IM</t>
  </si>
  <si>
    <t>D+M Vyústka odvodní do kruhového potrubí, rozměr 320x120mm, komfortní dvouřadá s rámečkem, rozteč 20 mm</t>
  </si>
  <si>
    <t>743</t>
  </si>
  <si>
    <t>3.01IM</t>
  </si>
  <si>
    <t>D+M Buňkový tlumič hluku 800x400 mm, délka 1500 mm, útlum (63 Hz) = 7 dB</t>
  </si>
  <si>
    <t>744</t>
  </si>
  <si>
    <t>3.02IM</t>
  </si>
  <si>
    <t>D+M Buňkový tlumič hluku 800x400 mm, délka 1000 mm, útlum (63 Hz) = 6 dB</t>
  </si>
  <si>
    <t>745</t>
  </si>
  <si>
    <t>3.03IM</t>
  </si>
  <si>
    <t>D+M Výfuková koncovka, 800x400 mm, s ochrannou mřížkou, pozinkovaný plech</t>
  </si>
  <si>
    <t>746</t>
  </si>
  <si>
    <t>3.04IM</t>
  </si>
  <si>
    <t>D+M Buňkový tlumič hluku 650x300 mm, délka 1000 mm, útlum (63 Hz) = 6 dB</t>
  </si>
  <si>
    <t>747</t>
  </si>
  <si>
    <t>3.05IM</t>
  </si>
  <si>
    <t>D+M Výfuková koncovka, 650x300 mm, s ochrannou mřížkou, pozinkovaný plech</t>
  </si>
  <si>
    <t>748</t>
  </si>
  <si>
    <t>72801mtžIM</t>
  </si>
  <si>
    <t>Montáž VZT jednotky</t>
  </si>
  <si>
    <t>749</t>
  </si>
  <si>
    <t>998728203R00IM</t>
  </si>
  <si>
    <t>Přesun hmot pro vzduchotechniku v objektech výšky do 24 m</t>
  </si>
  <si>
    <t>750</t>
  </si>
  <si>
    <t>728112111R00IM</t>
  </si>
  <si>
    <t>Montáž kruhového plechového potrubí do průměru d 100 mm</t>
  </si>
  <si>
    <t>751</t>
  </si>
  <si>
    <t>728112112R00IM</t>
  </si>
  <si>
    <t>Montáž kruhového plechového potrubí do průměru d 200 mm</t>
  </si>
  <si>
    <t>752</t>
  </si>
  <si>
    <t>728212111R00IM</t>
  </si>
  <si>
    <t>Montáž tvarovky pro kruhové plechové potrubí do průměru d 100 mm, - oblouku</t>
  </si>
  <si>
    <t>753</t>
  </si>
  <si>
    <t>728212311R00IM</t>
  </si>
  <si>
    <t>Montáž tvarovky pro kruhové plechové potrubí do průměru d 100 mm, - jednostranné nebo oboustranné odbočky nebo kalhotového kusu</t>
  </si>
  <si>
    <t>754</t>
  </si>
  <si>
    <t>728212711R00IM</t>
  </si>
  <si>
    <t>Montáž tvarovky pro kruhové plechové potrubí do průměru d 100 mm, - protidešťové střišky nebo výfukové hlavice do kruhového plechového potrubí</t>
  </si>
  <si>
    <t>755</t>
  </si>
  <si>
    <t>728314121R00IM</t>
  </si>
  <si>
    <t>Montáž protidešťové žaluzie do kruhového potrubí, do průměru d 300 mm</t>
  </si>
  <si>
    <t>756</t>
  </si>
  <si>
    <t>728611611R00IM</t>
  </si>
  <si>
    <t>Montáž radiálního nízkotlakého ventilátoru nástěnného,  , do průměru d 100 mm</t>
  </si>
  <si>
    <t>757</t>
  </si>
  <si>
    <t>728614612R00IM</t>
  </si>
  <si>
    <t>Montáž axiálního nízkotlakého ventilátoru nástěnného, do průměru d 200 mm</t>
  </si>
  <si>
    <t>758</t>
  </si>
  <si>
    <t>222611112R00IM</t>
  </si>
  <si>
    <t>Montáž termostatu prostorového včetně zapojení</t>
  </si>
  <si>
    <t>759</t>
  </si>
  <si>
    <t>998728202R00IM</t>
  </si>
  <si>
    <t>Přesun hmot pro vzduchotechniku v objektech výšky do 12 m</t>
  </si>
  <si>
    <t>760</t>
  </si>
  <si>
    <t>01IM</t>
  </si>
  <si>
    <t>VZT jednotka - 2700 m3/h; dle technické specifikace v rámci přílohy č.1 technické zprávy v PD, vč. prvků regulace v rámci VZT jednotky</t>
  </si>
  <si>
    <t>761</t>
  </si>
  <si>
    <t>02IM</t>
  </si>
  <si>
    <t>VZT jednotka - 700 m3/h; dle tech. spec. v rámci příl. č.1 tech. zprávy v PD, vč. prvků regulace v rámci VZT jednotky</t>
  </si>
  <si>
    <t>2.01IM</t>
  </si>
  <si>
    <t>Dýza s dalekým dosahem, Ř315 mm, 300 m3/hod, ruční možnost přestavení směru proudu vzduchu</t>
  </si>
  <si>
    <t>763</t>
  </si>
  <si>
    <t>42981188RIM</t>
  </si>
  <si>
    <t>Spiro roura hladká d 80, délka 1 m</t>
  </si>
  <si>
    <t>42981369RIM</t>
  </si>
  <si>
    <t>Potrubí Spiro pozink, d 500 mm, délka 1 m</t>
  </si>
  <si>
    <t>765</t>
  </si>
  <si>
    <t>4298201023RIM</t>
  </si>
  <si>
    <t>Trouba rovná 4hranná  100 x 100 mm, délka 1 m</t>
  </si>
  <si>
    <t>4298201033RIM</t>
  </si>
  <si>
    <t>429822009RIM</t>
  </si>
  <si>
    <t>Oblouk segmentový 90°, d 80 mm Pz plech</t>
  </si>
  <si>
    <t>768</t>
  </si>
  <si>
    <t>429822015RIM</t>
  </si>
  <si>
    <t>769</t>
  </si>
  <si>
    <t>429822075RIM</t>
  </si>
  <si>
    <t>770</t>
  </si>
  <si>
    <t>7282IM</t>
  </si>
  <si>
    <t>Montážní a spojovací materiál</t>
  </si>
  <si>
    <t>R72801IM</t>
  </si>
  <si>
    <t>Oblouk čtyřhranný symetrický 800x400mm, 90°, pozink</t>
  </si>
  <si>
    <t>772</t>
  </si>
  <si>
    <t>R72802IM</t>
  </si>
  <si>
    <t>Oblouk čtyřhranný symetrický 800x400mm, 45°, pozink</t>
  </si>
  <si>
    <t>773</t>
  </si>
  <si>
    <t>R72803IM</t>
  </si>
  <si>
    <t>Oblouk čtyřhranný symetrický 650x300mm, 90°, pozink</t>
  </si>
  <si>
    <t>774</t>
  </si>
  <si>
    <t>R72804IM</t>
  </si>
  <si>
    <t>Přechod pozink, d500 mm na 800x400mm</t>
  </si>
  <si>
    <t>R72805IM</t>
  </si>
  <si>
    <t>Přechod pozink, 300x300 mm na 650x300mm</t>
  </si>
  <si>
    <t>R72806IM</t>
  </si>
  <si>
    <t>Přechod pozink, d300 mm na 650x300mm</t>
  </si>
  <si>
    <t>777</t>
  </si>
  <si>
    <t>R72807IM</t>
  </si>
  <si>
    <t>Přechod pozink, d250 mm na 300x300mm</t>
  </si>
  <si>
    <t>778</t>
  </si>
  <si>
    <t>1.01IM</t>
  </si>
  <si>
    <t>Radiální ventilátor, stropní, DN100, montáž do SDK podhledu, 130/180 m3/hod, 230 V, vč. zp. klapky, hygrostatu a časového doběhu</t>
  </si>
  <si>
    <t>779</t>
  </si>
  <si>
    <t>1.02IM</t>
  </si>
  <si>
    <t>Radiální ventilátor, nástěnný, DN100, přiznaná montáž, 130/180 m3/hod, 230 V, vč. zp. klapky a časového doběhu</t>
  </si>
  <si>
    <t>780</t>
  </si>
  <si>
    <t>1.03IM</t>
  </si>
  <si>
    <t>Radiální ventilátor, stropní, DN100, montáž do SDK podhledu, 60/85 m3/hod, 230 V, vč. zp. klapky a časového doběhu</t>
  </si>
  <si>
    <t>1.05IM</t>
  </si>
  <si>
    <t>Přívodní prvek vzduchu, komplet, vč. prodloužení (2x100mm a 1x50mm)</t>
  </si>
  <si>
    <t>782</t>
  </si>
  <si>
    <t>1.06IM</t>
  </si>
  <si>
    <t>Axiální ventilátor, stěnový, DN200, 885 m3/hod, 55 W</t>
  </si>
  <si>
    <t>1.06aIM</t>
  </si>
  <si>
    <t>Plastová samotížná žaluziová klapka, DN200, s okapničkou</t>
  </si>
  <si>
    <t>1.06bIM</t>
  </si>
  <si>
    <t>Nástěnný termostat, 230V, rozsah +10 až + 30°C, RT-10</t>
  </si>
  <si>
    <t>785</t>
  </si>
  <si>
    <t>2.06IM</t>
  </si>
  <si>
    <t>Radiální ventilátor, nástěnný, DN100, přiznaná montáž, 60/85 m3/hod, 230 V, vč. zp. klapky a časového doběhu</t>
  </si>
  <si>
    <t>786</t>
  </si>
  <si>
    <t>2.07IM</t>
  </si>
  <si>
    <t>Protidešťová stříška DN100 s ochrannou síťkou, pozink</t>
  </si>
  <si>
    <t>787</t>
  </si>
  <si>
    <t>42981181RIM</t>
  </si>
  <si>
    <t>21.00000</t>
  </si>
  <si>
    <t>2.10000</t>
  </si>
  <si>
    <t>prořez 10%:</t>
  </si>
  <si>
    <t>788</t>
  </si>
  <si>
    <t>42981186RIM</t>
  </si>
  <si>
    <t>789</t>
  </si>
  <si>
    <t>7281IM</t>
  </si>
  <si>
    <t>Ohebná hliníková hadice s tepelnou a hlukovou izolací, např. SONOFLEX MI 102</t>
  </si>
  <si>
    <t>790</t>
  </si>
  <si>
    <t>791</t>
  </si>
  <si>
    <t>OBL 100 90IM</t>
  </si>
  <si>
    <t>Oblouk 90°, d100 mm, pozink</t>
  </si>
  <si>
    <t>792</t>
  </si>
  <si>
    <t>T 100100IM</t>
  </si>
  <si>
    <t>Odbočka jednostranná, DN100/DN100, 90°, pozink</t>
  </si>
  <si>
    <t>Rozvod potrubí</t>
  </si>
  <si>
    <t>793</t>
  </si>
  <si>
    <t>767995102R00IM</t>
  </si>
  <si>
    <t>Výroba a montáž atypických kovovových doplňků staveb hmotnosti přes 5 do 10 kg</t>
  </si>
  <si>
    <t>733_</t>
  </si>
  <si>
    <t>794</t>
  </si>
  <si>
    <t>998767203R00IM</t>
  </si>
  <si>
    <t>Přesun hmot pro kovové stavební doplňk. konstrukce v objektech výšky do 24 m</t>
  </si>
  <si>
    <t>795</t>
  </si>
  <si>
    <t>55399994RIM</t>
  </si>
  <si>
    <t>Ocelové výrobky do 1 kg</t>
  </si>
  <si>
    <t>Armatury</t>
  </si>
  <si>
    <t>796</t>
  </si>
  <si>
    <t>909      R00IM</t>
  </si>
  <si>
    <t>734_</t>
  </si>
  <si>
    <t>797</t>
  </si>
  <si>
    <t>951IM</t>
  </si>
  <si>
    <t>Stavební přípomoci při instalaci VZT prvků vč. dodávky stavebních hmot</t>
  </si>
  <si>
    <t>798</t>
  </si>
  <si>
    <t>970031200R00IM</t>
  </si>
  <si>
    <t>Jádrové vrtání, kruhové prostupy v cihelném zdivu jádrové vrtání, do D 200 mm</t>
  </si>
  <si>
    <t>799</t>
  </si>
  <si>
    <t>970051100R00IM</t>
  </si>
  <si>
    <t>Jádrové vrtání, kruhové prostupy v železobetonu jádrové vrtání , do D 100 mm</t>
  </si>
  <si>
    <t>Konstrukce zámečnické</t>
  </si>
  <si>
    <t>800</t>
  </si>
  <si>
    <t>M211IM</t>
  </si>
  <si>
    <t>D+M rozvadeč včetně jištění včetně propojení s VZT jednotkou a ostatními prvky VZT, dle pokynů výrobce technologie</t>
  </si>
  <si>
    <t>SO-03_76_</t>
  </si>
  <si>
    <t>M21</t>
  </si>
  <si>
    <t>Elektromontáže</t>
  </si>
  <si>
    <t>801</t>
  </si>
  <si>
    <t>904      R01IM</t>
  </si>
  <si>
    <t>Hzs-zkousky v ramci montaz.praci, Komplexni vyzkouseni</t>
  </si>
  <si>
    <t>M21_</t>
  </si>
  <si>
    <t>802</t>
  </si>
  <si>
    <t>VN1IM</t>
  </si>
  <si>
    <t>Pronájem jeřábu</t>
  </si>
  <si>
    <t>803</t>
  </si>
  <si>
    <t>VN2IM</t>
  </si>
  <si>
    <t>Komplexní odzkoušení a zaregulování VZT</t>
  </si>
  <si>
    <t>804</t>
  </si>
  <si>
    <t>VN3IM</t>
  </si>
  <si>
    <t>Hluková studie</t>
  </si>
  <si>
    <t>805</t>
  </si>
  <si>
    <t>VN6IM</t>
  </si>
  <si>
    <t>HZS - koordinace s ostatními profesemi</t>
  </si>
  <si>
    <t>806</t>
  </si>
  <si>
    <t>VN7IM</t>
  </si>
  <si>
    <t>Dokumentace skutečného provedení VZT</t>
  </si>
  <si>
    <t>807</t>
  </si>
  <si>
    <t>005121 RIM</t>
  </si>
  <si>
    <t>Zařízení staveniště pro dod. vzduchotechniky</t>
  </si>
  <si>
    <t>808</t>
  </si>
  <si>
    <t>005121 R2IM</t>
  </si>
  <si>
    <t>Doprava materiálu - vzduch. zařízení</t>
  </si>
  <si>
    <t>809</t>
  </si>
  <si>
    <t>913      R001IM</t>
  </si>
  <si>
    <t>Hzs - Stavební dělník - zednické výpomoci</t>
  </si>
  <si>
    <t>SO-04_9_</t>
  </si>
  <si>
    <t>SO-04_</t>
  </si>
  <si>
    <t>16.00000</t>
  </si>
  <si>
    <t>vyhotovení prostupů pro potrubí:</t>
  </si>
  <si>
    <t>VN</t>
  </si>
  <si>
    <t>Vedlejší náklady</t>
  </si>
  <si>
    <t>810</t>
  </si>
  <si>
    <t>Hzs-zkousky v ramci montaz.praci, Komplexni vyzkouseni ÚT</t>
  </si>
  <si>
    <t>VN_</t>
  </si>
  <si>
    <t>811</t>
  </si>
  <si>
    <t>904      R02IM</t>
  </si>
  <si>
    <t>Hzs-zkousky v ramci montaz.praci, Topná zkouška</t>
  </si>
  <si>
    <t>812</t>
  </si>
  <si>
    <t>005121 R1IM</t>
  </si>
  <si>
    <t>Předávací dokumentace ÚT</t>
  </si>
  <si>
    <t>813</t>
  </si>
  <si>
    <t>Spuštění technologie TČ technikem výrobce TČ</t>
  </si>
  <si>
    <t>814</t>
  </si>
  <si>
    <t>Zařízení staveniště pro ústř. vytápění</t>
  </si>
  <si>
    <t>815</t>
  </si>
  <si>
    <t>Doprava materiálu pro ÚT</t>
  </si>
  <si>
    <t>816</t>
  </si>
  <si>
    <t>005241010RIM</t>
  </si>
  <si>
    <t>Dokumentace skutečného provedení - ústř. vytápění</t>
  </si>
  <si>
    <t>817</t>
  </si>
  <si>
    <t>713311121R00IM</t>
  </si>
  <si>
    <t>Montáž tepelné izolace těles pásy nebo rohožemi rohožemi připevněnými ocelovým drátem nebo na trny z tyčové oceli kruhové (bez přivaření trnů) pomocí</t>
  </si>
  <si>
    <t>SO-04_71_</t>
  </si>
  <si>
    <t>1.74000</t>
  </si>
  <si>
    <t>RS:</t>
  </si>
  <si>
    <t>818</t>
  </si>
  <si>
    <t>713461121R00IM</t>
  </si>
  <si>
    <t>Montáž izolace tepelné potrubí skružemi z lehčených hmot, připevněnými na asfaltový tmel za studena, s vyspárováním a provedením spodního nátěru asfal</t>
  </si>
  <si>
    <t>3.05363</t>
  </si>
  <si>
    <t>d18:</t>
  </si>
  <si>
    <t>0.69115</t>
  </si>
  <si>
    <t>d22:</t>
  </si>
  <si>
    <t>5.80566</t>
  </si>
  <si>
    <t>d28:</t>
  </si>
  <si>
    <t>13.41460</t>
  </si>
  <si>
    <t>d35:</t>
  </si>
  <si>
    <t>819</t>
  </si>
  <si>
    <t>908      R00IM</t>
  </si>
  <si>
    <t>820</t>
  </si>
  <si>
    <t>998713201R00IM</t>
  </si>
  <si>
    <t>Přesun hmot pro izolace tepelné v objektech výšky do 6 m</t>
  </si>
  <si>
    <t>821</t>
  </si>
  <si>
    <t>63154126.ARIM</t>
  </si>
  <si>
    <t>Rohož lamelová s hliníkovou fólií  tl. 20 x 1000 x 10000 mm</t>
  </si>
  <si>
    <t>822</t>
  </si>
  <si>
    <t>631547012RIM</t>
  </si>
  <si>
    <t>Pouzdro potrubní izolační  800 - 15/20 mm</t>
  </si>
  <si>
    <t>54.00000</t>
  </si>
  <si>
    <t>5.40000</t>
  </si>
  <si>
    <t>+10% prořez:</t>
  </si>
  <si>
    <t>823</t>
  </si>
  <si>
    <t>631547013RIM</t>
  </si>
  <si>
    <t>10.00000</t>
  </si>
  <si>
    <t>824</t>
  </si>
  <si>
    <t>631547114RIM</t>
  </si>
  <si>
    <t>Pouzdro potrubní izolační  800 - 15/30 mm</t>
  </si>
  <si>
    <t>74.00000</t>
  </si>
  <si>
    <t>6.60000</t>
  </si>
  <si>
    <t>825</t>
  </si>
  <si>
    <t>631547115RIM</t>
  </si>
  <si>
    <t>58.00000</t>
  </si>
  <si>
    <t>5.80000</t>
  </si>
  <si>
    <t>826</t>
  </si>
  <si>
    <t>67352243RIM</t>
  </si>
  <si>
    <t>Páska lepicí pro fóliové parozábrany - oboustranně lepicí</t>
  </si>
  <si>
    <t>827</t>
  </si>
  <si>
    <t>R7132IM</t>
  </si>
  <si>
    <t>Izolační pouzdro ze syntetického kaučuku, 35/32 mm, 0,040 W/mK</t>
  </si>
  <si>
    <t>64.00000</t>
  </si>
  <si>
    <t>6.40000</t>
  </si>
  <si>
    <t>828</t>
  </si>
  <si>
    <t>731249212R00IM</t>
  </si>
  <si>
    <t>Montáž ocelových kotlů do 50 kW (100 kW) rychlovyhřívacích agregátů plynových  s TUV</t>
  </si>
  <si>
    <t>SO-04_73_</t>
  </si>
  <si>
    <t>829</t>
  </si>
  <si>
    <t>732111128R00IM</t>
  </si>
  <si>
    <t>Rozdělovače a sběrače včetně dodávky (výroby) těles  tělesa rozdělovačů a sběračů o délce 1 m, DN 100</t>
  </si>
  <si>
    <t>830</t>
  </si>
  <si>
    <t>732111228R00IM</t>
  </si>
  <si>
    <t>Rozdělovače a sběrače včetně dodávky (výroby) těles  příplatek k ceně za každých dalších i započatých 0,5 m délky tělěsa, DN 100</t>
  </si>
  <si>
    <t>831</t>
  </si>
  <si>
    <t>732111312R00IM</t>
  </si>
  <si>
    <t>Rozdělovače a sběrače včetně dodávky (výroby) těles  trubková hrdla rozdělovačů a sběračů bez přírub, DN 20</t>
  </si>
  <si>
    <t>832</t>
  </si>
  <si>
    <t>732111315R00IM</t>
  </si>
  <si>
    <t>Rozdělovače a sběrače včetně dodávky (výroby) těles  trubková hrdla rozdělovačů a sběračů bez přírub, DN 32</t>
  </si>
  <si>
    <t>833</t>
  </si>
  <si>
    <t>732219305R00IM</t>
  </si>
  <si>
    <t>Montáž ohříváků vody zásobníkových stojatých, kombinovaných, do 700 l</t>
  </si>
  <si>
    <t>834</t>
  </si>
  <si>
    <t>732219355R00IM</t>
  </si>
  <si>
    <t>Montáž ohříváků vody zásobníkových stojatých, PN 2,5/1, do 1000 l</t>
  </si>
  <si>
    <t>835</t>
  </si>
  <si>
    <t>732339102R00IM</t>
  </si>
  <si>
    <t>Nádoby expanzní tlakové Montáž nádob expanzních tlakových o obsahu 25 l</t>
  </si>
  <si>
    <t>836</t>
  </si>
  <si>
    <t>732339104R00IM</t>
  </si>
  <si>
    <t>Nádoby expanzní tlakové Montáž nádob expanzních tlakových o obsahu 50 l</t>
  </si>
  <si>
    <t>837</t>
  </si>
  <si>
    <t>732339106R00IM</t>
  </si>
  <si>
    <t>Nádoby expanzní tlakové Montáž nádob expanzních tlakových o obsahu 110 l</t>
  </si>
  <si>
    <t>838</t>
  </si>
  <si>
    <t>732429111R00IM</t>
  </si>
  <si>
    <t>Čerpadla teplovodní Montáž čerpadel teplovodních oběhových spirálních DN 25</t>
  </si>
  <si>
    <t>VZT jednotky:</t>
  </si>
  <si>
    <t>3.00000</t>
  </si>
  <si>
    <t>Strojovna:</t>
  </si>
  <si>
    <t>solár:</t>
  </si>
  <si>
    <t>839</t>
  </si>
  <si>
    <t>732429112R00IM</t>
  </si>
  <si>
    <t>Čerpadla teplovodní Montáž čerpadel teplovodních oběhových spirálních DN 40</t>
  </si>
  <si>
    <t>840</t>
  </si>
  <si>
    <t>R732Č1IM</t>
  </si>
  <si>
    <t>Nízkoenergetické elektronické oběhové čerpadlo, DN32, 6,5 m, 4,7 m3/hod, 240V/50Hz</t>
  </si>
  <si>
    <t>841</t>
  </si>
  <si>
    <t>R732Č2IM</t>
  </si>
  <si>
    <t>Nízkoenergetické elektronické oběhové čerpadlo, DN25, 6 m, 1,7 m3/hod, 230V/50Hz</t>
  </si>
  <si>
    <t>842</t>
  </si>
  <si>
    <t>R732Č3IM</t>
  </si>
  <si>
    <t>Nízkoenergetické elektronické oběhové čerpadlo, DN25, 6m, 0,41 m3/hod, 230V/50Hz</t>
  </si>
  <si>
    <t>843</t>
  </si>
  <si>
    <t>R732Č4IM</t>
  </si>
  <si>
    <t>Nízkoenergetické elektronické oběhové čerpadlo, DN25, 7m, 1,75 m3/hod, 230V/50Hz</t>
  </si>
  <si>
    <t>844</t>
  </si>
  <si>
    <t>998732201R00IM</t>
  </si>
  <si>
    <t>Přesun hmot pro strojovny v objektech výšky do 6 m</t>
  </si>
  <si>
    <t>845</t>
  </si>
  <si>
    <t>171156460100RIM</t>
  </si>
  <si>
    <t>Jeřáb automobilní .8,0MG AD 080 (PV3S)</t>
  </si>
  <si>
    <t>Sh</t>
  </si>
  <si>
    <t>846</t>
  </si>
  <si>
    <t>48466205RIM</t>
  </si>
  <si>
    <t>Nádoba expanzní membránová Reflex N 35 litrů, 4/1,5 bar</t>
  </si>
  <si>
    <t>847</t>
  </si>
  <si>
    <t>848</t>
  </si>
  <si>
    <t>484673308RIM</t>
  </si>
  <si>
    <t>Nádoba expanzní membránová Reflex S 2 litry, 10/0,5 bar</t>
  </si>
  <si>
    <t>849</t>
  </si>
  <si>
    <t>48471603RIM</t>
  </si>
  <si>
    <t>Jednotka čerpadlová solární IVSK 8300</t>
  </si>
  <si>
    <t>850</t>
  </si>
  <si>
    <t>R7321IM</t>
  </si>
  <si>
    <t>Nízkoenergetické elektronické oběhové čerpadlo, DN25, 6 m, 1,68 m3/hod, 230V/50Hz</t>
  </si>
  <si>
    <t>851</t>
  </si>
  <si>
    <t>R7322IM</t>
  </si>
  <si>
    <t>Nízkoenergetické elektronické oběhové čerpadlo, DN25, 6 m, 0,4 m3/hod, 230V/50Hz</t>
  </si>
  <si>
    <t>852</t>
  </si>
  <si>
    <t>R732akuIM</t>
  </si>
  <si>
    <t>Oddělovací taktovací zásobník topné vody, objem 1000 litrů, s možností instalace elektrických patron</t>
  </si>
  <si>
    <t>853</t>
  </si>
  <si>
    <t>R732čs1IM</t>
  </si>
  <si>
    <t>Sluneční kolektor, montáž na stojato, plocha 2,3 m2, objem 1,7 litrů, solární prizmatické sklo, připojení 4xCu22, vč. montážní sady</t>
  </si>
  <si>
    <t>854</t>
  </si>
  <si>
    <t>R732PKIM</t>
  </si>
  <si>
    <t>Příslušenství k TČ - Propojovací kabel mezi regulátorem a venkovní jednotkou TČ</t>
  </si>
  <si>
    <t>855</t>
  </si>
  <si>
    <t>R732PSIM</t>
  </si>
  <si>
    <t>Příslušenství k TČ - Pružné připojovací sady pro venkovní TČ, DN32, 5/4</t>
  </si>
  <si>
    <t>856</t>
  </si>
  <si>
    <t>R732RGIM</t>
  </si>
  <si>
    <t>Příslušentví k TČ - regulátor</t>
  </si>
  <si>
    <t>857</t>
  </si>
  <si>
    <t>R732SkIM</t>
  </si>
  <si>
    <t>Solární kapalina, triethylenglykol, 25 l</t>
  </si>
  <si>
    <t>858</t>
  </si>
  <si>
    <t>R732TČ18IM</t>
  </si>
  <si>
    <t>Venkovní jednotka TČ, dvoukompresorová, 17,2 kW, COP 3,6 (A2/W35 dle EN14511), vzduch-voda, monoblokové provedení</t>
  </si>
  <si>
    <t>859</t>
  </si>
  <si>
    <t>R732TČ25IM</t>
  </si>
  <si>
    <t>Venkovní jednotka TČ, dvoukompresorová, 24 kW, COP 3,6 (A2/W35 dle EN14511), vzduch-voda, monoblokové provedení</t>
  </si>
  <si>
    <t>860</t>
  </si>
  <si>
    <t>R732TVIM</t>
  </si>
  <si>
    <t>Nepřímoohřívaný zásobník TV, 425 litrů, d 750 mm, v. 1921 mm, dva trubkové výměníky (4,3 a 1,85 m2)</t>
  </si>
  <si>
    <t>861</t>
  </si>
  <si>
    <t>733113113R00IM</t>
  </si>
  <si>
    <t>Potrubí z trubek závitových příplatek k ceně za zhotovení přípojky z ocelových trubek závitových,  ,  , DN 15</t>
  </si>
  <si>
    <t>862</t>
  </si>
  <si>
    <t>733113115R00IM</t>
  </si>
  <si>
    <t>Potrubí z trubek závitových příplatek k ceně za zhotovení přípojky z ocelových trubek závitových,  ,  , DN 25</t>
  </si>
  <si>
    <t>863</t>
  </si>
  <si>
    <t>733113116R00IM</t>
  </si>
  <si>
    <t>Potrubí z trubek závitových příplatek k ceně za zhotovení přípojky z ocelových trubek závitových,  ,  , DN 32</t>
  </si>
  <si>
    <t>864</t>
  </si>
  <si>
    <t>733132113R00IM</t>
  </si>
  <si>
    <t>Kompenzátory včetně dodávky materiálu  závitový pryžový kompenzátor, DN 32</t>
  </si>
  <si>
    <t>865</t>
  </si>
  <si>
    <t>733163103R00IM</t>
  </si>
  <si>
    <t>Potrubí z měděných trubek měděné potrubí, D 18 mm, s 1,0 mm, pájení pomocí kapilárních pájecích tvarovek</t>
  </si>
  <si>
    <t>866</t>
  </si>
  <si>
    <t>733163104R00IM</t>
  </si>
  <si>
    <t>Potrubí z měděných trubek měděné potrubí, D 22 mm, s 1,0 mm, pájení pomocí kapilárních pájecích tvarovek</t>
  </si>
  <si>
    <t>867</t>
  </si>
  <si>
    <t>733163105R00IM</t>
  </si>
  <si>
    <t>Potrubí z měděných trubek měděné potrubí, D 28 mm, s 1,5 mm, pájení pomocí kapilárních pájecích tvarovek</t>
  </si>
  <si>
    <t>868</t>
  </si>
  <si>
    <t>733167002R00IM</t>
  </si>
  <si>
    <t>Příplatek k ceně za zhotovení přípojky z trubek měděných D 18 mm, tloušťka stěny 1 mm</t>
  </si>
  <si>
    <t>869</t>
  </si>
  <si>
    <t>733167003R00IM</t>
  </si>
  <si>
    <t>Příplatek k ceně za zhotovení přípojky z trubek měděných D 22 mm, tloušťka stěny 1 mm</t>
  </si>
  <si>
    <t>870</t>
  </si>
  <si>
    <t>733184101R00IM</t>
  </si>
  <si>
    <t>Montáž potrubí předizolovaného DN 20 mm, vnější průměr předizolovaného potrubí D 90 mm</t>
  </si>
  <si>
    <t>871</t>
  </si>
  <si>
    <t>733163106R00IM</t>
  </si>
  <si>
    <t>měděné potrubí, D 35 mm, s 1,5 mm, pájení pomocí kapilárních pájecích tvarovek</t>
  </si>
  <si>
    <t>872</t>
  </si>
  <si>
    <t>733190306R00IM</t>
  </si>
  <si>
    <t>Tlaková zkouška Cu potrubí do D 35</t>
  </si>
  <si>
    <t>122.00000</t>
  </si>
  <si>
    <t>873</t>
  </si>
  <si>
    <t>998733201R00IM</t>
  </si>
  <si>
    <t>Přesun hmot v objektech výšky do 6 m</t>
  </si>
  <si>
    <t>874</t>
  </si>
  <si>
    <t>R733SIM</t>
  </si>
  <si>
    <t>Přeizolovaná nerezová flexi trubka DN20, dvojitá, izolace ze syntetického kaučuku (13mm),, vč. kabelu pro čidlo 2x0,75mm2, 10 bar</t>
  </si>
  <si>
    <t>875</t>
  </si>
  <si>
    <t>734255131R00IM</t>
  </si>
  <si>
    <t>Ventil pojistný závitový 2,5 bar, mosazný, DN 25, vnitřní-vnitřní závit, včetně dodávky materiálu</t>
  </si>
  <si>
    <t>876</t>
  </si>
  <si>
    <t>734209103R00IM</t>
  </si>
  <si>
    <t>Montáž závitové armatury s jedním závitem, G 1/2, bez dodávky materiálu</t>
  </si>
  <si>
    <t>877</t>
  </si>
  <si>
    <t>734209113R00IM</t>
  </si>
  <si>
    <t>Montáž závitové armatury se dvěma závity, G 1/2, bez dodávky materiálu</t>
  </si>
  <si>
    <t>878</t>
  </si>
  <si>
    <t>734209114R00IM</t>
  </si>
  <si>
    <t>Montáž závitové armatury se dvěma závity, G 3/4, bez dodávky materiálu</t>
  </si>
  <si>
    <t>879</t>
  </si>
  <si>
    <t>734209115R00IM</t>
  </si>
  <si>
    <t>Montáž závitové armatury se dvěma závity, G 1, bez dodávky materiálu</t>
  </si>
  <si>
    <t>880</t>
  </si>
  <si>
    <t>734209116R00IM</t>
  </si>
  <si>
    <t>Montáž závitové armatury se dvěma závity, G 5/4, bez dodávky materiálu</t>
  </si>
  <si>
    <t>881</t>
  </si>
  <si>
    <t>734209125R00IM</t>
  </si>
  <si>
    <t>Montáž závitové armatury se třemi závity, G 1, bez dodávky materiálu</t>
  </si>
  <si>
    <t>882</t>
  </si>
  <si>
    <t>734209126R00IM</t>
  </si>
  <si>
    <t>Montáž závitové armatury se třemi závity, G 5/4, bez dodávky materiálu</t>
  </si>
  <si>
    <t>883</t>
  </si>
  <si>
    <t>734213112R00IM</t>
  </si>
  <si>
    <t>Ventil automatický, odvzdušňovací, mosazný, PN 10, DN 15, včetně dodávky materiálu</t>
  </si>
  <si>
    <t>884</t>
  </si>
  <si>
    <t>734235122R00IM</t>
  </si>
  <si>
    <t>Kohout kulový, mosazný, DN 20, PN 42, vnitřní-vnitřní, včetně dodávky materiálu</t>
  </si>
  <si>
    <t>885</t>
  </si>
  <si>
    <t>734235123R00IM</t>
  </si>
  <si>
    <t>Kohout kulový, mosazný, DN 25, PN 35, vnitřní-vnitřní, včetně dodávky materiálu</t>
  </si>
  <si>
    <t>886</t>
  </si>
  <si>
    <t>734235124R00IM</t>
  </si>
  <si>
    <t>Kohout kulový, mosazný, DN 32, PN 35, vnitřní-vnitřní, včetně dodávky materiálu</t>
  </si>
  <si>
    <t>887</t>
  </si>
  <si>
    <t>734245424R00IM</t>
  </si>
  <si>
    <t>Klapka zpětná, mosazná, DN 32, PN 12, vnitřní-vnitřní závit, včetně dodávky materiálu</t>
  </si>
  <si>
    <t>888</t>
  </si>
  <si>
    <t>734291113R00IM</t>
  </si>
  <si>
    <t>Kohout kulový, napouštěcí a vypouštěcí, mosazný, DN 15, PN 10, včetně dodávky materiálu</t>
  </si>
  <si>
    <t>889</t>
  </si>
  <si>
    <t>734295213R00IM</t>
  </si>
  <si>
    <t>Filtr mosazný, DN 25, PN 20, vnitřní-vnitřní závit, včetně dodávky materiálu</t>
  </si>
  <si>
    <t>890</t>
  </si>
  <si>
    <t>734295214R00IM</t>
  </si>
  <si>
    <t>Filtr mosazný, DN 32, PN 20, vnitřní-vnitřní závit, včetně dodávky materiálu</t>
  </si>
  <si>
    <t>891</t>
  </si>
  <si>
    <t>998734201R00IM</t>
  </si>
  <si>
    <t>Přesun hmot pro armatury v objektech výšky do 6 m</t>
  </si>
  <si>
    <t>892</t>
  </si>
  <si>
    <t>38832116RIM</t>
  </si>
  <si>
    <t>Teploměr axiální TP 120A, D = 80 mm, L = 50 mm</t>
  </si>
  <si>
    <t>893</t>
  </si>
  <si>
    <t>38841248RIM</t>
  </si>
  <si>
    <t>Tlakoměr standardní B 3333</t>
  </si>
  <si>
    <t>894</t>
  </si>
  <si>
    <t>38842010RIM</t>
  </si>
  <si>
    <t>Termomanometr TM 120 A, do 4 barů</t>
  </si>
  <si>
    <t>895</t>
  </si>
  <si>
    <t>42234500RIM</t>
  </si>
  <si>
    <t>Kohout tlakoměrový 121013  M20 x 1,5 mm zkušební</t>
  </si>
  <si>
    <t>896</t>
  </si>
  <si>
    <t>484882010RIM</t>
  </si>
  <si>
    <t>Směšovač mosazný trojcestný  VRG 131 DN 20</t>
  </si>
  <si>
    <t>kv = 1,0:</t>
  </si>
  <si>
    <t>kv = 4,0:</t>
  </si>
  <si>
    <t>kv = 6,3:</t>
  </si>
  <si>
    <t>897</t>
  </si>
  <si>
    <t>55121761RIM</t>
  </si>
  <si>
    <t>Ventil vyvažovací R206B DN 15, s koncovkami</t>
  </si>
  <si>
    <t>898</t>
  </si>
  <si>
    <t>55121763RIM</t>
  </si>
  <si>
    <t>Ventil vyvažovací  R206B DN 15, s koncovkami</t>
  </si>
  <si>
    <t>899</t>
  </si>
  <si>
    <t>55121764RIM</t>
  </si>
  <si>
    <t>900</t>
  </si>
  <si>
    <t>55123111RIM</t>
  </si>
  <si>
    <t>Kohout kulový pro expanzní nádoby MK 3/4"</t>
  </si>
  <si>
    <t>901</t>
  </si>
  <si>
    <t>55123112RIM</t>
  </si>
  <si>
    <t>902</t>
  </si>
  <si>
    <t>R7341IM</t>
  </si>
  <si>
    <t>Přepínací 3cestný ventil, DN40, kvs=30, PN16, vč. servopohonu, dodávka s technologií TČ</t>
  </si>
  <si>
    <t>903</t>
  </si>
  <si>
    <t>713121118RU1IM</t>
  </si>
  <si>
    <t>Izolace podlah tepelná obložení stěn dilatační páskou, tloušťky 100 mm,</t>
  </si>
  <si>
    <t>212.00000</t>
  </si>
  <si>
    <t>1.NP:</t>
  </si>
  <si>
    <t>71.10000</t>
  </si>
  <si>
    <t>2.NP:</t>
  </si>
  <si>
    <t>904</t>
  </si>
  <si>
    <t>735191910R00IM</t>
  </si>
  <si>
    <t>Ostatní opravy otopných těles napuštění vody do otopného systému včetně potrubí (bez kotle a ohříváků)  otopných těles</t>
  </si>
  <si>
    <t>905</t>
  </si>
  <si>
    <t>736322112R00IM</t>
  </si>
  <si>
    <t>Podlahové vytápění/chlazení - podkladní systém systémová deska, celková tlouštka desky 24 mm, rozteč ukládání potrubí násobky 50 mm, pro potrubí D 14-</t>
  </si>
  <si>
    <t>159.30000</t>
  </si>
  <si>
    <t>Odkaz na mn. položky pořadí 95:</t>
  </si>
  <si>
    <t>99.50000</t>
  </si>
  <si>
    <t>Odkaz na mn. položky pořadí 94:</t>
  </si>
  <si>
    <t>21.10000</t>
  </si>
  <si>
    <t>Odkaz na mn. položky pořadí 93:</t>
  </si>
  <si>
    <t>3.60000</t>
  </si>
  <si>
    <t>Odkaz na mn. položky pořadí 92:</t>
  </si>
  <si>
    <t>24.90000</t>
  </si>
  <si>
    <t>Odkaz na mn. položky pořadí 91:</t>
  </si>
  <si>
    <t>906</t>
  </si>
  <si>
    <t>736323115RT1IM</t>
  </si>
  <si>
    <t>Podlahové vytápění/chlazení síťované polyetylénové potrubí PE-Xa, montáž do systémové desky, rozteč 50 mm, D 17 mm, s 2,0 mm, včetně dodávky materiálu</t>
  </si>
  <si>
    <t>7.60000</t>
  </si>
  <si>
    <t>1N.13:</t>
  </si>
  <si>
    <t>6.10000</t>
  </si>
  <si>
    <t>1N.11:</t>
  </si>
  <si>
    <t>7.40000</t>
  </si>
  <si>
    <t>1N.18-20:</t>
  </si>
  <si>
    <t>3.80000</t>
  </si>
  <si>
    <t>2N.05-06:</t>
  </si>
  <si>
    <t>907</t>
  </si>
  <si>
    <t>736323115RT3IM</t>
  </si>
  <si>
    <t>Podlahové vytápění/chlazení síťované polyetylénové potrubí PE-Xa, montáž do systémové desky, rozteč 100 mm, D 17 mm, s 2,0 mm, včetně dodávky materiál</t>
  </si>
  <si>
    <t>1N.16-17:</t>
  </si>
  <si>
    <t>908</t>
  </si>
  <si>
    <t>736323115RT5IM</t>
  </si>
  <si>
    <t>Podlahové vytápění/chlazení síťované polyetylénové potrubí PE-Xa, montáž do systémové desky, rozteč 150 mm, D 17 mm, s 2,0 mm, včetně dodávky materiál</t>
  </si>
  <si>
    <t>4.00000</t>
  </si>
  <si>
    <t>1N.15:</t>
  </si>
  <si>
    <t>13.30000</t>
  </si>
  <si>
    <t>1N.12:</t>
  </si>
  <si>
    <t>2N.03-04:</t>
  </si>
  <si>
    <t>909</t>
  </si>
  <si>
    <t>736323115RT7IM</t>
  </si>
  <si>
    <t>Podlahové vytápění/chlazení síťované polyetylénové potrubí PE-Xa, montáž do systémové desky, rozteč 200 mm, D 17 mm, s 2,0 mm, včetně dodávky materiál</t>
  </si>
  <si>
    <t>1N.10:</t>
  </si>
  <si>
    <t>15.00000</t>
  </si>
  <si>
    <t>1N.01:</t>
  </si>
  <si>
    <t>74.50000</t>
  </si>
  <si>
    <t>2N.02:</t>
  </si>
  <si>
    <t>910</t>
  </si>
  <si>
    <t>736323115RU2IM</t>
  </si>
  <si>
    <t>Podlahové vytápění/chlazení síťované polyetylénové potrubí PE-Xa, montáž do systémové desky, rozteč 300 mm, D 17 mm, s 2,0 mm, včetně dodávky materiál</t>
  </si>
  <si>
    <t>9.00000</t>
  </si>
  <si>
    <t>1N.08:</t>
  </si>
  <si>
    <t>9.60000</t>
  </si>
  <si>
    <t>1N.14:</t>
  </si>
  <si>
    <t>1.80000</t>
  </si>
  <si>
    <t>1N.21:</t>
  </si>
  <si>
    <t>15.80000</t>
  </si>
  <si>
    <t>1N.07:</t>
  </si>
  <si>
    <t>31.80000</t>
  </si>
  <si>
    <t>1N.03-04:</t>
  </si>
  <si>
    <t>77.60000</t>
  </si>
  <si>
    <t>1N.02:</t>
  </si>
  <si>
    <t>13.70000</t>
  </si>
  <si>
    <t>2N.01:</t>
  </si>
  <si>
    <t>911</t>
  </si>
  <si>
    <t>736326824R00IM</t>
  </si>
  <si>
    <t>Podlahové vytápění/chlazení - (rozdělovače/sběrače) skřín podomítková, šířka 950 mm, výška stavitelná 715-895 mm, hloubka stavitelná 110-150 mm, včetn</t>
  </si>
  <si>
    <t>912</t>
  </si>
  <si>
    <t>736326826R00IM</t>
  </si>
  <si>
    <t>Podlahové vytápění/chlazení - (rozdělovače/sběrače) skřín podomítková, šířka 1300 mm, výška stavitelná 715-895 mm, hloubka stavitelná 110-150 mm, včet</t>
  </si>
  <si>
    <t>913</t>
  </si>
  <si>
    <t>736326913R00IM</t>
  </si>
  <si>
    <t>Podlahové vytápění/chlazení - (rozdělovače/sběrače) příslušenství svěrné šroubení eurokonus DN 20, D 17 x 2,0 mm, včetně dodávky materiálu</t>
  </si>
  <si>
    <t>914</t>
  </si>
  <si>
    <t>736326921R00IM</t>
  </si>
  <si>
    <t>Podlahové vytápění/chlazení - (rozdělovače/sběrače) příslušenství teploměr k rozdělovači, DN 20, včetně dodávky materiálu</t>
  </si>
  <si>
    <t>915</t>
  </si>
  <si>
    <t>736323912R00IM</t>
  </si>
  <si>
    <t>ochranná trubka, pro potrubí d 16 - 17 mm, včetně dodávky materiálu</t>
  </si>
  <si>
    <t>38.00000</t>
  </si>
  <si>
    <t>916</t>
  </si>
  <si>
    <t>R73601IM</t>
  </si>
  <si>
    <t>Sestava rozd./sběrač  HKV easyflow, 9cest.bez skříně, s možností automatické regulace průtoku</t>
  </si>
  <si>
    <t>917</t>
  </si>
  <si>
    <t>R73602IM</t>
  </si>
  <si>
    <t>Sestava rozd./sběrač HKV easyflow, 7cest.bez skříně, s možností automatické regulace průtoku</t>
  </si>
  <si>
    <t>918</t>
  </si>
  <si>
    <t>R73603IM</t>
  </si>
  <si>
    <t>Sestava rozd./sběrač HKV easyflow, 13cest. bez skříně, s možností automatické regulace průtoku</t>
  </si>
  <si>
    <t>1N.09:</t>
  </si>
  <si>
    <t>919</t>
  </si>
  <si>
    <t>998736201R00IM</t>
  </si>
  <si>
    <t>Přesun hmot pro podlahové vytápění v objektech výšky do 6 m</t>
  </si>
  <si>
    <t>920</t>
  </si>
  <si>
    <t>767995101R00IM</t>
  </si>
  <si>
    <t>hmotnosti do 5 kg</t>
  </si>
  <si>
    <t>SO-04_76_</t>
  </si>
  <si>
    <t>76.00000</t>
  </si>
  <si>
    <t>14.00000</t>
  </si>
  <si>
    <t>921</t>
  </si>
  <si>
    <t>998767201R00IM</t>
  </si>
  <si>
    <t>v objektech výšky do 6 m</t>
  </si>
  <si>
    <t>922</t>
  </si>
  <si>
    <t>55399994.ARIM</t>
  </si>
  <si>
    <t>923</t>
  </si>
  <si>
    <t>R7671IM</t>
  </si>
  <si>
    <t>Pomocná nosná konstrukce pro solární panel, 45°</t>
  </si>
  <si>
    <t>924</t>
  </si>
  <si>
    <t>900      R25IM</t>
  </si>
  <si>
    <t>Hodinové zúčtovací sazby elektromontér, tarifní třída 8</t>
  </si>
  <si>
    <t>spolupráce el.montéra při práci dodavatele MaR</t>
  </si>
  <si>
    <t>spolupůsobení silnoproudaře</t>
  </si>
  <si>
    <t>s pracovníky ÚT  a MaR</t>
  </si>
  <si>
    <t>925</t>
  </si>
  <si>
    <t>RM21PTIM</t>
  </si>
  <si>
    <t>Dodávka a montáž systému MaR pro podlahové vytápění v rozsahu dle popisu v rámci PD, včetně výrobní dokumentace, kabeláže, jednotlivých regulační prvk</t>
  </si>
  <si>
    <t>926</t>
  </si>
  <si>
    <t>RM21ZTIM</t>
  </si>
  <si>
    <t>Dodávka a montáž systému MaR pro zdroj tepla v rozsahu dle popisu v rámci PD, využití vestavěného systému v rámci  TČ, včetně výrobní dokumentace, kab</t>
  </si>
  <si>
    <t>927</t>
  </si>
  <si>
    <t>RM211IM</t>
  </si>
  <si>
    <t>Termický pohon, 230V, NC (bez proudu zavřeno)</t>
  </si>
  <si>
    <t>928</t>
  </si>
  <si>
    <t>RM21ELP1IM</t>
  </si>
  <si>
    <t>Elektrické topné těleso, příkon 7,5 kW, připojení G 6/4, 10,8 A, 400 V</t>
  </si>
  <si>
    <t>929</t>
  </si>
  <si>
    <t>RM21ELP2IM</t>
  </si>
  <si>
    <t>Elektrické topné těleso, příkon 4,5 kW, připojení G 6/4, 6,5 A, 400 V, pro ohřev TV</t>
  </si>
  <si>
    <t>M22</t>
  </si>
  <si>
    <t>Montáž sdělovací a zabezp. techniky</t>
  </si>
  <si>
    <t>930</t>
  </si>
  <si>
    <t>222611211R00IM</t>
  </si>
  <si>
    <t>Montáž servopohonu 230/ 24 V, 0-10 V/ 4-20 mA, včetně zapojení</t>
  </si>
  <si>
    <t>M22_</t>
  </si>
  <si>
    <t>931</t>
  </si>
  <si>
    <t>RM221IM</t>
  </si>
  <si>
    <t>Servopohon pro směšovací ventily, 24V, 3-bodový, 60s</t>
  </si>
  <si>
    <t>932</t>
  </si>
  <si>
    <t>RM222IM</t>
  </si>
  <si>
    <t>Servopohon pro směšovací ventily, 230V, 3-bodový, 120s</t>
  </si>
  <si>
    <t>933</t>
  </si>
  <si>
    <t>612100010RA0</t>
  </si>
  <si>
    <t>Hrubá výplň rýh ve stěnách</t>
  </si>
  <si>
    <t>SO-05_6_</t>
  </si>
  <si>
    <t>SO-05_</t>
  </si>
  <si>
    <t>jakékoliv šíře</t>
  </si>
  <si>
    <t>17,9</t>
  </si>
  <si>
    <t>silnoproud</t>
  </si>
  <si>
    <t>11,75</t>
  </si>
  <si>
    <t>slaboproud</t>
  </si>
  <si>
    <t>934</t>
  </si>
  <si>
    <t>58541254</t>
  </si>
  <si>
    <t>Sádra - výplň rýh, materiál + práce</t>
  </si>
  <si>
    <t>935</t>
  </si>
  <si>
    <t>947  .R00IM</t>
  </si>
  <si>
    <t>Spoluprace s reviz.technikem</t>
  </si>
  <si>
    <t>SO-05_9_</t>
  </si>
  <si>
    <t>revizní zkoušky dle ČSN 331500</t>
  </si>
  <si>
    <t>936</t>
  </si>
  <si>
    <t>odzkoušení systému zvonků a rozhlasu</t>
  </si>
  <si>
    <t>revize + měření + uved. do provozu</t>
  </si>
  <si>
    <t>937</t>
  </si>
  <si>
    <t>Příprava pro osazení, připojení a zprovoznění školního rozhlasu</t>
  </si>
  <si>
    <t>v návaznosti na stávající řešení</t>
  </si>
  <si>
    <t>938</t>
  </si>
  <si>
    <t>Příprava pro osazení, připojení a zprovoznění školních zvonků</t>
  </si>
  <si>
    <t>939</t>
  </si>
  <si>
    <t>Připrava pro osazení, připojení a zprovoznění kamerového systému</t>
  </si>
  <si>
    <t>940</t>
  </si>
  <si>
    <t>Revizní technik kontrolní měření zemnění</t>
  </si>
  <si>
    <t>941</t>
  </si>
  <si>
    <t>Zabezpečení pracoviště</t>
  </si>
  <si>
    <t>942</t>
  </si>
  <si>
    <t>zemní práce potřebné pro uložení zemnění</t>
  </si>
  <si>
    <t>943</t>
  </si>
  <si>
    <t>Dořešení podmínek a návazností instalace HDV a elektroměrového rozvaděče s EG.D.</t>
  </si>
  <si>
    <t>944</t>
  </si>
  <si>
    <t>vyhledání připojovacího místa</t>
  </si>
  <si>
    <t>945</t>
  </si>
  <si>
    <t>Montaz (nepředvid. práce vzniklé na základě klientských změn a požadavků)</t>
  </si>
  <si>
    <t>předpoklad</t>
  </si>
  <si>
    <t>možno čerpat po odsouhlasení  TDI</t>
  </si>
  <si>
    <t>946</t>
  </si>
  <si>
    <t>Montaz (nepředvíd. práce vzniklé zásahem do objektu při rekonstrukci) -</t>
  </si>
  <si>
    <t>předpoklad ze zkušenosti z odbobných rekonstrukcí</t>
  </si>
  <si>
    <t>947</t>
  </si>
  <si>
    <t>Úprava PD na základě klientských změn a požadavků - silnoproud</t>
  </si>
  <si>
    <t>948</t>
  </si>
  <si>
    <t>Příprava vývodů pro napojení motorů a ovládíní otevírání oken (výklop)</t>
  </si>
  <si>
    <t>949</t>
  </si>
  <si>
    <t>Proměření a vyhledání instalovaných sítí ve zdivu ve stávajícíh prostorech dotčených stavbou</t>
  </si>
  <si>
    <t>950</t>
  </si>
  <si>
    <t>Příprava pro realizaci rozvodů SLP</t>
  </si>
  <si>
    <t>951</t>
  </si>
  <si>
    <t>Zjištění skutečného stavu zapojení všech rozvodů elektroinstalace ve stávajícíh prostorech s vazbou na přístavbu</t>
  </si>
  <si>
    <t>952</t>
  </si>
  <si>
    <t>Kontrola pracoviště před převzetím stavby</t>
  </si>
  <si>
    <t>953</t>
  </si>
  <si>
    <t>947      R00</t>
  </si>
  <si>
    <t>Zajištění přít. specialisty na osvětl. techniku jako konzultanta</t>
  </si>
  <si>
    <t>při realizaci osvětl. a pro zprovoznění nouzového osv.</t>
  </si>
  <si>
    <t>954</t>
  </si>
  <si>
    <t>913      R00</t>
  </si>
  <si>
    <t xml:space="preserve"> Zednická výpomoc- zapravení</t>
  </si>
  <si>
    <t>vč. drobného materiálu</t>
  </si>
  <si>
    <t>955</t>
  </si>
  <si>
    <t>941955004R00</t>
  </si>
  <si>
    <t>Lešení lehké pomocné, výška podlahy do 3,5 m</t>
  </si>
  <si>
    <t>956</t>
  </si>
  <si>
    <t>941955001R00</t>
  </si>
  <si>
    <t>Lešení lehké pomocné, výška podlahy do 1,2 m</t>
  </si>
  <si>
    <t>957</t>
  </si>
  <si>
    <t>974031132R00</t>
  </si>
  <si>
    <t>Vysekání rýh ve zdi cihelné 5 x 7 cm</t>
  </si>
  <si>
    <t>958</t>
  </si>
  <si>
    <t>974031122R00</t>
  </si>
  <si>
    <t>Vysekání rýh ve zdi cihelné 3 x 7 cm</t>
  </si>
  <si>
    <t>959</t>
  </si>
  <si>
    <t>974031121R00</t>
  </si>
  <si>
    <t>Vysekání rýh ve zdi cihelné 3 x 3 cm</t>
  </si>
  <si>
    <t>960</t>
  </si>
  <si>
    <t>973031619R00</t>
  </si>
  <si>
    <t>Vysekání kapes zeď cih. špalík, krabice 15x15x10cm</t>
  </si>
  <si>
    <t>pro krabice</t>
  </si>
  <si>
    <t>973031616R00</t>
  </si>
  <si>
    <t>Vysekání kapes zeď cih. špalíky, krabice 10x10x5cm</t>
  </si>
  <si>
    <t>962</t>
  </si>
  <si>
    <t>979990RX1</t>
  </si>
  <si>
    <t>Úklid, naložení odpadu na stavbě, odvoz</t>
  </si>
  <si>
    <t>poplatek za skládku, složení odoadu</t>
  </si>
  <si>
    <t>963</t>
  </si>
  <si>
    <t>979990265RX1</t>
  </si>
  <si>
    <t>Recyklační poplatek za svítidla a zdroje</t>
  </si>
  <si>
    <t>Ostatní položky práce</t>
  </si>
  <si>
    <t>964</t>
  </si>
  <si>
    <t>Zpracování dokumentace skutečného provedení stavby, včetně dodání dokumentace investorovi</t>
  </si>
  <si>
    <t>Z88888_</t>
  </si>
  <si>
    <t>SO-05_Z_</t>
  </si>
  <si>
    <t>965</t>
  </si>
  <si>
    <t>Výpočet osvětlení pro vybraný typ svítidel</t>
  </si>
  <si>
    <t>včetně dodání zprávy investorovi</t>
  </si>
  <si>
    <t>966</t>
  </si>
  <si>
    <t>Zpracování dílenských a realizačních částí projektové dokumentace</t>
  </si>
  <si>
    <t>967</t>
  </si>
  <si>
    <t>Revizni technik včetně dodání revizní zprávy</t>
  </si>
  <si>
    <t>968</t>
  </si>
  <si>
    <t>Kontrola technické inspekce vč. dodání zprávy</t>
  </si>
  <si>
    <t>969</t>
  </si>
  <si>
    <t>357311RX2</t>
  </si>
  <si>
    <t>Rozvaděč RH-S dle TS.</t>
  </si>
  <si>
    <t>D + M</t>
  </si>
  <si>
    <t>970</t>
  </si>
  <si>
    <t>357311RX4</t>
  </si>
  <si>
    <t>Nový RACK dle TS</t>
  </si>
  <si>
    <t>971</t>
  </si>
  <si>
    <t>357311RX3</t>
  </si>
  <si>
    <t>Rozvaděč RH-T dle TS.</t>
  </si>
  <si>
    <t>972</t>
  </si>
  <si>
    <t>357311RX1</t>
  </si>
  <si>
    <t>Rozvaděč RE</t>
  </si>
  <si>
    <t>973</t>
  </si>
  <si>
    <t>974</t>
  </si>
  <si>
    <t>975</t>
  </si>
  <si>
    <t>napojení na stávající rozvody včetně nového připojení koncových prvků</t>
  </si>
  <si>
    <t>Montážní přirážky</t>
  </si>
  <si>
    <t>976</t>
  </si>
  <si>
    <t>201      R00</t>
  </si>
  <si>
    <t>Podíl přidružených výkonů, doprava a přesun hmot</t>
  </si>
  <si>
    <t>M_</t>
  </si>
  <si>
    <t>977</t>
  </si>
  <si>
    <t>141      R00</t>
  </si>
  <si>
    <t>Podružný materiál  M 21, M 22</t>
  </si>
  <si>
    <t>978</t>
  </si>
  <si>
    <t>222360015RX2</t>
  </si>
  <si>
    <t>Ovládání otevírání oken vč. motoru (výklop)</t>
  </si>
  <si>
    <t>ovladač oken</t>
  </si>
  <si>
    <t>dodávka a montáž</t>
  </si>
  <si>
    <t>979</t>
  </si>
  <si>
    <t>222360015RX1</t>
  </si>
  <si>
    <t>Ovládací blok žaluziového systému</t>
  </si>
  <si>
    <t>ovladač žaluzií</t>
  </si>
  <si>
    <t>980</t>
  </si>
  <si>
    <t>220111436RX1</t>
  </si>
  <si>
    <t>Modul kontrolní, s tlačítkem</t>
  </si>
  <si>
    <t>WC invalidů, nouzová signalizace</t>
  </si>
  <si>
    <t>981</t>
  </si>
  <si>
    <t>210800509RT1</t>
  </si>
  <si>
    <t>Vodič H07V-U (CY) 16 mm2 uložený v trubkách</t>
  </si>
  <si>
    <t>včetně dodávky vodiče CY 16</t>
  </si>
  <si>
    <t>pospojování</t>
  </si>
  <si>
    <t>982</t>
  </si>
  <si>
    <t>210800001RX2</t>
  </si>
  <si>
    <t>Kabel flexibilní YY-OZ 2x1,5, pevně, rozhlas</t>
  </si>
  <si>
    <t>izolace PVC</t>
  </si>
  <si>
    <t>983</t>
  </si>
  <si>
    <t>210800001RX1</t>
  </si>
  <si>
    <t>Kabel flexibilní YY-OZ 2x1, pevně, zvonky</t>
  </si>
  <si>
    <t>984</t>
  </si>
  <si>
    <t>210290751R00</t>
  </si>
  <si>
    <t>Montáž ventilátoru do 1,5 kW</t>
  </si>
  <si>
    <t>příprava a napojení bez dod. vent.</t>
  </si>
  <si>
    <t>985</t>
  </si>
  <si>
    <t>210205106RX1</t>
  </si>
  <si>
    <t>Luminiscenční piktogram, nalepovací</t>
  </si>
  <si>
    <t>pro doplnění značení dle požadavků PBŘ</t>
  </si>
  <si>
    <t>dodávka + montáž</t>
  </si>
  <si>
    <t>986</t>
  </si>
  <si>
    <t>210201521R00</t>
  </si>
  <si>
    <t>Asymetrické svítidlo pro sportoviště v proj. označené jako "D1"</t>
  </si>
  <si>
    <t>ochranná mříž (17916lm, 143W)"</t>
  </si>
  <si>
    <t>987</t>
  </si>
  <si>
    <t>210201511R07</t>
  </si>
  <si>
    <t>Přisazené LED svítidlo v proj. označené "E1"</t>
  </si>
  <si>
    <t>opálový difuzor, IP65 (2369lm, 23W)</t>
  </si>
  <si>
    <t>988</t>
  </si>
  <si>
    <t>Přisazené interiérové LED svítidlo v proj. označené "C5"</t>
  </si>
  <si>
    <t>difuzor mikroprismatický (3068lm, 27W)</t>
  </si>
  <si>
    <t>989</t>
  </si>
  <si>
    <t>210201511R06</t>
  </si>
  <si>
    <t>Přisazené interiérové LED svítidlo v proj. označené "C4"</t>
  </si>
  <si>
    <t>difuzor mikroprismatický (1907lm, 18W)</t>
  </si>
  <si>
    <t>990</t>
  </si>
  <si>
    <t>210201511R05</t>
  </si>
  <si>
    <t>Přisazené interiérové LED svítidlo v proj. označené "C3"</t>
  </si>
  <si>
    <t>difuzor mikroskopický (1824lm, 15W)</t>
  </si>
  <si>
    <t>991</t>
  </si>
  <si>
    <t>210201511R04</t>
  </si>
  <si>
    <t>Přisazené interiérové LED svítidlo v proj. označené "C2"</t>
  </si>
  <si>
    <t>difuzor mikroskopický (1410lm, 11W)</t>
  </si>
  <si>
    <t>992</t>
  </si>
  <si>
    <t>210201511R03</t>
  </si>
  <si>
    <t>Přisazené interiérové LED svítidlo v proj. označené "C1"</t>
  </si>
  <si>
    <t>difuzor mikroprismatický, 3732lm, 32W</t>
  </si>
  <si>
    <t>993</t>
  </si>
  <si>
    <t>210201511R02</t>
  </si>
  <si>
    <t>Vestavné interiérové LED svítidlo - downlight</t>
  </si>
  <si>
    <t>v projektu označ. jako "B1", 1300lm, 14W</t>
  </si>
  <si>
    <t>994</t>
  </si>
  <si>
    <t>210201511R01</t>
  </si>
  <si>
    <t>Přisazené interiérové LED svítidlo v proj. označené "A1"</t>
  </si>
  <si>
    <t>difuzor mikroprismatický, 3500lm, 26W</t>
  </si>
  <si>
    <t>995</t>
  </si>
  <si>
    <t>210140472RX2</t>
  </si>
  <si>
    <t>Světlo signální, signalizační systém</t>
  </si>
  <si>
    <t>996</t>
  </si>
  <si>
    <t>210140472RX1</t>
  </si>
  <si>
    <t>Tlačítko signální, tahové vč. zapojení</t>
  </si>
  <si>
    <t>997</t>
  </si>
  <si>
    <t>210111013RT2</t>
  </si>
  <si>
    <t>Zásuvka s přepěťovou ochranou - provedení 2P+z</t>
  </si>
  <si>
    <t>včetně dodávky zásuvky 5599A-A02357</t>
  </si>
  <si>
    <t>998</t>
  </si>
  <si>
    <t>210111011RT6</t>
  </si>
  <si>
    <t>Zásuvka domovní zapuštěná - provedení 2P+PE</t>
  </si>
  <si>
    <t>včetně dodávky zásuvky a rámečku</t>
  </si>
  <si>
    <t>999</t>
  </si>
  <si>
    <t>210110045RT6</t>
  </si>
  <si>
    <t>Spínač zapuštěný střídavý, řazení 6</t>
  </si>
  <si>
    <t>vč. dodávky strojku, rámečku a krytu</t>
  </si>
  <si>
    <t>1000</t>
  </si>
  <si>
    <t>210110043RT6</t>
  </si>
  <si>
    <t>Spínač zapuštěný seriový, řazení 5</t>
  </si>
  <si>
    <t>1001</t>
  </si>
  <si>
    <t>210110041RT6</t>
  </si>
  <si>
    <t>Spínač zapuštěný jednopólový, řazení 1</t>
  </si>
  <si>
    <t>1002</t>
  </si>
  <si>
    <t>210100003R00</t>
  </si>
  <si>
    <t>Ukončení vodičů v rozvaděči + zapojení do 16 mm2</t>
  </si>
  <si>
    <t>1003</t>
  </si>
  <si>
    <t>210100001R00</t>
  </si>
  <si>
    <t>Ukončení vodičů v rozvaděči + zapojení do 2,5 mm2</t>
  </si>
  <si>
    <t>1004</t>
  </si>
  <si>
    <t>210020RX2</t>
  </si>
  <si>
    <t>Šroubky, podložky, ocelové profily, zemnící svorky - silnoproud</t>
  </si>
  <si>
    <t>hmoždinky, vruty, izolepa a pod.</t>
  </si>
  <si>
    <t>drobný nespecifik. mont. materiál</t>
  </si>
  <si>
    <t>1005</t>
  </si>
  <si>
    <t>210020RX1</t>
  </si>
  <si>
    <t>Šroubky, podložky, ocelové profily, zemnící svorky - slaboproud</t>
  </si>
  <si>
    <t>hmoždinky, vrtuty, izolepa a pod.</t>
  </si>
  <si>
    <t>1006</t>
  </si>
  <si>
    <t>210010535RT5</t>
  </si>
  <si>
    <t>Zapojení vodiče do svorkovnice krabicové</t>
  </si>
  <si>
    <t>vč. svorkovnice, 5x1-2,5 mm2</t>
  </si>
  <si>
    <t>1007</t>
  </si>
  <si>
    <t>210010535RT4</t>
  </si>
  <si>
    <t>vč. svorkovnice, 4x1-2,5 mm2</t>
  </si>
  <si>
    <t>1008</t>
  </si>
  <si>
    <t>210010535RT3</t>
  </si>
  <si>
    <t>vč. svorkovnice, 3x1-2,5 mm2</t>
  </si>
  <si>
    <t>1009</t>
  </si>
  <si>
    <t>210010535RT2</t>
  </si>
  <si>
    <t>vč. svorkovnice, 2x1-2,5 mm2</t>
  </si>
  <si>
    <t>1010</t>
  </si>
  <si>
    <t>210010301RT1</t>
  </si>
  <si>
    <t>Krabice přístrojová KP, bez zapojení, kruhová, 73x66</t>
  </si>
  <si>
    <t>včetně dodávky KP 68/2, pod omítku</t>
  </si>
  <si>
    <t>1011</t>
  </si>
  <si>
    <t>Krabice přístrojová KP, bez zapojení, kruhová 73x66</t>
  </si>
  <si>
    <t>1012</t>
  </si>
  <si>
    <t>210010106R00</t>
  </si>
  <si>
    <t>Lišta elektroinstalační PVC š.do 80 mm,šroubováním</t>
  </si>
  <si>
    <t>25x20 hranatá, D+M</t>
  </si>
  <si>
    <t>1013</t>
  </si>
  <si>
    <t>210010105R00</t>
  </si>
  <si>
    <t>Lišta elektroinstalační PVC š.do 40 mm,šroubováním</t>
  </si>
  <si>
    <t>1014</t>
  </si>
  <si>
    <t>210010005RU3</t>
  </si>
  <si>
    <t>Trubka ohebná pod omítku, vnější průměr 40 mm</t>
  </si>
  <si>
    <t>včetně dod., střední mech. odol.</t>
  </si>
  <si>
    <t>1015</t>
  </si>
  <si>
    <t>210010004RU3</t>
  </si>
  <si>
    <t>Trubka ohebná pod omítku, vnější průměr 32 mm</t>
  </si>
  <si>
    <t>včetně dod., střední mech. odolnost</t>
  </si>
  <si>
    <t>1016</t>
  </si>
  <si>
    <t>210010003RU3</t>
  </si>
  <si>
    <t>Trubka ohebná pod omítku, vnější průměr 25 mm</t>
  </si>
  <si>
    <t>1017</t>
  </si>
  <si>
    <t>210010002RU3</t>
  </si>
  <si>
    <t>Trubka ohebná pod omítku, vnější průměr 20 mm</t>
  </si>
  <si>
    <t>1018</t>
  </si>
  <si>
    <t>449852020</t>
  </si>
  <si>
    <t xml:space="preserve"> ALARM, signalizační systém, WC invalidů</t>
  </si>
  <si>
    <t>1019</t>
  </si>
  <si>
    <t>3581342RX1</t>
  </si>
  <si>
    <t>Total stop, 2 x rozpínací kontakt, nouzové tlačítko</t>
  </si>
  <si>
    <t>dod. a montáž, signal. systém</t>
  </si>
  <si>
    <t>WC invalidů</t>
  </si>
  <si>
    <t>1020</t>
  </si>
  <si>
    <t>34536715R</t>
  </si>
  <si>
    <t>Rámeček pětinásobný, vodorovný, pro přístroje, bílý</t>
  </si>
  <si>
    <t>1021</t>
  </si>
  <si>
    <t>34536712R</t>
  </si>
  <si>
    <t>Rámeček čtyřnásobný, vodorovný pro přístroje, bílý</t>
  </si>
  <si>
    <t>1022</t>
  </si>
  <si>
    <t>34536710R</t>
  </si>
  <si>
    <t>Rámeček trojnásobný, vodorovný pro přístroje, bílý</t>
  </si>
  <si>
    <t>1023</t>
  </si>
  <si>
    <t>34536705R</t>
  </si>
  <si>
    <t>Rámeček dvojnásobný, vodorovný pro přístroje, bílý</t>
  </si>
  <si>
    <t>1024</t>
  </si>
  <si>
    <t>34536700R</t>
  </si>
  <si>
    <t>Rámeček jednonásobný pro přístroje, bílý</t>
  </si>
  <si>
    <t>Montáže sdělovací a zabezpečovací techniky</t>
  </si>
  <si>
    <t>1025</t>
  </si>
  <si>
    <t>222323331RX1</t>
  </si>
  <si>
    <t>Tlačítkové tablo s 10 zvonkovými tlačítky</t>
  </si>
  <si>
    <t>venkovní kompletní</t>
  </si>
  <si>
    <t>1026</t>
  </si>
  <si>
    <t>222323302RX1</t>
  </si>
  <si>
    <t>Přístroj domovního telefonu</t>
  </si>
  <si>
    <t>funkční modul pro tablo</t>
  </si>
  <si>
    <t>1027</t>
  </si>
  <si>
    <t>222290007RT1</t>
  </si>
  <si>
    <t>Zásuvka datová kompletní 2xRJ45 UTP kat.6 pod omítku</t>
  </si>
  <si>
    <t>design a barva dle přístrojů nn</t>
  </si>
  <si>
    <t>do krabice, dod. + montáž</t>
  </si>
  <si>
    <t>1028</t>
  </si>
  <si>
    <t>222280501R01</t>
  </si>
  <si>
    <t>FTP cat. 6</t>
  </si>
  <si>
    <t>1300</t>
  </si>
  <si>
    <t>1029</t>
  </si>
  <si>
    <t>220111RX1</t>
  </si>
  <si>
    <t>Proměření metalického segmentu kategorie 6</t>
  </si>
  <si>
    <t>včetně měřícího protokolu</t>
  </si>
  <si>
    <t>1030</t>
  </si>
  <si>
    <t>3822903RX1</t>
  </si>
  <si>
    <t>Zámek elektrický - pouze montáž - napojení</t>
  </si>
  <si>
    <t>dodávka součástí dod. dveří</t>
  </si>
  <si>
    <t>M65</t>
  </si>
  <si>
    <t>1031</t>
  </si>
  <si>
    <t>650124269RT2</t>
  </si>
  <si>
    <t>Uložení kabelu Cu 5 x 10 mm2 pevně</t>
  </si>
  <si>
    <t>M65_</t>
  </si>
  <si>
    <t>včetně dodávky kabelu CYKY 5 x 10 mm2</t>
  </si>
  <si>
    <t>1032</t>
  </si>
  <si>
    <t>650124267RT2</t>
  </si>
  <si>
    <t>Uložení kabelu Cu 5 x 6 mm2 pevně</t>
  </si>
  <si>
    <t>včetně dodávky kabelu CYKY 5 x 6 mm2</t>
  </si>
  <si>
    <t>1033</t>
  </si>
  <si>
    <t>650124263RT2</t>
  </si>
  <si>
    <t>Uložení kabelu Cu 5 x 2,5 mm2 pevně</t>
  </si>
  <si>
    <t>včetně dodávky kabelu CYKY 5 x 2,5 mm2</t>
  </si>
  <si>
    <t>1034</t>
  </si>
  <si>
    <t>650124221RT2</t>
  </si>
  <si>
    <t>Uložení kabelu Cu 4 x 16 mm2 pevně</t>
  </si>
  <si>
    <t>včetně dodávky kabelu CYKY 4 x 16 mm2</t>
  </si>
  <si>
    <t>1035</t>
  </si>
  <si>
    <t>650124219RT2</t>
  </si>
  <si>
    <t>Uložení kabelu Cu 4 x 10 mm2 pevně</t>
  </si>
  <si>
    <t>včetně dodávky kabelu CYKY 4 x 10 mm2</t>
  </si>
  <si>
    <t>1036</t>
  </si>
  <si>
    <t>650124143RT2</t>
  </si>
  <si>
    <t>Uložení kabelu Cu 3 x 2,5 mm2 pevně</t>
  </si>
  <si>
    <t>včetně dodávky kabelu CYKY 3 x 2,5 mm2</t>
  </si>
  <si>
    <t>1037</t>
  </si>
  <si>
    <t>650124141RT2</t>
  </si>
  <si>
    <t>Uložení kabelu Cu 3 x 1,5 mm2 pevně</t>
  </si>
  <si>
    <t>včetně dodávky kabelu CYKY 3 x 1,5 mm2</t>
  </si>
  <si>
    <t>1038</t>
  </si>
  <si>
    <t>650124111RT2</t>
  </si>
  <si>
    <t>Uložení kabelu Cu 2 x 1,5 mm2 pevně</t>
  </si>
  <si>
    <t>včetně dodávky kabelu CYKY 2 x 1,5 mm2</t>
  </si>
  <si>
    <t>1039</t>
  </si>
  <si>
    <t>650121121RT4</t>
  </si>
  <si>
    <t>Uložení vodiče Cu 16 mm2 pevně</t>
  </si>
  <si>
    <t>včetně dodávky vodiče H07V-K (CYA) 16 mm2</t>
  </si>
  <si>
    <t>1040</t>
  </si>
  <si>
    <t>650121117RT2</t>
  </si>
  <si>
    <t>Uložení vodiče Cu 6 mm2 pevně</t>
  </si>
  <si>
    <t>včetně dodávky vodiče H07V-U (CY) 6 mm2</t>
  </si>
  <si>
    <t>1041</t>
  </si>
  <si>
    <t>650121115RT2</t>
  </si>
  <si>
    <t>Uložení vodiče Cu 4 mm2 pevně</t>
  </si>
  <si>
    <t>včetně dodávky vodiče H07V-U (CY) 4 mm2</t>
  </si>
  <si>
    <t>1042</t>
  </si>
  <si>
    <t>650111RX1</t>
  </si>
  <si>
    <t>Prověření a doplnění ochranného pospojování</t>
  </si>
  <si>
    <t>montáž + doplnění ochr. posp.</t>
  </si>
  <si>
    <t>1043</t>
  </si>
  <si>
    <t>650111913RX1</t>
  </si>
  <si>
    <t>Dodávka a montáž jímací tyče 2 m, na stojan</t>
  </si>
  <si>
    <t>na ploché střechy, vč. držáku</t>
  </si>
  <si>
    <t>1044</t>
  </si>
  <si>
    <t>650111761RX2</t>
  </si>
  <si>
    <t>Montáž ochran. úhelníku / trubky s držáky do zdiva</t>
  </si>
  <si>
    <t>vč. dodávky ochr.úhelníku 1,7 m + 3 držáků do zdi</t>
  </si>
  <si>
    <t>1045</t>
  </si>
  <si>
    <t>650111723RT2</t>
  </si>
  <si>
    <t>Montáž zemnící svorky na kovové konstr. vč. pásku</t>
  </si>
  <si>
    <t>vč. dod. svorky ZSA 16, k zem. bodu</t>
  </si>
  <si>
    <t>1046</t>
  </si>
  <si>
    <t>650111713RT8</t>
  </si>
  <si>
    <t>Montáž hromosvodové svorky nad 2 šrouby</t>
  </si>
  <si>
    <t>vč. dod. svorky ST na okapový svod vč. pásku</t>
  </si>
  <si>
    <t>1047</t>
  </si>
  <si>
    <t>650111713RT7</t>
  </si>
  <si>
    <t>vč. dodávky svorky SP připojovací</t>
  </si>
  <si>
    <t>1048</t>
  </si>
  <si>
    <t>650111713RT5</t>
  </si>
  <si>
    <t>vč. dod. svorky SJ 2 k zemnící tyči, D=28</t>
  </si>
  <si>
    <t>1049</t>
  </si>
  <si>
    <t>650111713RT3</t>
  </si>
  <si>
    <t>vč. dod. svorky SR 3b, spoj. pásek-drát</t>
  </si>
  <si>
    <t>1050</t>
  </si>
  <si>
    <t>650111713RT2</t>
  </si>
  <si>
    <t>vč. dod. svorky SR 2b pro pásek 20x4 mm</t>
  </si>
  <si>
    <t>1051</t>
  </si>
  <si>
    <t>650111711RT6</t>
  </si>
  <si>
    <t>Montáž hromosvodové svorky do 2 šroubů</t>
  </si>
  <si>
    <t>vč. dodávky svorky SU univerzální</t>
  </si>
  <si>
    <t>1052</t>
  </si>
  <si>
    <t>650111711RT4</t>
  </si>
  <si>
    <t>vč. dodávky svorky zkušební SZa</t>
  </si>
  <si>
    <t>1053</t>
  </si>
  <si>
    <t>650111711RT2</t>
  </si>
  <si>
    <t>vč. dodávky svorky SOa okapové</t>
  </si>
  <si>
    <t>1054</t>
  </si>
  <si>
    <t>650111611RX2</t>
  </si>
  <si>
    <t>Montáž + dodávka podpěry vedení</t>
  </si>
  <si>
    <t>na ploché střechy</t>
  </si>
  <si>
    <t>1055</t>
  </si>
  <si>
    <t>650111611RX1</t>
  </si>
  <si>
    <t>Montáž + dodávka podpěry vedení , do zdiva</t>
  </si>
  <si>
    <t>200 mm</t>
  </si>
  <si>
    <t>1056</t>
  </si>
  <si>
    <t>650111611RT6</t>
  </si>
  <si>
    <t>Montáž svodového vodiče D do 10 mm včetně podpěr</t>
  </si>
  <si>
    <t>včetně dodávky drátu AlMgSi T/4 8 mm, bez dodávky podpěry</t>
  </si>
  <si>
    <t>1057</t>
  </si>
  <si>
    <t>650111411RX1</t>
  </si>
  <si>
    <t>Dod. a montáž vodiče s ochranou proti dotykovému napětí</t>
  </si>
  <si>
    <t>CUI 3500 mm + 4 kov. příchytky ke stěně</t>
  </si>
  <si>
    <t>vč. kov. podpěry vodiče HVI pr. 20 a CUI</t>
  </si>
  <si>
    <t>1058</t>
  </si>
  <si>
    <t>650111221R00</t>
  </si>
  <si>
    <t>Montáž uzemňovacího bodu vedení</t>
  </si>
  <si>
    <t>kompletní</t>
  </si>
  <si>
    <t>1059</t>
  </si>
  <si>
    <t>650111116RT3</t>
  </si>
  <si>
    <t>Uložení uzem. drátu na povrchu do 10 mm</t>
  </si>
  <si>
    <t>včetně dodávky drátu FeZn 10 mm</t>
  </si>
  <si>
    <t>1060</t>
  </si>
  <si>
    <t>650111111RT2</t>
  </si>
  <si>
    <t>Uložení uzem. pásku na povrch do 120 mm2</t>
  </si>
  <si>
    <t>včetně dodávky pásku FeZn 30 x 4 mm</t>
  </si>
  <si>
    <t>1061</t>
  </si>
  <si>
    <t>650101921R04</t>
  </si>
  <si>
    <t>Nouzové LED svítidlo v proj. ozn. jako "N5"</t>
  </si>
  <si>
    <t>optika do otevř. prostor, 503lm, 6,0W</t>
  </si>
  <si>
    <t>1062</t>
  </si>
  <si>
    <t>650101921R03</t>
  </si>
  <si>
    <t>Nouzové přisazené LED svítidlo v proj. ozn. "N4"</t>
  </si>
  <si>
    <t>osv. volných prostor, 205lm, 2,0W</t>
  </si>
  <si>
    <t>1063</t>
  </si>
  <si>
    <t>650101921R02</t>
  </si>
  <si>
    <t>Nouzové přisazené LED svítidlo v projektu označené "N2"</t>
  </si>
  <si>
    <t>3W, 1 hod, na strop</t>
  </si>
  <si>
    <t>1064</t>
  </si>
  <si>
    <t>650101921R01</t>
  </si>
  <si>
    <t>Nouzové přisazené LED svítidlo v projektu označené "N1 a N3"</t>
  </si>
  <si>
    <t>3W, 1 hod, na zeď</t>
  </si>
  <si>
    <t>1065</t>
  </si>
  <si>
    <t>650091621R00</t>
  </si>
  <si>
    <t>Montáž + dodávka zdroje napájecího spínaného</t>
  </si>
  <si>
    <t>pro pisoár a vod. baterie vč. instal. boxu</t>
  </si>
  <si>
    <t>1066</t>
  </si>
  <si>
    <t>650072621R00</t>
  </si>
  <si>
    <t>Montáž čidla pohybu stropního přisazeného</t>
  </si>
  <si>
    <t>vč. dodávky detektoru pohybu</t>
  </si>
  <si>
    <t>1067</t>
  </si>
  <si>
    <t>650023624R00</t>
  </si>
  <si>
    <t>Zhotovení otvoru čtvercového do plochy 0,1 m2</t>
  </si>
  <si>
    <t>stěna betonová do tl. 300 mm</t>
  </si>
  <si>
    <t>1068</t>
  </si>
  <si>
    <t>650023243R00</t>
  </si>
  <si>
    <t>Ucpávka protipožární, průchod stěnou, tl. 30 cm</t>
  </si>
  <si>
    <t>EI 60</t>
  </si>
  <si>
    <t>1069</t>
  </si>
  <si>
    <t>650020112R00</t>
  </si>
  <si>
    <t>Vrt + osazení hmoždinky do stěn železobet. HM 8</t>
  </si>
  <si>
    <t>s vrutem</t>
  </si>
  <si>
    <t>1070</t>
  </si>
  <si>
    <t>vč. hmoždinky s vrutem</t>
  </si>
  <si>
    <t>1071</t>
  </si>
  <si>
    <t>650020111RX1</t>
  </si>
  <si>
    <t>Vrt + osazení hmoždinky do stěn železobet.</t>
  </si>
  <si>
    <t>hmož. natloukací HN 6x45</t>
  </si>
  <si>
    <t>1072</t>
  </si>
  <si>
    <t>650020111R00</t>
  </si>
  <si>
    <t>Vrt + osazení hmoždinky do stěn železobet. HM 6</t>
  </si>
  <si>
    <t>hmož. natloukací 6x45</t>
  </si>
  <si>
    <t>1073</t>
  </si>
  <si>
    <t>345 72308.RIM</t>
  </si>
  <si>
    <t>SP 280x4,5 Stahovací pásek</t>
  </si>
  <si>
    <t>1074</t>
  </si>
  <si>
    <t>34572308R</t>
  </si>
  <si>
    <t>Pásky stahovací SP 280 x 4,5 mm, PA, vč. montáže</t>
  </si>
  <si>
    <t>Slepý stavební rozpočet (SO-01 - Základní rozpočet)</t>
  </si>
  <si>
    <t>Slepý stavební rozpočet (SO-02 - Zdravotechnické instalace)</t>
  </si>
  <si>
    <t>Slepý stavební rozpočet (SO-03 - Vzduchotechnika)</t>
  </si>
  <si>
    <t>Slepý stavební rozpočet (SO-04 - Ústřední vytápění)</t>
  </si>
  <si>
    <t>Slepý stavební rozpočet (SO-05 - Elektroinstalace)</t>
  </si>
</sst>
</file>

<file path=xl/styles.xml><?xml version="1.0" encoding="utf-8"?>
<styleSheet xmlns="http://schemas.openxmlformats.org/spreadsheetml/2006/main">
  <numFmts count="0"/>
  <fonts count="12">
    <font>
      <sz val="11"/>
      <name val="Calibri"/>
      <charset val="1"/>
    </font>
    <font>
      <color rgb="FF000000"/>
      <sz val="18"/>
      <name val="Arial"/>
      <charset val="238"/>
    </font>
    <font>
      <color rgb="FF000000"/>
      <sz val="10"/>
      <name val="Arial"/>
      <charset val="238"/>
    </font>
    <font>
      <color rgb="FF000000"/>
      <sz val="10"/>
      <name val="Arial"/>
      <charset val="238"/>
      <b/>
    </font>
    <font>
      <color rgb="FF000000"/>
      <sz val="18"/>
      <name val="Arial"/>
      <charset val="238"/>
      <b/>
    </font>
    <font>
      <color rgb="FF000000"/>
      <sz val="20"/>
      <name val="Arial"/>
      <charset val="238"/>
      <b/>
    </font>
    <font>
      <color rgb="FF000000"/>
      <sz val="11"/>
      <name val="Arial"/>
      <charset val="238"/>
      <b/>
    </font>
    <font>
      <color rgb="FF000000"/>
      <sz val="12"/>
      <name val="Arial"/>
      <charset val="238"/>
      <b/>
    </font>
    <font>
      <color rgb="FF000000"/>
      <sz val="12"/>
      <name val="Arial"/>
      <charset val="238"/>
    </font>
    <font>
      <color rgb="FF000000"/>
      <sz val="8"/>
      <name val="Arial"/>
      <charset val="238"/>
      <i/>
    </font>
    <font>
      <color rgb="FF000000"/>
      <sz val="11"/>
      <name val="Arial"/>
      <charset val="1"/>
    </font>
    <font>
      <color rgb="FF000000"/>
      <sz val="10"/>
      <name val="Arial"/>
      <charset val="238"/>
      <i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borderId="0" fillId="0" fontId="0" numFmtId="0"/>
  </cellStyleXfs>
  <cellXfs count="17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2" numFmtId="1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0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0" fillId="3" fontId="2" numFmtId="0" xfId="0">
      <alignment horizontal="left" vertical="center" textRotation="0" shrinkToFit="false" wrapText="true"/>
      <protection hidden="false" locked="false"/>
    </xf>
    <xf applyAlignment="true" applyBorder="true" applyFill="true" applyNumberFormat="true" applyFont="true" applyProtection="true" borderId="41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3" fontId="3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73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3" fontId="3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77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65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2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4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40" fillId="2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0" fillId="3" fontId="2" numFmtId="4" xfId="0">
      <alignment horizontal="right" vertical="center" textRotation="0" shrinkToFit="false" wrapText="false"/>
      <protection hidden="false" locked="false"/>
    </xf>
    <xf applyAlignment="true" applyBorder="true" applyFill="true" applyNumberFormat="true" applyFont="true" applyProtection="true" borderId="0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1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0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3" fontId="11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3" fontId="2" numFmtId="4" xfId="0">
      <alignment horizontal="right" vertical="center" textRotation="0" shrinkToFit="false" wrapText="false"/>
      <protection hidden="false" locked="false"/>
    </xf>
    <xf applyAlignment="true" applyBorder="true" applyFill="true" applyNumberFormat="true" applyFont="true" applyProtection="true" borderId="8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1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0" numFmtId="0" xfId="0">
      <alignment horizontal="general" vertical="bottom" textRotation="0" shrinkToFit="false" wrapText="false"/>
      <protection hidden="false" locked="true"/>
    </xf>
  </cellXfs>
  <dxfs count="0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9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6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7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8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9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7"/>
  <sheetViews>
    <sheetView workbookViewId="0" tabSelected="true" showZeros="true" showFormulas="false" showGridLines="true" showRowColHeaders="true">
      <selection sqref="A37:I37" activeCell="A37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7.140625" customWidth="true"/>
    <col max="4" min="4" style="0" width="10" customWidth="true"/>
    <col max="5" min="5" style="0" width="14" customWidth="true"/>
    <col max="6" min="6" style="0" width="27.140625" customWidth="true"/>
    <col max="7" min="7" style="0" width="9.140625" customWidth="true"/>
    <col max="8" min="8" style="0" width="12.85546875" customWidth="true"/>
    <col max="9" min="9" style="0" width="27.140625" customWidth="true"/>
  </cols>
  <sheetData>
    <row r="1" customHeight="true" ht="54.75">
      <c r="A1" s="1" t="s">
        <v>0</v>
      </c>
      <c r="B1" s="2"/>
      <c r="C1" s="2"/>
      <c r="D1" s="2"/>
      <c r="E1" s="2"/>
      <c r="F1" s="2"/>
      <c r="G1" s="2"/>
      <c r="H1" s="2"/>
      <c r="I1" s="2"/>
    </row>
    <row r="2">
      <c r="A2" s="3" t="s">
        <v>1</v>
      </c>
      <c r="B2" s="4"/>
      <c r="C2" s="5">
        <f>'Stavební rozpočet'!D2</f>
      </c>
      <c r="D2" s="6"/>
      <c r="E2" s="7" t="s">
        <v>2</v>
      </c>
      <c r="F2" s="7">
        <f>'Stavební rozpočet'!J2</f>
      </c>
      <c r="G2" s="4"/>
      <c r="H2" s="7" t="s">
        <v>3</v>
      </c>
      <c r="I2" s="8" t="s">
        <v>4</v>
      </c>
    </row>
    <row r="3" customHeight="true" ht="1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5</v>
      </c>
      <c r="B4" s="10"/>
      <c r="C4" s="14">
        <f>'Stavební rozpočet'!D4</f>
      </c>
      <c r="D4" s="10"/>
      <c r="E4" s="14" t="s">
        <v>6</v>
      </c>
      <c r="F4" s="14">
        <f>'Stavební rozpočet'!J4</f>
      </c>
      <c r="G4" s="10"/>
      <c r="H4" s="14" t="s">
        <v>3</v>
      </c>
      <c r="I4" s="12" t="s">
        <v>4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7</v>
      </c>
      <c r="B6" s="10"/>
      <c r="C6" s="14">
        <f>'Stavební rozpočet'!D6</f>
      </c>
      <c r="D6" s="10"/>
      <c r="E6" s="14" t="s">
        <v>8</v>
      </c>
      <c r="F6" s="14">
        <f>'Stavební rozpočet'!J6</f>
      </c>
      <c r="G6" s="10"/>
      <c r="H6" s="14" t="s">
        <v>3</v>
      </c>
      <c r="I6" s="12" t="s">
        <v>4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9</v>
      </c>
      <c r="B8" s="10"/>
      <c r="C8" s="14">
        <f>'Stavební rozpočet'!H4</f>
      </c>
      <c r="D8" s="10"/>
      <c r="E8" s="14" t="s">
        <v>10</v>
      </c>
      <c r="F8" s="14">
        <f>'Stavební rozpočet'!H6</f>
      </c>
      <c r="G8" s="10"/>
      <c r="H8" s="10" t="s">
        <v>11</v>
      </c>
      <c r="I8" s="15" t="n">
        <v>1074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12</v>
      </c>
      <c r="B10" s="10"/>
      <c r="C10" s="14">
        <f>'Stavební rozpočet'!D8</f>
      </c>
      <c r="D10" s="10"/>
      <c r="E10" s="14" t="s">
        <v>13</v>
      </c>
      <c r="F10" s="14">
        <f>'Stavební rozpočet'!J8</f>
      </c>
      <c r="G10" s="10"/>
      <c r="H10" s="10" t="s">
        <v>14</v>
      </c>
      <c r="I10" s="16">
        <f>'Stavební rozpočet'!H8</f>
      </c>
    </row>
    <row r="11">
      <c r="A11" s="17"/>
      <c r="B11" s="18"/>
      <c r="C11" s="18"/>
      <c r="D11" s="18"/>
      <c r="E11" s="18"/>
      <c r="F11" s="18"/>
      <c r="G11" s="18"/>
      <c r="H11" s="18"/>
      <c r="I11" s="19"/>
    </row>
    <row r="12">
      <c r="A12" s="20" t="s">
        <v>15</v>
      </c>
      <c r="B12" s="20"/>
      <c r="C12" s="20"/>
      <c r="D12" s="20"/>
      <c r="E12" s="20"/>
      <c r="F12" s="20"/>
      <c r="G12" s="20"/>
      <c r="H12" s="20"/>
      <c r="I12" s="20"/>
    </row>
    <row r="13" customHeight="true" ht="26.25">
      <c r="A13" s="21" t="s">
        <v>16</v>
      </c>
      <c r="B13" s="22" t="s">
        <v>17</v>
      </c>
      <c r="C13" s="23"/>
      <c r="D13" s="24" t="s">
        <v>18</v>
      </c>
      <c r="E13" s="22" t="s">
        <v>19</v>
      </c>
      <c r="F13" s="23"/>
      <c r="G13" s="24" t="s">
        <v>20</v>
      </c>
      <c r="H13" s="22" t="s">
        <v>21</v>
      </c>
      <c r="I13" s="23"/>
    </row>
    <row r="14">
      <c r="A14" s="25" t="s">
        <v>22</v>
      </c>
      <c r="B14" s="26" t="s">
        <v>23</v>
      </c>
      <c r="C14" s="27">
        <f>SUM('Stavební rozpočet'!AB12:AB3184)</f>
      </c>
      <c r="D14" s="28" t="s">
        <v>24</v>
      </c>
      <c r="E14" s="29"/>
      <c r="F14" s="27">
        <f>VORN!I15</f>
      </c>
      <c r="G14" s="28" t="s">
        <v>25</v>
      </c>
      <c r="H14" s="29"/>
      <c r="I14" s="30">
        <f>VORN!I21</f>
      </c>
    </row>
    <row r="15">
      <c r="A15" s="31" t="s">
        <v>4</v>
      </c>
      <c r="B15" s="26" t="s">
        <v>26</v>
      </c>
      <c r="C15" s="27">
        <f>SUM('Stavební rozpočet'!AC12:AC3184)</f>
      </c>
      <c r="D15" s="28" t="s">
        <v>27</v>
      </c>
      <c r="E15" s="29"/>
      <c r="F15" s="27">
        <f>VORN!I16</f>
      </c>
      <c r="G15" s="28" t="s">
        <v>28</v>
      </c>
      <c r="H15" s="29"/>
      <c r="I15" s="30">
        <f>VORN!I22</f>
      </c>
    </row>
    <row r="16">
      <c r="A16" s="25" t="s">
        <v>29</v>
      </c>
      <c r="B16" s="26" t="s">
        <v>23</v>
      </c>
      <c r="C16" s="27">
        <f>SUM('Stavební rozpočet'!AD12:AD3184)</f>
      </c>
      <c r="D16" s="28" t="s">
        <v>30</v>
      </c>
      <c r="E16" s="29"/>
      <c r="F16" s="27">
        <f>VORN!I17</f>
      </c>
      <c r="G16" s="28" t="s">
        <v>31</v>
      </c>
      <c r="H16" s="29"/>
      <c r="I16" s="30">
        <f>VORN!I23</f>
      </c>
    </row>
    <row r="17">
      <c r="A17" s="31" t="s">
        <v>4</v>
      </c>
      <c r="B17" s="26" t="s">
        <v>26</v>
      </c>
      <c r="C17" s="27">
        <f>SUM('Stavební rozpočet'!AE12:AE3184)</f>
      </c>
      <c r="D17" s="28" t="s">
        <v>4</v>
      </c>
      <c r="E17" s="29"/>
      <c r="F17" s="30" t="s">
        <v>4</v>
      </c>
      <c r="G17" s="28" t="s">
        <v>32</v>
      </c>
      <c r="H17" s="29"/>
      <c r="I17" s="30">
        <f>VORN!I24</f>
      </c>
    </row>
    <row r="18">
      <c r="A18" s="25" t="s">
        <v>33</v>
      </c>
      <c r="B18" s="26" t="s">
        <v>23</v>
      </c>
      <c r="C18" s="27">
        <f>SUM('Stavební rozpočet'!AF12:AF3184)</f>
      </c>
      <c r="D18" s="28" t="s">
        <v>4</v>
      </c>
      <c r="E18" s="29"/>
      <c r="F18" s="30" t="s">
        <v>4</v>
      </c>
      <c r="G18" s="28" t="s">
        <v>34</v>
      </c>
      <c r="H18" s="29"/>
      <c r="I18" s="30">
        <f>VORN!I25</f>
      </c>
    </row>
    <row r="19">
      <c r="A19" s="31" t="s">
        <v>4</v>
      </c>
      <c r="B19" s="26" t="s">
        <v>26</v>
      </c>
      <c r="C19" s="27">
        <f>SUM('Stavební rozpočet'!AG12:AG3184)</f>
      </c>
      <c r="D19" s="28" t="s">
        <v>4</v>
      </c>
      <c r="E19" s="29"/>
      <c r="F19" s="30" t="s">
        <v>4</v>
      </c>
      <c r="G19" s="28" t="s">
        <v>35</v>
      </c>
      <c r="H19" s="29"/>
      <c r="I19" s="30">
        <f>VORN!I26</f>
      </c>
    </row>
    <row r="20">
      <c r="A20" s="32" t="s">
        <v>36</v>
      </c>
      <c r="B20" s="33"/>
      <c r="C20" s="27">
        <f>SUM('Stavební rozpočet'!AH12:AH3184)</f>
      </c>
      <c r="D20" s="28" t="s">
        <v>4</v>
      </c>
      <c r="E20" s="29"/>
      <c r="F20" s="30" t="s">
        <v>4</v>
      </c>
      <c r="G20" s="28" t="s">
        <v>4</v>
      </c>
      <c r="H20" s="29"/>
      <c r="I20" s="30" t="s">
        <v>4</v>
      </c>
    </row>
    <row r="21">
      <c r="A21" s="34" t="s">
        <v>37</v>
      </c>
      <c r="B21" s="35"/>
      <c r="C21" s="36">
        <f>SUM('Stavební rozpočet'!Z12:Z3184)</f>
      </c>
      <c r="D21" s="37" t="s">
        <v>4</v>
      </c>
      <c r="E21" s="38"/>
      <c r="F21" s="39" t="s">
        <v>4</v>
      </c>
      <c r="G21" s="37" t="s">
        <v>4</v>
      </c>
      <c r="H21" s="38"/>
      <c r="I21" s="39" t="s">
        <v>4</v>
      </c>
    </row>
    <row r="22" customHeight="true" ht="16.5">
      <c r="A22" s="40" t="s">
        <v>38</v>
      </c>
      <c r="B22" s="41"/>
      <c r="C22" s="42">
        <f>SUM(C14:C21)</f>
      </c>
      <c r="D22" s="43" t="s">
        <v>39</v>
      </c>
      <c r="E22" s="41"/>
      <c r="F22" s="42">
        <f>SUM(F14:F21)</f>
      </c>
      <c r="G22" s="43" t="s">
        <v>40</v>
      </c>
      <c r="H22" s="41"/>
      <c r="I22" s="42">
        <f>SUM(I14:I21)</f>
      </c>
    </row>
    <row r="23">
      <c r="D23" s="32" t="s">
        <v>41</v>
      </c>
      <c r="E23" s="33"/>
      <c r="F23" s="44" t="n">
        <v>0</v>
      </c>
      <c r="G23" s="45" t="s">
        <v>42</v>
      </c>
      <c r="H23" s="33"/>
      <c r="I23" s="27" t="n">
        <v>0</v>
      </c>
    </row>
    <row r="24">
      <c r="G24" s="32" t="s">
        <v>43</v>
      </c>
      <c r="H24" s="33"/>
      <c r="I24" s="36">
        <f>vorn_sum</f>
      </c>
    </row>
    <row r="25">
      <c r="G25" s="32" t="s">
        <v>44</v>
      </c>
      <c r="H25" s="33"/>
      <c r="I25" s="42" t="n">
        <v>0</v>
      </c>
    </row>
    <row r="27">
      <c r="A27" s="46" t="s">
        <v>45</v>
      </c>
      <c r="B27" s="47"/>
      <c r="C27" s="48">
        <f>SUM('Stavební rozpočet'!AJ12:AJ3184)</f>
      </c>
    </row>
    <row r="28">
      <c r="A28" s="49" t="s">
        <v>46</v>
      </c>
      <c r="B28" s="50"/>
      <c r="C28" s="51">
        <f>SUM('Stavební rozpočet'!AK12:AK3184)</f>
      </c>
      <c r="D28" s="52" t="s">
        <v>47</v>
      </c>
      <c r="E28" s="47"/>
      <c r="F28" s="48">
        <f>ROUND(C28*(12/100),2)</f>
      </c>
      <c r="G28" s="52" t="s">
        <v>48</v>
      </c>
      <c r="H28" s="47"/>
      <c r="I28" s="48">
        <f>SUM(C27:C29)</f>
      </c>
    </row>
    <row r="29">
      <c r="A29" s="49" t="s">
        <v>49</v>
      </c>
      <c r="B29" s="50"/>
      <c r="C29" s="51">
        <f>SUM('Stavební rozpočet'!AL12:AL3184)</f>
      </c>
      <c r="D29" s="53" t="s">
        <v>50</v>
      </c>
      <c r="E29" s="50"/>
      <c r="F29" s="51">
        <f>ROUND(C29*(21/100),2)</f>
      </c>
      <c r="G29" s="53" t="s">
        <v>51</v>
      </c>
      <c r="H29" s="50"/>
      <c r="I29" s="51">
        <f>SUM(F28:F29)+I28</f>
      </c>
    </row>
    <row r="31">
      <c r="A31" s="54" t="s">
        <v>52</v>
      </c>
      <c r="B31" s="55"/>
      <c r="C31" s="56"/>
      <c r="D31" s="57" t="s">
        <v>53</v>
      </c>
      <c r="E31" s="55"/>
      <c r="F31" s="56"/>
      <c r="G31" s="57" t="s">
        <v>54</v>
      </c>
      <c r="H31" s="55"/>
      <c r="I31" s="56"/>
    </row>
    <row r="32">
      <c r="A32" s="58" t="s">
        <v>4</v>
      </c>
      <c r="B32" s="59"/>
      <c r="C32" s="60"/>
      <c r="D32" s="61" t="s">
        <v>4</v>
      </c>
      <c r="E32" s="59"/>
      <c r="F32" s="60"/>
      <c r="G32" s="61" t="s">
        <v>4</v>
      </c>
      <c r="H32" s="59"/>
      <c r="I32" s="60"/>
    </row>
    <row r="33">
      <c r="A33" s="58" t="s">
        <v>4</v>
      </c>
      <c r="B33" s="59"/>
      <c r="C33" s="60"/>
      <c r="D33" s="61" t="s">
        <v>4</v>
      </c>
      <c r="E33" s="59"/>
      <c r="F33" s="60"/>
      <c r="G33" s="61" t="s">
        <v>4</v>
      </c>
      <c r="H33" s="59"/>
      <c r="I33" s="60"/>
    </row>
    <row r="34">
      <c r="A34" s="58" t="s">
        <v>4</v>
      </c>
      <c r="B34" s="59"/>
      <c r="C34" s="60"/>
      <c r="D34" s="61" t="s">
        <v>4</v>
      </c>
      <c r="E34" s="59"/>
      <c r="F34" s="60"/>
      <c r="G34" s="61" t="s">
        <v>4</v>
      </c>
      <c r="H34" s="59"/>
      <c r="I34" s="60"/>
    </row>
    <row r="35">
      <c r="A35" s="62" t="s">
        <v>55</v>
      </c>
      <c r="B35" s="63"/>
      <c r="C35" s="64"/>
      <c r="D35" s="65" t="s">
        <v>55</v>
      </c>
      <c r="E35" s="63"/>
      <c r="F35" s="64"/>
      <c r="G35" s="65" t="s">
        <v>55</v>
      </c>
      <c r="H35" s="63"/>
      <c r="I35" s="64"/>
    </row>
    <row r="36">
      <c r="A36" s="66" t="s">
        <v>56</v>
      </c>
    </row>
    <row r="37" customHeight="true" ht="12.75">
      <c r="A37" s="14" t="s">
        <v>4</v>
      </c>
      <c r="B37" s="10"/>
      <c r="C37" s="10"/>
      <c r="D37" s="10"/>
      <c r="E37" s="10"/>
      <c r="F37" s="10"/>
      <c r="G37" s="10"/>
      <c r="H37" s="10"/>
      <c r="I37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I2:I3"/>
    <mergeCell ref="I4:I5"/>
    <mergeCell ref="I6:I7"/>
    <mergeCell ref="I8:I9"/>
    <mergeCell ref="I10:I11"/>
    <mergeCell ref="A12:I12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37:I37"/>
  </mergeCells>
  <pageMargins left="0.393999993801117" top="0.591000020503998" right="0.393999993801117" bottom="0.591000020503998" header="0" footer="0"/>
  <pageSetup orientation="landscape" fitToHeight="1" fitToWidth="1" cellComments="non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45"/>
  <sheetViews>
    <sheetView workbookViewId="0" showZeros="true" showFormulas="false" showGridLines="true" showRowColHeaders="true">
      <selection sqref="A45:E45" activeCell="A45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2.85546875" customWidth="true"/>
    <col max="4" min="4" style="0" width="10" customWidth="true"/>
    <col max="5" min="5" style="0" width="14" customWidth="true"/>
    <col max="6" min="6" style="0" width="22.85546875" customWidth="true"/>
    <col max="7" min="7" style="0" width="9.140625" customWidth="true"/>
    <col max="8" min="8" style="0" width="17.140625" customWidth="true"/>
    <col max="9" min="9" style="0" width="22.85546875" customWidth="true"/>
  </cols>
  <sheetData>
    <row r="1" customHeight="true" ht="54.75">
      <c r="A1" s="1" t="s">
        <v>57</v>
      </c>
      <c r="B1" s="2"/>
      <c r="C1" s="2"/>
      <c r="D1" s="2"/>
      <c r="E1" s="2"/>
      <c r="F1" s="2"/>
      <c r="G1" s="2"/>
      <c r="H1" s="2"/>
      <c r="I1" s="2"/>
    </row>
    <row r="2">
      <c r="A2" s="3" t="s">
        <v>1</v>
      </c>
      <c r="B2" s="4"/>
      <c r="C2" s="5">
        <f>'Stavební rozpočet'!D2</f>
      </c>
      <c r="D2" s="6"/>
      <c r="E2" s="7" t="s">
        <v>2</v>
      </c>
      <c r="F2" s="7">
        <f>'Stavební rozpočet'!J2</f>
      </c>
      <c r="G2" s="4"/>
      <c r="H2" s="7" t="s">
        <v>3</v>
      </c>
      <c r="I2" s="8" t="s">
        <v>4</v>
      </c>
    </row>
    <row r="3" customHeight="true" ht="1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5</v>
      </c>
      <c r="B4" s="10"/>
      <c r="C4" s="14">
        <f>'Stavební rozpočet'!D4</f>
      </c>
      <c r="D4" s="10"/>
      <c r="E4" s="14" t="s">
        <v>6</v>
      </c>
      <c r="F4" s="14">
        <f>'Stavební rozpočet'!J4</f>
      </c>
      <c r="G4" s="10"/>
      <c r="H4" s="14" t="s">
        <v>3</v>
      </c>
      <c r="I4" s="12" t="s">
        <v>4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7</v>
      </c>
      <c r="B6" s="10"/>
      <c r="C6" s="14">
        <f>'Stavební rozpočet'!D6</f>
      </c>
      <c r="D6" s="10"/>
      <c r="E6" s="14" t="s">
        <v>8</v>
      </c>
      <c r="F6" s="14">
        <f>'Stavební rozpočet'!J6</f>
      </c>
      <c r="G6" s="10"/>
      <c r="H6" s="14" t="s">
        <v>3</v>
      </c>
      <c r="I6" s="12" t="s">
        <v>4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9</v>
      </c>
      <c r="B8" s="10"/>
      <c r="C8" s="14">
        <f>'Stavební rozpočet'!H4</f>
      </c>
      <c r="D8" s="10"/>
      <c r="E8" s="14" t="s">
        <v>10</v>
      </c>
      <c r="F8" s="14">
        <f>'Stavební rozpočet'!H6</f>
      </c>
      <c r="G8" s="10"/>
      <c r="H8" s="10" t="s">
        <v>11</v>
      </c>
      <c r="I8" s="15" t="n">
        <v>1074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12</v>
      </c>
      <c r="B10" s="10"/>
      <c r="C10" s="14">
        <f>'Stavební rozpočet'!D8</f>
      </c>
      <c r="D10" s="10"/>
      <c r="E10" s="14" t="s">
        <v>13</v>
      </c>
      <c r="F10" s="14">
        <f>'Stavební rozpočet'!J8</f>
      </c>
      <c r="G10" s="10"/>
      <c r="H10" s="10" t="s">
        <v>14</v>
      </c>
      <c r="I10" s="16">
        <f>'Stavební rozpočet'!H8</f>
      </c>
    </row>
    <row r="11">
      <c r="A11" s="17"/>
      <c r="B11" s="18"/>
      <c r="C11" s="18"/>
      <c r="D11" s="18"/>
      <c r="E11" s="18"/>
      <c r="F11" s="18"/>
      <c r="G11" s="18"/>
      <c r="H11" s="18"/>
      <c r="I11" s="19"/>
    </row>
    <row r="13">
      <c r="A13" s="67" t="s">
        <v>58</v>
      </c>
      <c r="B13" s="67"/>
      <c r="C13" s="67"/>
      <c r="D13" s="67"/>
      <c r="E13" s="67"/>
    </row>
    <row r="14">
      <c r="A14" s="68" t="s">
        <v>59</v>
      </c>
      <c r="B14" s="69"/>
      <c r="C14" s="69"/>
      <c r="D14" s="69"/>
      <c r="E14" s="70"/>
      <c r="F14" s="71" t="s">
        <v>60</v>
      </c>
      <c r="G14" s="71" t="s">
        <v>61</v>
      </c>
      <c r="H14" s="71" t="s">
        <v>62</v>
      </c>
      <c r="I14" s="71" t="s">
        <v>60</v>
      </c>
    </row>
    <row r="15">
      <c r="A15" s="72" t="s">
        <v>24</v>
      </c>
      <c r="B15" s="73"/>
      <c r="C15" s="73"/>
      <c r="D15" s="73"/>
      <c r="E15" s="74"/>
      <c r="F15" s="75" t="n">
        <v>0</v>
      </c>
      <c r="G15" s="76" t="s">
        <v>4</v>
      </c>
      <c r="H15" s="76" t="s">
        <v>4</v>
      </c>
      <c r="I15" s="75">
        <f>F15</f>
      </c>
    </row>
    <row r="16">
      <c r="A16" s="72" t="s">
        <v>27</v>
      </c>
      <c r="B16" s="73"/>
      <c r="C16" s="73"/>
      <c r="D16" s="73"/>
      <c r="E16" s="74"/>
      <c r="F16" s="75" t="n">
        <v>0</v>
      </c>
      <c r="G16" s="76" t="s">
        <v>4</v>
      </c>
      <c r="H16" s="76" t="s">
        <v>4</v>
      </c>
      <c r="I16" s="75">
        <f>F16</f>
      </c>
    </row>
    <row r="17">
      <c r="A17" s="77" t="s">
        <v>30</v>
      </c>
      <c r="B17" s="78"/>
      <c r="C17" s="78"/>
      <c r="D17" s="78"/>
      <c r="E17" s="79"/>
      <c r="F17" s="80" t="n">
        <v>0</v>
      </c>
      <c r="G17" s="81" t="s">
        <v>4</v>
      </c>
      <c r="H17" s="81" t="s">
        <v>4</v>
      </c>
      <c r="I17" s="80">
        <f>F17</f>
      </c>
    </row>
    <row r="18">
      <c r="A18" s="82" t="s">
        <v>63</v>
      </c>
      <c r="B18" s="83"/>
      <c r="C18" s="83"/>
      <c r="D18" s="83"/>
      <c r="E18" s="84"/>
      <c r="F18" s="85" t="s">
        <v>4</v>
      </c>
      <c r="G18" s="86" t="s">
        <v>4</v>
      </c>
      <c r="H18" s="86" t="s">
        <v>4</v>
      </c>
      <c r="I18" s="87">
        <f>SUM(I15:I17)</f>
      </c>
    </row>
    <row r="20">
      <c r="A20" s="68" t="s">
        <v>21</v>
      </c>
      <c r="B20" s="69"/>
      <c r="C20" s="69"/>
      <c r="D20" s="69"/>
      <c r="E20" s="70"/>
      <c r="F20" s="71" t="s">
        <v>60</v>
      </c>
      <c r="G20" s="71" t="s">
        <v>61</v>
      </c>
      <c r="H20" s="71" t="s">
        <v>62</v>
      </c>
      <c r="I20" s="71" t="s">
        <v>60</v>
      </c>
    </row>
    <row r="21">
      <c r="A21" s="72" t="s">
        <v>25</v>
      </c>
      <c r="B21" s="73"/>
      <c r="C21" s="73"/>
      <c r="D21" s="73"/>
      <c r="E21" s="74"/>
      <c r="F21" s="75" t="n">
        <v>0</v>
      </c>
      <c r="G21" s="76" t="s">
        <v>4</v>
      </c>
      <c r="H21" s="76" t="s">
        <v>4</v>
      </c>
      <c r="I21" s="75">
        <f>F21</f>
      </c>
    </row>
    <row r="22">
      <c r="A22" s="72" t="s">
        <v>28</v>
      </c>
      <c r="B22" s="73"/>
      <c r="C22" s="73"/>
      <c r="D22" s="73"/>
      <c r="E22" s="74"/>
      <c r="F22" s="75" t="n">
        <v>0</v>
      </c>
      <c r="G22" s="76" t="s">
        <v>4</v>
      </c>
      <c r="H22" s="76" t="s">
        <v>4</v>
      </c>
      <c r="I22" s="75">
        <f>F22</f>
      </c>
    </row>
    <row r="23">
      <c r="A23" s="72" t="s">
        <v>31</v>
      </c>
      <c r="B23" s="73"/>
      <c r="C23" s="73"/>
      <c r="D23" s="73"/>
      <c r="E23" s="74"/>
      <c r="F23" s="75" t="n">
        <v>0</v>
      </c>
      <c r="G23" s="76" t="s">
        <v>4</v>
      </c>
      <c r="H23" s="76" t="s">
        <v>4</v>
      </c>
      <c r="I23" s="75">
        <f>F23</f>
      </c>
    </row>
    <row r="24">
      <c r="A24" s="72" t="s">
        <v>32</v>
      </c>
      <c r="B24" s="73"/>
      <c r="C24" s="73"/>
      <c r="D24" s="73"/>
      <c r="E24" s="74"/>
      <c r="F24" s="75" t="n">
        <v>0</v>
      </c>
      <c r="G24" s="76" t="s">
        <v>4</v>
      </c>
      <c r="H24" s="76" t="s">
        <v>4</v>
      </c>
      <c r="I24" s="75">
        <f>F24</f>
      </c>
    </row>
    <row r="25">
      <c r="A25" s="72" t="s">
        <v>34</v>
      </c>
      <c r="B25" s="73"/>
      <c r="C25" s="73"/>
      <c r="D25" s="73"/>
      <c r="E25" s="74"/>
      <c r="F25" s="75" t="n">
        <v>0</v>
      </c>
      <c r="G25" s="76" t="s">
        <v>4</v>
      </c>
      <c r="H25" s="76" t="s">
        <v>4</v>
      </c>
      <c r="I25" s="75">
        <f>F25</f>
      </c>
    </row>
    <row r="26">
      <c r="A26" s="77" t="s">
        <v>35</v>
      </c>
      <c r="B26" s="78"/>
      <c r="C26" s="78"/>
      <c r="D26" s="78"/>
      <c r="E26" s="79"/>
      <c r="F26" s="80" t="n">
        <v>0</v>
      </c>
      <c r="G26" s="81" t="s">
        <v>4</v>
      </c>
      <c r="H26" s="81" t="s">
        <v>4</v>
      </c>
      <c r="I26" s="80">
        <f>F26</f>
      </c>
    </row>
    <row r="27">
      <c r="A27" s="82" t="s">
        <v>64</v>
      </c>
      <c r="B27" s="83"/>
      <c r="C27" s="83"/>
      <c r="D27" s="83"/>
      <c r="E27" s="84"/>
      <c r="F27" s="85" t="s">
        <v>4</v>
      </c>
      <c r="G27" s="86" t="s">
        <v>4</v>
      </c>
      <c r="H27" s="86" t="s">
        <v>4</v>
      </c>
      <c r="I27" s="87">
        <f>SUM(I21:I26)</f>
      </c>
    </row>
    <row r="29">
      <c r="A29" s="88" t="s">
        <v>65</v>
      </c>
      <c r="B29" s="89"/>
      <c r="C29" s="89"/>
      <c r="D29" s="89"/>
      <c r="E29" s="90"/>
      <c r="F29" s="91">
        <f>I18+I27</f>
      </c>
      <c r="G29" s="92"/>
      <c r="H29" s="92"/>
      <c r="I29" s="93"/>
    </row>
    <row r="33">
      <c r="A33" s="67" t="s">
        <v>66</v>
      </c>
      <c r="B33" s="67"/>
      <c r="C33" s="67"/>
      <c r="D33" s="67"/>
      <c r="E33" s="67"/>
    </row>
    <row r="34">
      <c r="A34" s="68" t="s">
        <v>67</v>
      </c>
      <c r="B34" s="69"/>
      <c r="C34" s="69"/>
      <c r="D34" s="69"/>
      <c r="E34" s="70"/>
      <c r="F34" s="71" t="s">
        <v>60</v>
      </c>
      <c r="G34" s="71" t="s">
        <v>61</v>
      </c>
      <c r="H34" s="71" t="s">
        <v>62</v>
      </c>
      <c r="I34" s="71" t="s">
        <v>60</v>
      </c>
    </row>
    <row r="35">
      <c r="A35" s="72" t="s">
        <v>68</v>
      </c>
      <c r="B35" s="73"/>
      <c r="C35" s="73"/>
      <c r="D35" s="73"/>
      <c r="E35" s="74"/>
      <c r="F35" s="75">
        <f>SUM('Stavební rozpočet'!BM12:BM3184)</f>
      </c>
      <c r="G35" s="76" t="s">
        <v>4</v>
      </c>
      <c r="H35" s="76" t="s">
        <v>4</v>
      </c>
      <c r="I35" s="75">
        <f>F35</f>
      </c>
    </row>
    <row r="36">
      <c r="A36" s="72" t="s">
        <v>69</v>
      </c>
      <c r="B36" s="73"/>
      <c r="C36" s="73"/>
      <c r="D36" s="73"/>
      <c r="E36" s="74"/>
      <c r="F36" s="75">
        <f>SUM('Stavební rozpočet'!BN12:BN3184)</f>
      </c>
      <c r="G36" s="76" t="s">
        <v>4</v>
      </c>
      <c r="H36" s="76" t="s">
        <v>4</v>
      </c>
      <c r="I36" s="75">
        <f>F36</f>
      </c>
    </row>
    <row r="37">
      <c r="A37" s="72" t="s">
        <v>25</v>
      </c>
      <c r="B37" s="73"/>
      <c r="C37" s="73"/>
      <c r="D37" s="73"/>
      <c r="E37" s="74"/>
      <c r="F37" s="75">
        <f>SUM('Stavební rozpočet'!BO12:BO3184)</f>
      </c>
      <c r="G37" s="76" t="s">
        <v>4</v>
      </c>
      <c r="H37" s="76" t="s">
        <v>4</v>
      </c>
      <c r="I37" s="75">
        <f>F37</f>
      </c>
    </row>
    <row r="38">
      <c r="A38" s="72" t="s">
        <v>70</v>
      </c>
      <c r="B38" s="73"/>
      <c r="C38" s="73"/>
      <c r="D38" s="73"/>
      <c r="E38" s="74"/>
      <c r="F38" s="75">
        <f>SUM('Stavební rozpočet'!BP12:BP3184)</f>
      </c>
      <c r="G38" s="76" t="s">
        <v>4</v>
      </c>
      <c r="H38" s="76" t="s">
        <v>4</v>
      </c>
      <c r="I38" s="75">
        <f>F38</f>
      </c>
    </row>
    <row r="39">
      <c r="A39" s="72" t="s">
        <v>71</v>
      </c>
      <c r="B39" s="73"/>
      <c r="C39" s="73"/>
      <c r="D39" s="73"/>
      <c r="E39" s="74"/>
      <c r="F39" s="75">
        <f>SUM('Stavební rozpočet'!BQ12:BQ3184)</f>
      </c>
      <c r="G39" s="76" t="s">
        <v>4</v>
      </c>
      <c r="H39" s="76" t="s">
        <v>4</v>
      </c>
      <c r="I39" s="75">
        <f>F39</f>
      </c>
    </row>
    <row r="40">
      <c r="A40" s="72" t="s">
        <v>31</v>
      </c>
      <c r="B40" s="73"/>
      <c r="C40" s="73"/>
      <c r="D40" s="73"/>
      <c r="E40" s="74"/>
      <c r="F40" s="75">
        <f>SUM('Stavební rozpočet'!BR12:BR3184)</f>
      </c>
      <c r="G40" s="76" t="s">
        <v>4</v>
      </c>
      <c r="H40" s="76" t="s">
        <v>4</v>
      </c>
      <c r="I40" s="75">
        <f>F40</f>
      </c>
    </row>
    <row r="41">
      <c r="A41" s="72" t="s">
        <v>32</v>
      </c>
      <c r="B41" s="73"/>
      <c r="C41" s="73"/>
      <c r="D41" s="73"/>
      <c r="E41" s="74"/>
      <c r="F41" s="75">
        <f>SUM('Stavební rozpočet'!BS12:BS3184)</f>
      </c>
      <c r="G41" s="76" t="s">
        <v>4</v>
      </c>
      <c r="H41" s="76" t="s">
        <v>4</v>
      </c>
      <c r="I41" s="75">
        <f>F41</f>
      </c>
    </row>
    <row r="42">
      <c r="A42" s="72" t="s">
        <v>72</v>
      </c>
      <c r="B42" s="73"/>
      <c r="C42" s="73"/>
      <c r="D42" s="73"/>
      <c r="E42" s="74"/>
      <c r="F42" s="75">
        <f>SUM('Stavební rozpočet'!BT12:BT3184)</f>
      </c>
      <c r="G42" s="76" t="s">
        <v>4</v>
      </c>
      <c r="H42" s="76" t="s">
        <v>4</v>
      </c>
      <c r="I42" s="75">
        <f>F42</f>
      </c>
    </row>
    <row r="43">
      <c r="A43" s="72" t="s">
        <v>73</v>
      </c>
      <c r="B43" s="73"/>
      <c r="C43" s="73"/>
      <c r="D43" s="73"/>
      <c r="E43" s="74"/>
      <c r="F43" s="75">
        <f>SUM('Stavební rozpočet'!BU12:BU3184)</f>
      </c>
      <c r="G43" s="76" t="s">
        <v>4</v>
      </c>
      <c r="H43" s="76" t="s">
        <v>4</v>
      </c>
      <c r="I43" s="75">
        <f>F43</f>
      </c>
    </row>
    <row r="44">
      <c r="A44" s="77" t="s">
        <v>74</v>
      </c>
      <c r="B44" s="78"/>
      <c r="C44" s="78"/>
      <c r="D44" s="78"/>
      <c r="E44" s="79"/>
      <c r="F44" s="80">
        <f>SUM('Stavební rozpočet'!BV12:BV3184)</f>
      </c>
      <c r="G44" s="81" t="s">
        <v>4</v>
      </c>
      <c r="H44" s="81" t="s">
        <v>4</v>
      </c>
      <c r="I44" s="80">
        <f>F44</f>
      </c>
    </row>
    <row r="45">
      <c r="A45" s="82" t="s">
        <v>75</v>
      </c>
      <c r="B45" s="83"/>
      <c r="C45" s="83"/>
      <c r="D45" s="83"/>
      <c r="E45" s="84"/>
      <c r="F45" s="85" t="s">
        <v>4</v>
      </c>
      <c r="G45" s="86" t="s">
        <v>4</v>
      </c>
      <c r="H45" s="86" t="s">
        <v>4</v>
      </c>
      <c r="I45" s="87">
        <f>SUM(I35:I44)</f>
      </c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I2:I3"/>
    <mergeCell ref="I4:I5"/>
    <mergeCell ref="I6:I7"/>
    <mergeCell ref="I8:I9"/>
    <mergeCell ref="I10:I11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P19"/>
  <sheetViews>
    <sheetView workbookViewId="0" showZeros="true" showFormulas="false" showGridLines="true" showRowColHeaders="true">
      <pane topLeftCell="A12" state="frozen" activePane="bottomLeft" ySplit="11"/>
      <selection pane="bottomLeft" sqref="A19:L19" activeCell="A19"/>
    </sheetView>
  </sheetViews>
  <sheetFormatPr defaultColWidth="12.140625" customHeight="true" defaultRowHeight="15"/>
  <cols>
    <col max="1" min="1" style="0" width="7.5703125" customWidth="true"/>
    <col max="11" min="2" style="0" width="15.7109375" customWidth="true"/>
    <col max="12" min="12" style="0" width="14.28515625" customWidth="true"/>
    <col max="16" min="13" style="0" width="12.140625" hidden="true"/>
  </cols>
  <sheetData>
    <row r="1" customHeight="true" ht="54.75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4"/>
      <c r="C2" s="4"/>
      <c r="D2" s="5">
        <f>'Stavební rozpočet'!D2</f>
      </c>
      <c r="E2" s="6"/>
      <c r="F2" s="6"/>
      <c r="G2" s="7" t="s">
        <v>77</v>
      </c>
      <c r="H2" s="7">
        <f>'Stavební rozpočet'!H2</f>
      </c>
      <c r="I2" s="7" t="s">
        <v>2</v>
      </c>
      <c r="J2" s="7">
        <f>'Stavební rozpočet'!J2</f>
      </c>
      <c r="K2" s="4"/>
      <c r="L2" s="8"/>
    </row>
    <row r="3" customHeight="true" ht="15">
      <c r="A3" s="9"/>
      <c r="B3" s="10"/>
      <c r="C3" s="10"/>
      <c r="D3" s="11"/>
      <c r="E3" s="11"/>
      <c r="F3" s="11"/>
      <c r="G3" s="10"/>
      <c r="H3" s="10"/>
      <c r="I3" s="10"/>
      <c r="J3" s="10"/>
      <c r="K3" s="10"/>
      <c r="L3" s="12"/>
    </row>
    <row r="4">
      <c r="A4" s="13" t="s">
        <v>5</v>
      </c>
      <c r="B4" s="10"/>
      <c r="C4" s="10"/>
      <c r="D4" s="14">
        <f>'Stavební rozpočet'!D4</f>
      </c>
      <c r="E4" s="10"/>
      <c r="F4" s="10"/>
      <c r="G4" s="14" t="s">
        <v>9</v>
      </c>
      <c r="H4" s="14">
        <f>'Stavební rozpočet'!H4</f>
      </c>
      <c r="I4" s="14" t="s">
        <v>6</v>
      </c>
      <c r="J4" s="14">
        <f>'Stavební rozpočet'!J4</f>
      </c>
      <c r="K4" s="10"/>
      <c r="L4" s="12"/>
    </row>
    <row r="5" customHeight="true" ht="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2"/>
    </row>
    <row r="6">
      <c r="A6" s="13" t="s">
        <v>7</v>
      </c>
      <c r="B6" s="10"/>
      <c r="C6" s="10"/>
      <c r="D6" s="14">
        <f>'Stavební rozpočet'!D6</f>
      </c>
      <c r="E6" s="10"/>
      <c r="F6" s="10"/>
      <c r="G6" s="14" t="s">
        <v>10</v>
      </c>
      <c r="H6" s="14">
        <f>'Stavební rozpočet'!H6</f>
      </c>
      <c r="I6" s="14" t="s">
        <v>8</v>
      </c>
      <c r="J6" s="14">
        <f>'Stavební rozpočet'!J6</f>
      </c>
      <c r="K6" s="10"/>
      <c r="L6" s="12"/>
    </row>
    <row r="7" customHeight="true" ht="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2"/>
    </row>
    <row r="8">
      <c r="A8" s="13" t="s">
        <v>12</v>
      </c>
      <c r="B8" s="10"/>
      <c r="C8" s="10"/>
      <c r="D8" s="14">
        <f>'Stavební rozpočet'!D8</f>
      </c>
      <c r="E8" s="10"/>
      <c r="F8" s="10"/>
      <c r="G8" s="14" t="s">
        <v>78</v>
      </c>
      <c r="H8" s="14">
        <f>'Stavební rozpočet'!H8</f>
      </c>
      <c r="I8" s="14" t="s">
        <v>13</v>
      </c>
      <c r="J8" s="14">
        <f>'Stavební rozpočet'!J8</f>
      </c>
      <c r="K8" s="10"/>
      <c r="L8" s="12"/>
    </row>
    <row r="9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>
      <c r="A10" s="97" t="s">
        <v>79</v>
      </c>
      <c r="B10" s="98" t="s">
        <v>79</v>
      </c>
      <c r="C10" s="99"/>
      <c r="D10" s="99"/>
      <c r="E10" s="99"/>
      <c r="F10" s="99"/>
      <c r="G10" s="99"/>
      <c r="H10" s="99"/>
      <c r="I10" s="99"/>
      <c r="J10" s="99"/>
      <c r="K10" s="100"/>
      <c r="L10" s="101" t="s">
        <v>80</v>
      </c>
    </row>
    <row r="11">
      <c r="A11" s="102" t="s">
        <v>81</v>
      </c>
      <c r="B11" s="103" t="s">
        <v>82</v>
      </c>
      <c r="C11" s="104"/>
      <c r="D11" s="104"/>
      <c r="E11" s="104"/>
      <c r="F11" s="104"/>
      <c r="G11" s="104"/>
      <c r="H11" s="104"/>
      <c r="I11" s="104"/>
      <c r="J11" s="104"/>
      <c r="K11" s="105"/>
      <c r="L11" s="106" t="s">
        <v>83</v>
      </c>
    </row>
    <row r="12">
      <c r="A12" s="107" t="s">
        <v>84</v>
      </c>
      <c r="B12" s="108" t="s">
        <v>85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9">
        <f>'Stavební rozpočet'!I12</f>
      </c>
      <c r="M12" s="110" t="s">
        <v>86</v>
      </c>
      <c r="N12" s="111">
        <f>IF(M12="F",0,L12)</f>
      </c>
      <c r="O12" s="10" t="s">
        <v>84</v>
      </c>
      <c r="P12" s="111">
        <f>IF(M12="T",0,L12)</f>
      </c>
    </row>
    <row r="13">
      <c r="A13" s="9" t="s">
        <v>87</v>
      </c>
      <c r="B13" s="10" t="s">
        <v>88</v>
      </c>
      <c r="C13" s="10"/>
      <c r="D13" s="10"/>
      <c r="E13" s="10"/>
      <c r="F13" s="10"/>
      <c r="G13" s="10"/>
      <c r="H13" s="10"/>
      <c r="I13" s="10"/>
      <c r="J13" s="10"/>
      <c r="K13" s="10"/>
      <c r="L13" s="112">
        <f>'Stavební rozpočet'!I1957</f>
      </c>
      <c r="M13" s="110" t="s">
        <v>86</v>
      </c>
      <c r="N13" s="111">
        <f>IF(M13="F",0,L13)</f>
      </c>
      <c r="O13" s="10" t="s">
        <v>87</v>
      </c>
      <c r="P13" s="111">
        <f>IF(M13="T",0,L13)</f>
      </c>
    </row>
    <row r="14">
      <c r="A14" s="9" t="s">
        <v>89</v>
      </c>
      <c r="B14" s="10" t="s">
        <v>90</v>
      </c>
      <c r="C14" s="10"/>
      <c r="D14" s="10"/>
      <c r="E14" s="10"/>
      <c r="F14" s="10"/>
      <c r="G14" s="10"/>
      <c r="H14" s="10"/>
      <c r="I14" s="10"/>
      <c r="J14" s="10"/>
      <c r="K14" s="10"/>
      <c r="L14" s="112">
        <f>'Stavební rozpočet'!I2537</f>
      </c>
      <c r="M14" s="110" t="s">
        <v>86</v>
      </c>
      <c r="N14" s="111">
        <f>IF(M14="F",0,L14)</f>
      </c>
      <c r="O14" s="10" t="s">
        <v>89</v>
      </c>
      <c r="P14" s="111">
        <f>IF(M14="T",0,L14)</f>
      </c>
    </row>
    <row r="15">
      <c r="A15" s="9" t="s">
        <v>91</v>
      </c>
      <c r="B15" s="10" t="s">
        <v>92</v>
      </c>
      <c r="C15" s="10"/>
      <c r="D15" s="10"/>
      <c r="E15" s="10"/>
      <c r="F15" s="10"/>
      <c r="G15" s="10"/>
      <c r="H15" s="10"/>
      <c r="I15" s="10"/>
      <c r="J15" s="10"/>
      <c r="K15" s="10"/>
      <c r="L15" s="112">
        <f>'Stavební rozpočet'!I2652</f>
      </c>
      <c r="M15" s="110" t="s">
        <v>86</v>
      </c>
      <c r="N15" s="111">
        <f>IF(M15="F",0,L15)</f>
      </c>
      <c r="O15" s="10" t="s">
        <v>91</v>
      </c>
      <c r="P15" s="111">
        <f>IF(M15="T",0,L15)</f>
      </c>
    </row>
    <row r="16">
      <c r="A16" s="17" t="s">
        <v>93</v>
      </c>
      <c r="B16" s="18" t="s">
        <v>94</v>
      </c>
      <c r="C16" s="18"/>
      <c r="D16" s="18"/>
      <c r="E16" s="18"/>
      <c r="F16" s="18"/>
      <c r="G16" s="18"/>
      <c r="H16" s="18"/>
      <c r="I16" s="18"/>
      <c r="J16" s="18"/>
      <c r="K16" s="18"/>
      <c r="L16" s="113">
        <f>'Stavební rozpočet'!I2851</f>
      </c>
      <c r="M16" s="110" t="s">
        <v>86</v>
      </c>
      <c r="N16" s="111">
        <f>IF(M16="F",0,L16)</f>
      </c>
      <c r="O16" s="10" t="s">
        <v>93</v>
      </c>
      <c r="P16" s="111">
        <f>IF(M16="T",0,L16)</f>
      </c>
    </row>
    <row r="17">
      <c r="J17" s="114" t="s">
        <v>95</v>
      </c>
      <c r="K17" s="114"/>
      <c r="L17" s="115">
        <f>SUM(P12:P16)</f>
      </c>
    </row>
    <row r="18">
      <c r="A18" s="116" t="s">
        <v>56</v>
      </c>
    </row>
    <row r="19" customHeight="true" ht="12.75">
      <c r="A19" s="14" t="s">
        <v>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  <mergeCell ref="H8:H9"/>
    <mergeCell ref="I2:I3"/>
    <mergeCell ref="I4:I5"/>
    <mergeCell ref="I6:I7"/>
    <mergeCell ref="I8:I9"/>
    <mergeCell ref="J2:L3"/>
    <mergeCell ref="J4:L5"/>
    <mergeCell ref="J6:L7"/>
    <mergeCell ref="J8:L9"/>
    <mergeCell ref="B10:K10"/>
    <mergeCell ref="B11:K11"/>
    <mergeCell ref="B12:K12"/>
    <mergeCell ref="B13:K13"/>
    <mergeCell ref="B14:K14"/>
    <mergeCell ref="B15:K15"/>
    <mergeCell ref="B16:K16"/>
    <mergeCell ref="J17:K17"/>
    <mergeCell ref="A19:L19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3187"/>
  <sheetViews>
    <sheetView workbookViewId="0" showZeros="true" showFormulas="false" showGridLines="true" showRowColHeaders="true">
      <pane topLeftCell="A12" state="frozen" activePane="bottomLeft" ySplit="11"/>
      <selection pane="bottomLeft" sqref="A3187:K3187" activeCell="A3187"/>
    </sheetView>
  </sheetViews>
  <sheetFormatPr defaultColWidth="12.140625" customHeight="true" defaultRowHeight="15"/>
  <cols>
    <col max="1" min="1" style="0" width="3.140625" customWidth="true"/>
    <col max="2" min="2" style="0" width="7.5703125" customWidth="true"/>
    <col max="3" min="3" style="0" width="17.85546875" customWidth="true"/>
    <col max="4" min="4" style="0" width="42.85546875" customWidth="true"/>
    <col max="5" min="5" style="0" width="35.7109375" customWidth="true"/>
    <col max="6" min="6" style="0" width="6.7109375" customWidth="true"/>
    <col max="7" min="7" style="0" width="12.85546875" customWidth="true"/>
    <col max="8" min="8" style="0" width="12" customWidth="true"/>
    <col max="9" min="9" style="0" width="15.7109375" customWidth="true"/>
    <col max="10" min="10" style="0" width="13.42578125" customWidth="true"/>
    <col max="11" min="11" style="0" width="12.140625"/>
    <col max="75" min="25" style="0" width="12.140625" hidden="true"/>
    <col max="76" min="76" style="0" width="78.5703125" customWidth="true" hidden="true"/>
    <col max="78" min="77" style="0" width="12.140625" hidden="true"/>
  </cols>
  <sheetData>
    <row r="1" customHeight="true" ht="54.75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AS1" s="117">
        <f>SUM(AJ1:AJ2)</f>
      </c>
      <c r="AT1" s="117">
        <f>SUM(AK1:AK2)</f>
      </c>
      <c r="AU1" s="117">
        <f>SUM(AL1:AL2)</f>
      </c>
    </row>
    <row r="2">
      <c r="A2" s="3" t="s">
        <v>1</v>
      </c>
      <c r="B2" s="4"/>
      <c r="C2" s="4"/>
      <c r="D2" s="5" t="s">
        <v>97</v>
      </c>
      <c r="E2" s="6"/>
      <c r="F2" s="4" t="s">
        <v>77</v>
      </c>
      <c r="G2" s="4"/>
      <c r="H2" s="118" t="s">
        <v>79</v>
      </c>
      <c r="I2" s="7" t="s">
        <v>2</v>
      </c>
      <c r="J2" s="4" t="s">
        <v>98</v>
      </c>
      <c r="K2" s="8"/>
    </row>
    <row r="3">
      <c r="A3" s="9"/>
      <c r="B3" s="10"/>
      <c r="C3" s="10"/>
      <c r="D3" s="11"/>
      <c r="E3" s="11"/>
      <c r="F3" s="10"/>
      <c r="G3" s="10"/>
      <c r="H3" s="119"/>
      <c r="I3" s="10"/>
      <c r="J3" s="10"/>
      <c r="K3" s="12"/>
    </row>
    <row r="4">
      <c r="A4" s="13" t="s">
        <v>5</v>
      </c>
      <c r="B4" s="10"/>
      <c r="C4" s="10"/>
      <c r="D4" s="14" t="s">
        <v>99</v>
      </c>
      <c r="E4" s="10"/>
      <c r="F4" s="10" t="s">
        <v>9</v>
      </c>
      <c r="G4" s="10"/>
      <c r="H4" s="119" t="s">
        <v>79</v>
      </c>
      <c r="I4" s="14" t="s">
        <v>6</v>
      </c>
      <c r="J4" s="10" t="s">
        <v>98</v>
      </c>
      <c r="K4" s="12"/>
    </row>
    <row r="5">
      <c r="A5" s="9"/>
      <c r="B5" s="10"/>
      <c r="C5" s="10"/>
      <c r="D5" s="10"/>
      <c r="E5" s="10"/>
      <c r="F5" s="10"/>
      <c r="G5" s="10"/>
      <c r="H5" s="119"/>
      <c r="I5" s="10"/>
      <c r="J5" s="10"/>
      <c r="K5" s="12"/>
    </row>
    <row r="6">
      <c r="A6" s="13" t="s">
        <v>7</v>
      </c>
      <c r="B6" s="10"/>
      <c r="C6" s="10"/>
      <c r="D6" s="14" t="s">
        <v>100</v>
      </c>
      <c r="E6" s="10"/>
      <c r="F6" s="10" t="s">
        <v>10</v>
      </c>
      <c r="G6" s="10"/>
      <c r="H6" s="119" t="s">
        <v>79</v>
      </c>
      <c r="I6" s="14" t="s">
        <v>8</v>
      </c>
      <c r="J6" s="119" t="s">
        <v>98</v>
      </c>
      <c r="K6" s="120"/>
    </row>
    <row r="7">
      <c r="A7" s="9"/>
      <c r="B7" s="10"/>
      <c r="C7" s="10"/>
      <c r="D7" s="10"/>
      <c r="E7" s="10"/>
      <c r="F7" s="10"/>
      <c r="G7" s="10"/>
      <c r="H7" s="119"/>
      <c r="I7" s="10"/>
      <c r="J7" s="119"/>
      <c r="K7" s="120"/>
    </row>
    <row r="8">
      <c r="A8" s="13" t="s">
        <v>12</v>
      </c>
      <c r="B8" s="10"/>
      <c r="C8" s="10"/>
      <c r="D8" s="14" t="s">
        <v>79</v>
      </c>
      <c r="E8" s="10"/>
      <c r="F8" s="10" t="s">
        <v>78</v>
      </c>
      <c r="G8" s="10"/>
      <c r="H8" s="119" t="s">
        <v>101</v>
      </c>
      <c r="I8" s="14" t="s">
        <v>13</v>
      </c>
      <c r="J8" s="121" t="s">
        <v>102</v>
      </c>
      <c r="K8" s="120"/>
    </row>
    <row r="9">
      <c r="A9" s="94"/>
      <c r="B9" s="95"/>
      <c r="C9" s="95"/>
      <c r="D9" s="95"/>
      <c r="E9" s="95"/>
      <c r="F9" s="95"/>
      <c r="G9" s="95"/>
      <c r="H9" s="122"/>
      <c r="I9" s="95"/>
      <c r="J9" s="122"/>
      <c r="K9" s="123"/>
    </row>
    <row r="10">
      <c r="A10" s="124" t="s">
        <v>103</v>
      </c>
      <c r="B10" s="125" t="s">
        <v>81</v>
      </c>
      <c r="C10" s="125" t="s">
        <v>104</v>
      </c>
      <c r="D10" s="126" t="s">
        <v>105</v>
      </c>
      <c r="E10" s="127"/>
      <c r="F10" s="125" t="s">
        <v>106</v>
      </c>
      <c r="G10" s="128" t="s">
        <v>107</v>
      </c>
      <c r="H10" s="129" t="s">
        <v>108</v>
      </c>
      <c r="I10" s="101" t="s">
        <v>80</v>
      </c>
      <c r="J10" s="130" t="s">
        <v>109</v>
      </c>
      <c r="K10" s="131"/>
      <c r="BK10" s="132" t="s">
        <v>110</v>
      </c>
      <c r="BL10" s="133" t="s">
        <v>111</v>
      </c>
      <c r="BW10" s="133" t="s">
        <v>112</v>
      </c>
    </row>
    <row r="11">
      <c r="A11" s="134" t="s">
        <v>79</v>
      </c>
      <c r="B11" s="135" t="s">
        <v>79</v>
      </c>
      <c r="C11" s="135" t="s">
        <v>79</v>
      </c>
      <c r="D11" s="103" t="s">
        <v>113</v>
      </c>
      <c r="E11" s="105"/>
      <c r="F11" s="135" t="s">
        <v>79</v>
      </c>
      <c r="G11" s="135" t="s">
        <v>79</v>
      </c>
      <c r="H11" s="136" t="s">
        <v>114</v>
      </c>
      <c r="I11" s="106" t="s">
        <v>83</v>
      </c>
      <c r="J11" s="137" t="s">
        <v>115</v>
      </c>
      <c r="K11" s="138"/>
      <c r="Z11" s="132" t="s">
        <v>116</v>
      </c>
      <c r="AA11" s="132" t="s">
        <v>117</v>
      </c>
      <c r="AB11" s="132" t="s">
        <v>118</v>
      </c>
      <c r="AC11" s="132" t="s">
        <v>119</v>
      </c>
      <c r="AD11" s="132" t="s">
        <v>120</v>
      </c>
      <c r="AE11" s="132" t="s">
        <v>121</v>
      </c>
      <c r="AF11" s="132" t="s">
        <v>122</v>
      </c>
      <c r="AG11" s="132" t="s">
        <v>123</v>
      </c>
      <c r="AH11" s="132" t="s">
        <v>124</v>
      </c>
      <c r="BH11" s="132" t="s">
        <v>125</v>
      </c>
      <c r="BI11" s="132" t="s">
        <v>126</v>
      </c>
      <c r="BJ11" s="132" t="s">
        <v>127</v>
      </c>
    </row>
    <row r="12">
      <c r="A12" s="139" t="s">
        <v>4</v>
      </c>
      <c r="B12" s="140" t="s">
        <v>84</v>
      </c>
      <c r="C12" s="140" t="s">
        <v>4</v>
      </c>
      <c r="D12" s="141" t="s">
        <v>85</v>
      </c>
      <c r="E12" s="140"/>
      <c r="F12" s="142" t="s">
        <v>79</v>
      </c>
      <c r="G12" s="142" t="s">
        <v>79</v>
      </c>
      <c r="H12" s="143" t="s">
        <v>79</v>
      </c>
      <c r="I12" s="144">
        <f>I13+I23+I26+I49+I69+I81+I93+I97+I170+I246+I262+I362+I518+I522+I551+I605+I705+I756+I771+I779+I788+I795+I834+I855+I885+I900+I908+I930+I972+I1111+I1188+I1198+I1213+I1221+I1242+I1307+I1388+I1523+I1608+I1663+I1756+I1885+I1911+I1925+I1932+I1935+I1946+I1948+I1953</f>
      </c>
      <c r="J12" s="145" t="s">
        <v>4</v>
      </c>
      <c r="K12" s="146"/>
    </row>
    <row r="13">
      <c r="A13" s="147" t="s">
        <v>4</v>
      </c>
      <c r="B13" s="148" t="s">
        <v>84</v>
      </c>
      <c r="C13" s="148" t="s">
        <v>128</v>
      </c>
      <c r="D13" s="149" t="s">
        <v>129</v>
      </c>
      <c r="E13" s="148"/>
      <c r="F13" s="150" t="s">
        <v>79</v>
      </c>
      <c r="G13" s="150" t="s">
        <v>79</v>
      </c>
      <c r="H13" s="151" t="s">
        <v>79</v>
      </c>
      <c r="I13" s="117">
        <f>SUM(I14:I21)</f>
      </c>
      <c r="J13" s="132" t="s">
        <v>4</v>
      </c>
      <c r="K13" s="146"/>
      <c r="AI13" s="132" t="s">
        <v>84</v>
      </c>
      <c r="AS13" s="117">
        <f>SUM(AJ14:AJ21)</f>
      </c>
      <c r="AT13" s="117">
        <f>SUM(AK14:AK21)</f>
      </c>
      <c r="AU13" s="117">
        <f>SUM(AL14:AL21)</f>
      </c>
    </row>
    <row r="14">
      <c r="A14" s="9" t="s">
        <v>130</v>
      </c>
      <c r="B14" s="10" t="s">
        <v>84</v>
      </c>
      <c r="C14" s="10" t="s">
        <v>131</v>
      </c>
      <c r="D14" s="14" t="s">
        <v>132</v>
      </c>
      <c r="E14" s="10"/>
      <c r="F14" s="10" t="s">
        <v>133</v>
      </c>
      <c r="G14" s="111" t="n">
        <v>3</v>
      </c>
      <c r="H14" s="152" t="n">
        <v>0</v>
      </c>
      <c r="I14" s="111">
        <f>G14*H14</f>
      </c>
      <c r="J14" s="153" t="s">
        <v>134</v>
      </c>
      <c r="K14" s="146"/>
      <c r="Z14" s="111">
        <f>IF(AQ14="5",BJ14,0)</f>
      </c>
      <c r="AB14" s="111">
        <f>IF(AQ14="1",BH14,0)</f>
      </c>
      <c r="AC14" s="111">
        <f>IF(AQ14="1",BI14,0)</f>
      </c>
      <c r="AD14" s="111">
        <f>IF(AQ14="7",BH14,0)</f>
      </c>
      <c r="AE14" s="111">
        <f>IF(AQ14="7",BI14,0)</f>
      </c>
      <c r="AF14" s="111">
        <f>IF(AQ14="2",BH14,0)</f>
      </c>
      <c r="AG14" s="111">
        <f>IF(AQ14="2",BI14,0)</f>
      </c>
      <c r="AH14" s="111">
        <f>IF(AQ14="0",BJ14,0)</f>
      </c>
      <c r="AI14" s="132" t="s">
        <v>84</v>
      </c>
      <c r="AJ14" s="111">
        <f>IF(AN14=0,I14,0)</f>
      </c>
      <c r="AK14" s="111">
        <f>IF(AN14=12,I14,0)</f>
      </c>
      <c r="AL14" s="111">
        <f>IF(AN14=21,I14,0)</f>
      </c>
      <c r="AN14" s="111" t="n">
        <v>21</v>
      </c>
      <c r="AO14" s="111">
        <f>H14*0</f>
      </c>
      <c r="AP14" s="111">
        <f>H14*(1-0)</f>
      </c>
      <c r="AQ14" s="153" t="s">
        <v>130</v>
      </c>
      <c r="AV14" s="111">
        <f>AW14+AX14</f>
      </c>
      <c r="AW14" s="111">
        <f>G14*AO14</f>
      </c>
      <c r="AX14" s="111">
        <f>G14*AP14</f>
      </c>
      <c r="AY14" s="153" t="s">
        <v>135</v>
      </c>
      <c r="AZ14" s="153" t="s">
        <v>136</v>
      </c>
      <c r="BA14" s="132" t="s">
        <v>137</v>
      </c>
      <c r="BC14" s="111">
        <f>AW14+AX14</f>
      </c>
      <c r="BD14" s="111">
        <f>H14/(100-BE14)*100</f>
      </c>
      <c r="BE14" s="111" t="n">
        <v>0</v>
      </c>
      <c r="BF14" s="111">
        <f>14</f>
      </c>
      <c r="BH14" s="111">
        <f>G14*AO14</f>
      </c>
      <c r="BI14" s="111">
        <f>G14*AP14</f>
      </c>
      <c r="BJ14" s="111">
        <f>G14*H14</f>
      </c>
      <c r="BK14" s="111"/>
      <c r="BL14" s="111" t="n">
        <v>11</v>
      </c>
      <c r="BW14" s="111" t="n">
        <v>21</v>
      </c>
      <c r="BX14" s="14" t="s">
        <v>132</v>
      </c>
    </row>
    <row r="15">
      <c r="A15" s="154"/>
      <c r="B15" s="155"/>
      <c r="C15" s="155"/>
      <c r="D15" s="156" t="s">
        <v>138</v>
      </c>
      <c r="E15" s="156" t="s">
        <v>139</v>
      </c>
      <c r="F15" s="155"/>
      <c r="G15" s="157" t="n">
        <v>3</v>
      </c>
      <c r="H15" s="158"/>
      <c r="I15" s="155"/>
      <c r="J15" s="155"/>
      <c r="K15" s="146"/>
    </row>
    <row r="16">
      <c r="A16" s="9" t="s">
        <v>140</v>
      </c>
      <c r="B16" s="10" t="s">
        <v>84</v>
      </c>
      <c r="C16" s="10" t="s">
        <v>141</v>
      </c>
      <c r="D16" s="14" t="s">
        <v>142</v>
      </c>
      <c r="E16" s="10"/>
      <c r="F16" s="10" t="s">
        <v>133</v>
      </c>
      <c r="G16" s="111" t="n">
        <v>3</v>
      </c>
      <c r="H16" s="152" t="n">
        <v>0</v>
      </c>
      <c r="I16" s="111">
        <f>G16*H16</f>
      </c>
      <c r="J16" s="153" t="s">
        <v>134</v>
      </c>
      <c r="K16" s="146"/>
      <c r="Z16" s="111">
        <f>IF(AQ16="5",BJ16,0)</f>
      </c>
      <c r="AB16" s="111">
        <f>IF(AQ16="1",BH16,0)</f>
      </c>
      <c r="AC16" s="111">
        <f>IF(AQ16="1",BI16,0)</f>
      </c>
      <c r="AD16" s="111">
        <f>IF(AQ16="7",BH16,0)</f>
      </c>
      <c r="AE16" s="111">
        <f>IF(AQ16="7",BI16,0)</f>
      </c>
      <c r="AF16" s="111">
        <f>IF(AQ16="2",BH16,0)</f>
      </c>
      <c r="AG16" s="111">
        <f>IF(AQ16="2",BI16,0)</f>
      </c>
      <c r="AH16" s="111">
        <f>IF(AQ16="0",BJ16,0)</f>
      </c>
      <c r="AI16" s="132" t="s">
        <v>84</v>
      </c>
      <c r="AJ16" s="111">
        <f>IF(AN16=0,I16,0)</f>
      </c>
      <c r="AK16" s="111">
        <f>IF(AN16=12,I16,0)</f>
      </c>
      <c r="AL16" s="111">
        <f>IF(AN16=21,I16,0)</f>
      </c>
      <c r="AN16" s="111" t="n">
        <v>21</v>
      </c>
      <c r="AO16" s="111">
        <f>H16*0</f>
      </c>
      <c r="AP16" s="111">
        <f>H16*(1-0)</f>
      </c>
      <c r="AQ16" s="153" t="s">
        <v>130</v>
      </c>
      <c r="AV16" s="111">
        <f>AW16+AX16</f>
      </c>
      <c r="AW16" s="111">
        <f>G16*AO16</f>
      </c>
      <c r="AX16" s="111">
        <f>G16*AP16</f>
      </c>
      <c r="AY16" s="153" t="s">
        <v>135</v>
      </c>
      <c r="AZ16" s="153" t="s">
        <v>136</v>
      </c>
      <c r="BA16" s="132" t="s">
        <v>137</v>
      </c>
      <c r="BC16" s="111">
        <f>AW16+AX16</f>
      </c>
      <c r="BD16" s="111">
        <f>H16/(100-BE16)*100</f>
      </c>
      <c r="BE16" s="111" t="n">
        <v>0</v>
      </c>
      <c r="BF16" s="111">
        <f>16</f>
      </c>
      <c r="BH16" s="111">
        <f>G16*AO16</f>
      </c>
      <c r="BI16" s="111">
        <f>G16*AP16</f>
      </c>
      <c r="BJ16" s="111">
        <f>G16*H16</f>
      </c>
      <c r="BK16" s="111"/>
      <c r="BL16" s="111" t="n">
        <v>11</v>
      </c>
      <c r="BW16" s="111" t="n">
        <v>21</v>
      </c>
      <c r="BX16" s="14" t="s">
        <v>142</v>
      </c>
    </row>
    <row r="17">
      <c r="A17" s="154"/>
      <c r="B17" s="155"/>
      <c r="C17" s="155"/>
      <c r="D17" s="156" t="s">
        <v>138</v>
      </c>
      <c r="E17" s="156" t="s">
        <v>139</v>
      </c>
      <c r="F17" s="155"/>
      <c r="G17" s="157" t="n">
        <v>3</v>
      </c>
      <c r="H17" s="158"/>
      <c r="I17" s="155"/>
      <c r="J17" s="155"/>
      <c r="K17" s="146"/>
    </row>
    <row r="18">
      <c r="A18" s="9" t="s">
        <v>138</v>
      </c>
      <c r="B18" s="10" t="s">
        <v>84</v>
      </c>
      <c r="C18" s="10" t="s">
        <v>143</v>
      </c>
      <c r="D18" s="14" t="s">
        <v>144</v>
      </c>
      <c r="E18" s="10"/>
      <c r="F18" s="10" t="s">
        <v>145</v>
      </c>
      <c r="G18" s="111" t="n">
        <v>50</v>
      </c>
      <c r="H18" s="152" t="n">
        <v>0</v>
      </c>
      <c r="I18" s="111">
        <f>G18*H18</f>
      </c>
      <c r="J18" s="153" t="s">
        <v>134</v>
      </c>
      <c r="K18" s="146"/>
      <c r="Z18" s="111">
        <f>IF(AQ18="5",BJ18,0)</f>
      </c>
      <c r="AB18" s="111">
        <f>IF(AQ18="1",BH18,0)</f>
      </c>
      <c r="AC18" s="111">
        <f>IF(AQ18="1",BI18,0)</f>
      </c>
      <c r="AD18" s="111">
        <f>IF(AQ18="7",BH18,0)</f>
      </c>
      <c r="AE18" s="111">
        <f>IF(AQ18="7",BI18,0)</f>
      </c>
      <c r="AF18" s="111">
        <f>IF(AQ18="2",BH18,0)</f>
      </c>
      <c r="AG18" s="111">
        <f>IF(AQ18="2",BI18,0)</f>
      </c>
      <c r="AH18" s="111">
        <f>IF(AQ18="0",BJ18,0)</f>
      </c>
      <c r="AI18" s="132" t="s">
        <v>84</v>
      </c>
      <c r="AJ18" s="111">
        <f>IF(AN18=0,I18,0)</f>
      </c>
      <c r="AK18" s="111">
        <f>IF(AN18=12,I18,0)</f>
      </c>
      <c r="AL18" s="111">
        <f>IF(AN18=21,I18,0)</f>
      </c>
      <c r="AN18" s="111" t="n">
        <v>21</v>
      </c>
      <c r="AO18" s="111">
        <f>H18*0</f>
      </c>
      <c r="AP18" s="111">
        <f>H18*(1-0)</f>
      </c>
      <c r="AQ18" s="153" t="s">
        <v>130</v>
      </c>
      <c r="AV18" s="111">
        <f>AW18+AX18</f>
      </c>
      <c r="AW18" s="111">
        <f>G18*AO18</f>
      </c>
      <c r="AX18" s="111">
        <f>G18*AP18</f>
      </c>
      <c r="AY18" s="153" t="s">
        <v>135</v>
      </c>
      <c r="AZ18" s="153" t="s">
        <v>136</v>
      </c>
      <c r="BA18" s="132" t="s">
        <v>137</v>
      </c>
      <c r="BC18" s="111">
        <f>AW18+AX18</f>
      </c>
      <c r="BD18" s="111">
        <f>H18/(100-BE18)*100</f>
      </c>
      <c r="BE18" s="111" t="n">
        <v>0</v>
      </c>
      <c r="BF18" s="111">
        <f>18</f>
      </c>
      <c r="BH18" s="111">
        <f>G18*AO18</f>
      </c>
      <c r="BI18" s="111">
        <f>G18*AP18</f>
      </c>
      <c r="BJ18" s="111">
        <f>G18*H18</f>
      </c>
      <c r="BK18" s="111"/>
      <c r="BL18" s="111" t="n">
        <v>11</v>
      </c>
      <c r="BW18" s="111" t="n">
        <v>21</v>
      </c>
      <c r="BX18" s="14" t="s">
        <v>144</v>
      </c>
    </row>
    <row r="19" customHeight="true" ht="13.5">
      <c r="A19" s="159"/>
      <c r="C19" s="160" t="s">
        <v>146</v>
      </c>
      <c r="D19" s="161" t="s">
        <v>147</v>
      </c>
      <c r="E19" s="156"/>
      <c r="F19" s="156"/>
      <c r="G19" s="156"/>
      <c r="H19" s="162"/>
      <c r="I19" s="156"/>
      <c r="J19" s="156"/>
      <c r="K19" s="163"/>
    </row>
    <row r="20">
      <c r="A20" s="154"/>
      <c r="B20" s="155"/>
      <c r="C20" s="155"/>
      <c r="D20" s="156" t="s">
        <v>148</v>
      </c>
      <c r="E20" s="156" t="s">
        <v>139</v>
      </c>
      <c r="F20" s="155"/>
      <c r="G20" s="157" t="n">
        <v>50</v>
      </c>
      <c r="H20" s="158"/>
      <c r="I20" s="155"/>
      <c r="J20" s="155"/>
      <c r="K20" s="146"/>
    </row>
    <row r="21">
      <c r="A21" s="9" t="s">
        <v>149</v>
      </c>
      <c r="B21" s="10" t="s">
        <v>84</v>
      </c>
      <c r="C21" s="10" t="s">
        <v>150</v>
      </c>
      <c r="D21" s="14" t="s">
        <v>151</v>
      </c>
      <c r="E21" s="10"/>
      <c r="F21" s="10" t="s">
        <v>145</v>
      </c>
      <c r="G21" s="111" t="n">
        <v>22.6</v>
      </c>
      <c r="H21" s="152" t="n">
        <v>0</v>
      </c>
      <c r="I21" s="111">
        <f>G21*H21</f>
      </c>
      <c r="J21" s="153" t="s">
        <v>134</v>
      </c>
      <c r="K21" s="146"/>
      <c r="Z21" s="111">
        <f>IF(AQ21="5",BJ21,0)</f>
      </c>
      <c r="AB21" s="111">
        <f>IF(AQ21="1",BH21,0)</f>
      </c>
      <c r="AC21" s="111">
        <f>IF(AQ21="1",BI21,0)</f>
      </c>
      <c r="AD21" s="111">
        <f>IF(AQ21="7",BH21,0)</f>
      </c>
      <c r="AE21" s="111">
        <f>IF(AQ21="7",BI21,0)</f>
      </c>
      <c r="AF21" s="111">
        <f>IF(AQ21="2",BH21,0)</f>
      </c>
      <c r="AG21" s="111">
        <f>IF(AQ21="2",BI21,0)</f>
      </c>
      <c r="AH21" s="111">
        <f>IF(AQ21="0",BJ21,0)</f>
      </c>
      <c r="AI21" s="132" t="s">
        <v>84</v>
      </c>
      <c r="AJ21" s="111">
        <f>IF(AN21=0,I21,0)</f>
      </c>
      <c r="AK21" s="111">
        <f>IF(AN21=12,I21,0)</f>
      </c>
      <c r="AL21" s="111">
        <f>IF(AN21=21,I21,0)</f>
      </c>
      <c r="AN21" s="111" t="n">
        <v>21</v>
      </c>
      <c r="AO21" s="111">
        <f>H21*0</f>
      </c>
      <c r="AP21" s="111">
        <f>H21*(1-0)</f>
      </c>
      <c r="AQ21" s="153" t="s">
        <v>130</v>
      </c>
      <c r="AV21" s="111">
        <f>AW21+AX21</f>
      </c>
      <c r="AW21" s="111">
        <f>G21*AO21</f>
      </c>
      <c r="AX21" s="111">
        <f>G21*AP21</f>
      </c>
      <c r="AY21" s="153" t="s">
        <v>135</v>
      </c>
      <c r="AZ21" s="153" t="s">
        <v>136</v>
      </c>
      <c r="BA21" s="132" t="s">
        <v>137</v>
      </c>
      <c r="BC21" s="111">
        <f>AW21+AX21</f>
      </c>
      <c r="BD21" s="111">
        <f>H21/(100-BE21)*100</f>
      </c>
      <c r="BE21" s="111" t="n">
        <v>0</v>
      </c>
      <c r="BF21" s="111">
        <f>21</f>
      </c>
      <c r="BH21" s="111">
        <f>G21*AO21</f>
      </c>
      <c r="BI21" s="111">
        <f>G21*AP21</f>
      </c>
      <c r="BJ21" s="111">
        <f>G21*H21</f>
      </c>
      <c r="BK21" s="111"/>
      <c r="BL21" s="111" t="n">
        <v>11</v>
      </c>
      <c r="BW21" s="111" t="n">
        <v>21</v>
      </c>
      <c r="BX21" s="14" t="s">
        <v>151</v>
      </c>
    </row>
    <row r="22">
      <c r="A22" s="154"/>
      <c r="B22" s="155"/>
      <c r="C22" s="155"/>
      <c r="D22" s="156" t="s">
        <v>152</v>
      </c>
      <c r="E22" s="156" t="s">
        <v>153</v>
      </c>
      <c r="F22" s="155"/>
      <c r="G22" s="157" t="n">
        <v>22.6</v>
      </c>
      <c r="H22" s="158"/>
      <c r="I22" s="155"/>
      <c r="J22" s="155"/>
      <c r="K22" s="146"/>
    </row>
    <row r="23">
      <c r="A23" s="147" t="s">
        <v>4</v>
      </c>
      <c r="B23" s="148" t="s">
        <v>84</v>
      </c>
      <c r="C23" s="148" t="s">
        <v>154</v>
      </c>
      <c r="D23" s="149" t="s">
        <v>155</v>
      </c>
      <c r="E23" s="148"/>
      <c r="F23" s="150" t="s">
        <v>79</v>
      </c>
      <c r="G23" s="150" t="s">
        <v>79</v>
      </c>
      <c r="H23" s="151" t="s">
        <v>79</v>
      </c>
      <c r="I23" s="117">
        <f>SUM(I24:I24)</f>
      </c>
      <c r="J23" s="132" t="s">
        <v>4</v>
      </c>
      <c r="K23" s="146"/>
      <c r="AI23" s="132" t="s">
        <v>84</v>
      </c>
      <c r="AS23" s="117">
        <f>SUM(AJ24:AJ24)</f>
      </c>
      <c r="AT23" s="117">
        <f>SUM(AK24:AK24)</f>
      </c>
      <c r="AU23" s="117">
        <f>SUM(AL24:AL24)</f>
      </c>
    </row>
    <row r="24">
      <c r="A24" s="9" t="s">
        <v>156</v>
      </c>
      <c r="B24" s="10" t="s">
        <v>84</v>
      </c>
      <c r="C24" s="10" t="s">
        <v>157</v>
      </c>
      <c r="D24" s="14" t="s">
        <v>158</v>
      </c>
      <c r="E24" s="10"/>
      <c r="F24" s="10" t="s">
        <v>159</v>
      </c>
      <c r="G24" s="111" t="n">
        <v>277.4</v>
      </c>
      <c r="H24" s="152" t="n">
        <v>0</v>
      </c>
      <c r="I24" s="111">
        <f>G24*H24</f>
      </c>
      <c r="J24" s="153" t="s">
        <v>134</v>
      </c>
      <c r="K24" s="146"/>
      <c r="Z24" s="111">
        <f>IF(AQ24="5",BJ24,0)</f>
      </c>
      <c r="AB24" s="111">
        <f>IF(AQ24="1",BH24,0)</f>
      </c>
      <c r="AC24" s="111">
        <f>IF(AQ24="1",BI24,0)</f>
      </c>
      <c r="AD24" s="111">
        <f>IF(AQ24="7",BH24,0)</f>
      </c>
      <c r="AE24" s="111">
        <f>IF(AQ24="7",BI24,0)</f>
      </c>
      <c r="AF24" s="111">
        <f>IF(AQ24="2",BH24,0)</f>
      </c>
      <c r="AG24" s="111">
        <f>IF(AQ24="2",BI24,0)</f>
      </c>
      <c r="AH24" s="111">
        <f>IF(AQ24="0",BJ24,0)</f>
      </c>
      <c r="AI24" s="132" t="s">
        <v>84</v>
      </c>
      <c r="AJ24" s="111">
        <f>IF(AN24=0,I24,0)</f>
      </c>
      <c r="AK24" s="111">
        <f>IF(AN24=12,I24,0)</f>
      </c>
      <c r="AL24" s="111">
        <f>IF(AN24=21,I24,0)</f>
      </c>
      <c r="AN24" s="111" t="n">
        <v>21</v>
      </c>
      <c r="AO24" s="111">
        <f>H24*0</f>
      </c>
      <c r="AP24" s="111">
        <f>H24*(1-0)</f>
      </c>
      <c r="AQ24" s="153" t="s">
        <v>130</v>
      </c>
      <c r="AV24" s="111">
        <f>AW24+AX24</f>
      </c>
      <c r="AW24" s="111">
        <f>G24*AO24</f>
      </c>
      <c r="AX24" s="111">
        <f>G24*AP24</f>
      </c>
      <c r="AY24" s="153" t="s">
        <v>160</v>
      </c>
      <c r="AZ24" s="153" t="s">
        <v>136</v>
      </c>
      <c r="BA24" s="132" t="s">
        <v>137</v>
      </c>
      <c r="BC24" s="111">
        <f>AW24+AX24</f>
      </c>
      <c r="BD24" s="111">
        <f>H24/(100-BE24)*100</f>
      </c>
      <c r="BE24" s="111" t="n">
        <v>0</v>
      </c>
      <c r="BF24" s="111">
        <f>24</f>
      </c>
      <c r="BH24" s="111">
        <f>G24*AO24</f>
      </c>
      <c r="BI24" s="111">
        <f>G24*AP24</f>
      </c>
      <c r="BJ24" s="111">
        <f>G24*H24</f>
      </c>
      <c r="BK24" s="111"/>
      <c r="BL24" s="111" t="n">
        <v>12</v>
      </c>
      <c r="BW24" s="111" t="n">
        <v>21</v>
      </c>
      <c r="BX24" s="14" t="s">
        <v>158</v>
      </c>
    </row>
    <row r="25">
      <c r="A25" s="154"/>
      <c r="B25" s="155"/>
      <c r="C25" s="155"/>
      <c r="D25" s="156" t="s">
        <v>161</v>
      </c>
      <c r="E25" s="156" t="s">
        <v>162</v>
      </c>
      <c r="F25" s="155"/>
      <c r="G25" s="157" t="n">
        <v>277.4</v>
      </c>
      <c r="H25" s="158"/>
      <c r="I25" s="155"/>
      <c r="J25" s="155"/>
      <c r="K25" s="146"/>
    </row>
    <row r="26">
      <c r="A26" s="147" t="s">
        <v>4</v>
      </c>
      <c r="B26" s="148" t="s">
        <v>84</v>
      </c>
      <c r="C26" s="148" t="s">
        <v>163</v>
      </c>
      <c r="D26" s="149" t="s">
        <v>164</v>
      </c>
      <c r="E26" s="148"/>
      <c r="F26" s="150" t="s">
        <v>79</v>
      </c>
      <c r="G26" s="150" t="s">
        <v>79</v>
      </c>
      <c r="H26" s="151" t="s">
        <v>79</v>
      </c>
      <c r="I26" s="117">
        <f>SUM(I27:I48)</f>
      </c>
      <c r="J26" s="132" t="s">
        <v>4</v>
      </c>
      <c r="K26" s="146"/>
      <c r="AI26" s="132" t="s">
        <v>84</v>
      </c>
      <c r="AS26" s="117">
        <f>SUM(AJ27:AJ48)</f>
      </c>
      <c r="AT26" s="117">
        <f>SUM(AK27:AK48)</f>
      </c>
      <c r="AU26" s="117">
        <f>SUM(AL27:AL48)</f>
      </c>
    </row>
    <row r="27">
      <c r="A27" s="9" t="s">
        <v>165</v>
      </c>
      <c r="B27" s="10" t="s">
        <v>84</v>
      </c>
      <c r="C27" s="10" t="s">
        <v>166</v>
      </c>
      <c r="D27" s="14" t="s">
        <v>167</v>
      </c>
      <c r="E27" s="10"/>
      <c r="F27" s="10" t="s">
        <v>159</v>
      </c>
      <c r="G27" s="111" t="n">
        <v>20.284</v>
      </c>
      <c r="H27" s="152" t="n">
        <v>0</v>
      </c>
      <c r="I27" s="111">
        <f>G27*H27</f>
      </c>
      <c r="J27" s="153" t="s">
        <v>134</v>
      </c>
      <c r="K27" s="146"/>
      <c r="Z27" s="111">
        <f>IF(AQ27="5",BJ27,0)</f>
      </c>
      <c r="AB27" s="111">
        <f>IF(AQ27="1",BH27,0)</f>
      </c>
      <c r="AC27" s="111">
        <f>IF(AQ27="1",BI27,0)</f>
      </c>
      <c r="AD27" s="111">
        <f>IF(AQ27="7",BH27,0)</f>
      </c>
      <c r="AE27" s="111">
        <f>IF(AQ27="7",BI27,0)</f>
      </c>
      <c r="AF27" s="111">
        <f>IF(AQ27="2",BH27,0)</f>
      </c>
      <c r="AG27" s="111">
        <f>IF(AQ27="2",BI27,0)</f>
      </c>
      <c r="AH27" s="111">
        <f>IF(AQ27="0",BJ27,0)</f>
      </c>
      <c r="AI27" s="132" t="s">
        <v>84</v>
      </c>
      <c r="AJ27" s="111">
        <f>IF(AN27=0,I27,0)</f>
      </c>
      <c r="AK27" s="111">
        <f>IF(AN27=12,I27,0)</f>
      </c>
      <c r="AL27" s="111">
        <f>IF(AN27=21,I27,0)</f>
      </c>
      <c r="AN27" s="111" t="n">
        <v>21</v>
      </c>
      <c r="AO27" s="111">
        <f>H27*0</f>
      </c>
      <c r="AP27" s="111">
        <f>H27*(1-0)</f>
      </c>
      <c r="AQ27" s="153" t="s">
        <v>130</v>
      </c>
      <c r="AV27" s="111">
        <f>AW27+AX27</f>
      </c>
      <c r="AW27" s="111">
        <f>G27*AO27</f>
      </c>
      <c r="AX27" s="111">
        <f>G27*AP27</f>
      </c>
      <c r="AY27" s="153" t="s">
        <v>168</v>
      </c>
      <c r="AZ27" s="153" t="s">
        <v>136</v>
      </c>
      <c r="BA27" s="132" t="s">
        <v>137</v>
      </c>
      <c r="BC27" s="111">
        <f>AW27+AX27</f>
      </c>
      <c r="BD27" s="111">
        <f>H27/(100-BE27)*100</f>
      </c>
      <c r="BE27" s="111" t="n">
        <v>0</v>
      </c>
      <c r="BF27" s="111">
        <f>27</f>
      </c>
      <c r="BH27" s="111">
        <f>G27*AO27</f>
      </c>
      <c r="BI27" s="111">
        <f>G27*AP27</f>
      </c>
      <c r="BJ27" s="111">
        <f>G27*H27</f>
      </c>
      <c r="BK27" s="111"/>
      <c r="BL27" s="111" t="n">
        <v>13</v>
      </c>
      <c r="BW27" s="111" t="n">
        <v>21</v>
      </c>
      <c r="BX27" s="14" t="s">
        <v>167</v>
      </c>
    </row>
    <row r="28">
      <c r="A28" s="154"/>
      <c r="B28" s="155"/>
      <c r="C28" s="155"/>
      <c r="D28" s="156" t="s">
        <v>169</v>
      </c>
      <c r="E28" s="156" t="s">
        <v>170</v>
      </c>
      <c r="F28" s="155"/>
      <c r="G28" s="157" t="n">
        <v>6</v>
      </c>
      <c r="H28" s="158"/>
      <c r="I28" s="155"/>
      <c r="J28" s="155"/>
      <c r="K28" s="146"/>
    </row>
    <row r="29">
      <c r="A29" s="154"/>
      <c r="B29" s="155"/>
      <c r="C29" s="155"/>
      <c r="D29" s="156" t="s">
        <v>171</v>
      </c>
      <c r="E29" s="156" t="s">
        <v>172</v>
      </c>
      <c r="F29" s="155"/>
      <c r="G29" s="157" t="n">
        <v>14.284</v>
      </c>
      <c r="H29" s="158"/>
      <c r="I29" s="155"/>
      <c r="J29" s="155"/>
      <c r="K29" s="146"/>
    </row>
    <row r="30">
      <c r="A30" s="9" t="s">
        <v>173</v>
      </c>
      <c r="B30" s="10" t="s">
        <v>84</v>
      </c>
      <c r="C30" s="10" t="s">
        <v>174</v>
      </c>
      <c r="D30" s="14" t="s">
        <v>175</v>
      </c>
      <c r="E30" s="10"/>
      <c r="F30" s="10" t="s">
        <v>159</v>
      </c>
      <c r="G30" s="111" t="n">
        <v>20.284</v>
      </c>
      <c r="H30" s="152" t="n">
        <v>0</v>
      </c>
      <c r="I30" s="111">
        <f>G30*H30</f>
      </c>
      <c r="J30" s="153" t="s">
        <v>134</v>
      </c>
      <c r="K30" s="146"/>
      <c r="Z30" s="111">
        <f>IF(AQ30="5",BJ30,0)</f>
      </c>
      <c r="AB30" s="111">
        <f>IF(AQ30="1",BH30,0)</f>
      </c>
      <c r="AC30" s="111">
        <f>IF(AQ30="1",BI30,0)</f>
      </c>
      <c r="AD30" s="111">
        <f>IF(AQ30="7",BH30,0)</f>
      </c>
      <c r="AE30" s="111">
        <f>IF(AQ30="7",BI30,0)</f>
      </c>
      <c r="AF30" s="111">
        <f>IF(AQ30="2",BH30,0)</f>
      </c>
      <c r="AG30" s="111">
        <f>IF(AQ30="2",BI30,0)</f>
      </c>
      <c r="AH30" s="111">
        <f>IF(AQ30="0",BJ30,0)</f>
      </c>
      <c r="AI30" s="132" t="s">
        <v>84</v>
      </c>
      <c r="AJ30" s="111">
        <f>IF(AN30=0,I30,0)</f>
      </c>
      <c r="AK30" s="111">
        <f>IF(AN30=12,I30,0)</f>
      </c>
      <c r="AL30" s="111">
        <f>IF(AN30=21,I30,0)</f>
      </c>
      <c r="AN30" s="111" t="n">
        <v>21</v>
      </c>
      <c r="AO30" s="111">
        <f>H30*0</f>
      </c>
      <c r="AP30" s="111">
        <f>H30*(1-0)</f>
      </c>
      <c r="AQ30" s="153" t="s">
        <v>130</v>
      </c>
      <c r="AV30" s="111">
        <f>AW30+AX30</f>
      </c>
      <c r="AW30" s="111">
        <f>G30*AO30</f>
      </c>
      <c r="AX30" s="111">
        <f>G30*AP30</f>
      </c>
      <c r="AY30" s="153" t="s">
        <v>168</v>
      </c>
      <c r="AZ30" s="153" t="s">
        <v>136</v>
      </c>
      <c r="BA30" s="132" t="s">
        <v>137</v>
      </c>
      <c r="BC30" s="111">
        <f>AW30+AX30</f>
      </c>
      <c r="BD30" s="111">
        <f>H30/(100-BE30)*100</f>
      </c>
      <c r="BE30" s="111" t="n">
        <v>0</v>
      </c>
      <c r="BF30" s="111">
        <f>30</f>
      </c>
      <c r="BH30" s="111">
        <f>G30*AO30</f>
      </c>
      <c r="BI30" s="111">
        <f>G30*AP30</f>
      </c>
      <c r="BJ30" s="111">
        <f>G30*H30</f>
      </c>
      <c r="BK30" s="111"/>
      <c r="BL30" s="111" t="n">
        <v>13</v>
      </c>
      <c r="BW30" s="111" t="n">
        <v>21</v>
      </c>
      <c r="BX30" s="14" t="s">
        <v>175</v>
      </c>
    </row>
    <row r="31">
      <c r="A31" s="154"/>
      <c r="B31" s="155"/>
      <c r="C31" s="155"/>
      <c r="D31" s="156" t="s">
        <v>169</v>
      </c>
      <c r="E31" s="156" t="s">
        <v>170</v>
      </c>
      <c r="F31" s="155"/>
      <c r="G31" s="157" t="n">
        <v>6</v>
      </c>
      <c r="H31" s="158"/>
      <c r="I31" s="155"/>
      <c r="J31" s="155"/>
      <c r="K31" s="146"/>
    </row>
    <row r="32">
      <c r="A32" s="154"/>
      <c r="B32" s="155"/>
      <c r="C32" s="155"/>
      <c r="D32" s="156" t="s">
        <v>171</v>
      </c>
      <c r="E32" s="156" t="s">
        <v>172</v>
      </c>
      <c r="F32" s="155"/>
      <c r="G32" s="157" t="n">
        <v>14.284</v>
      </c>
      <c r="H32" s="158"/>
      <c r="I32" s="155"/>
      <c r="J32" s="155"/>
      <c r="K32" s="146"/>
    </row>
    <row r="33">
      <c r="A33" s="9" t="s">
        <v>176</v>
      </c>
      <c r="B33" s="10" t="s">
        <v>84</v>
      </c>
      <c r="C33" s="10" t="s">
        <v>177</v>
      </c>
      <c r="D33" s="14" t="s">
        <v>178</v>
      </c>
      <c r="E33" s="10"/>
      <c r="F33" s="10" t="s">
        <v>159</v>
      </c>
      <c r="G33" s="111" t="n">
        <v>825.2</v>
      </c>
      <c r="H33" s="152" t="n">
        <v>0</v>
      </c>
      <c r="I33" s="111">
        <f>G33*H33</f>
      </c>
      <c r="J33" s="153" t="s">
        <v>134</v>
      </c>
      <c r="K33" s="146"/>
      <c r="Z33" s="111">
        <f>IF(AQ33="5",BJ33,0)</f>
      </c>
      <c r="AB33" s="111">
        <f>IF(AQ33="1",BH33,0)</f>
      </c>
      <c r="AC33" s="111">
        <f>IF(AQ33="1",BI33,0)</f>
      </c>
      <c r="AD33" s="111">
        <f>IF(AQ33="7",BH33,0)</f>
      </c>
      <c r="AE33" s="111">
        <f>IF(AQ33="7",BI33,0)</f>
      </c>
      <c r="AF33" s="111">
        <f>IF(AQ33="2",BH33,0)</f>
      </c>
      <c r="AG33" s="111">
        <f>IF(AQ33="2",BI33,0)</f>
      </c>
      <c r="AH33" s="111">
        <f>IF(AQ33="0",BJ33,0)</f>
      </c>
      <c r="AI33" s="132" t="s">
        <v>84</v>
      </c>
      <c r="AJ33" s="111">
        <f>IF(AN33=0,I33,0)</f>
      </c>
      <c r="AK33" s="111">
        <f>IF(AN33=12,I33,0)</f>
      </c>
      <c r="AL33" s="111">
        <f>IF(AN33=21,I33,0)</f>
      </c>
      <c r="AN33" s="111" t="n">
        <v>21</v>
      </c>
      <c r="AO33" s="111">
        <f>H33*0</f>
      </c>
      <c r="AP33" s="111">
        <f>H33*(1-0)</f>
      </c>
      <c r="AQ33" s="153" t="s">
        <v>130</v>
      </c>
      <c r="AV33" s="111">
        <f>AW33+AX33</f>
      </c>
      <c r="AW33" s="111">
        <f>G33*AO33</f>
      </c>
      <c r="AX33" s="111">
        <f>G33*AP33</f>
      </c>
      <c r="AY33" s="153" t="s">
        <v>168</v>
      </c>
      <c r="AZ33" s="153" t="s">
        <v>136</v>
      </c>
      <c r="BA33" s="132" t="s">
        <v>137</v>
      </c>
      <c r="BC33" s="111">
        <f>AW33+AX33</f>
      </c>
      <c r="BD33" s="111">
        <f>H33/(100-BE33)*100</f>
      </c>
      <c r="BE33" s="111" t="n">
        <v>0</v>
      </c>
      <c r="BF33" s="111">
        <f>33</f>
      </c>
      <c r="BH33" s="111">
        <f>G33*AO33</f>
      </c>
      <c r="BI33" s="111">
        <f>G33*AP33</f>
      </c>
      <c r="BJ33" s="111">
        <f>G33*H33</f>
      </c>
      <c r="BK33" s="111"/>
      <c r="BL33" s="111" t="n">
        <v>13</v>
      </c>
      <c r="BW33" s="111" t="n">
        <v>21</v>
      </c>
      <c r="BX33" s="14" t="s">
        <v>178</v>
      </c>
    </row>
    <row r="34">
      <c r="A34" s="154"/>
      <c r="B34" s="155"/>
      <c r="C34" s="155"/>
      <c r="D34" s="156" t="s">
        <v>179</v>
      </c>
      <c r="E34" s="156" t="s">
        <v>180</v>
      </c>
      <c r="F34" s="155"/>
      <c r="G34" s="157" t="n">
        <v>818.1</v>
      </c>
      <c r="H34" s="158"/>
      <c r="I34" s="155"/>
      <c r="J34" s="155"/>
      <c r="K34" s="146"/>
    </row>
    <row r="35">
      <c r="A35" s="154"/>
      <c r="B35" s="155"/>
      <c r="C35" s="155"/>
      <c r="D35" s="156" t="s">
        <v>181</v>
      </c>
      <c r="E35" s="156" t="s">
        <v>182</v>
      </c>
      <c r="F35" s="155"/>
      <c r="G35" s="157" t="n">
        <v>7.1</v>
      </c>
      <c r="H35" s="158"/>
      <c r="I35" s="155"/>
      <c r="J35" s="155"/>
      <c r="K35" s="146"/>
    </row>
    <row r="36">
      <c r="A36" s="9" t="s">
        <v>183</v>
      </c>
      <c r="B36" s="10" t="s">
        <v>84</v>
      </c>
      <c r="C36" s="10" t="s">
        <v>184</v>
      </c>
      <c r="D36" s="14" t="s">
        <v>185</v>
      </c>
      <c r="E36" s="10"/>
      <c r="F36" s="10" t="s">
        <v>159</v>
      </c>
      <c r="G36" s="111" t="n">
        <v>825.2</v>
      </c>
      <c r="H36" s="152" t="n">
        <v>0</v>
      </c>
      <c r="I36" s="111">
        <f>G36*H36</f>
      </c>
      <c r="J36" s="153" t="s">
        <v>134</v>
      </c>
      <c r="K36" s="146"/>
      <c r="Z36" s="111">
        <f>IF(AQ36="5",BJ36,0)</f>
      </c>
      <c r="AB36" s="111">
        <f>IF(AQ36="1",BH36,0)</f>
      </c>
      <c r="AC36" s="111">
        <f>IF(AQ36="1",BI36,0)</f>
      </c>
      <c r="AD36" s="111">
        <f>IF(AQ36="7",BH36,0)</f>
      </c>
      <c r="AE36" s="111">
        <f>IF(AQ36="7",BI36,0)</f>
      </c>
      <c r="AF36" s="111">
        <f>IF(AQ36="2",BH36,0)</f>
      </c>
      <c r="AG36" s="111">
        <f>IF(AQ36="2",BI36,0)</f>
      </c>
      <c r="AH36" s="111">
        <f>IF(AQ36="0",BJ36,0)</f>
      </c>
      <c r="AI36" s="132" t="s">
        <v>84</v>
      </c>
      <c r="AJ36" s="111">
        <f>IF(AN36=0,I36,0)</f>
      </c>
      <c r="AK36" s="111">
        <f>IF(AN36=12,I36,0)</f>
      </c>
      <c r="AL36" s="111">
        <f>IF(AN36=21,I36,0)</f>
      </c>
      <c r="AN36" s="111" t="n">
        <v>21</v>
      </c>
      <c r="AO36" s="111">
        <f>H36*0</f>
      </c>
      <c r="AP36" s="111">
        <f>H36*(1-0)</f>
      </c>
      <c r="AQ36" s="153" t="s">
        <v>130</v>
      </c>
      <c r="AV36" s="111">
        <f>AW36+AX36</f>
      </c>
      <c r="AW36" s="111">
        <f>G36*AO36</f>
      </c>
      <c r="AX36" s="111">
        <f>G36*AP36</f>
      </c>
      <c r="AY36" s="153" t="s">
        <v>168</v>
      </c>
      <c r="AZ36" s="153" t="s">
        <v>136</v>
      </c>
      <c r="BA36" s="132" t="s">
        <v>137</v>
      </c>
      <c r="BC36" s="111">
        <f>AW36+AX36</f>
      </c>
      <c r="BD36" s="111">
        <f>H36/(100-BE36)*100</f>
      </c>
      <c r="BE36" s="111" t="n">
        <v>0</v>
      </c>
      <c r="BF36" s="111">
        <f>36</f>
      </c>
      <c r="BH36" s="111">
        <f>G36*AO36</f>
      </c>
      <c r="BI36" s="111">
        <f>G36*AP36</f>
      </c>
      <c r="BJ36" s="111">
        <f>G36*H36</f>
      </c>
      <c r="BK36" s="111"/>
      <c r="BL36" s="111" t="n">
        <v>13</v>
      </c>
      <c r="BW36" s="111" t="n">
        <v>21</v>
      </c>
      <c r="BX36" s="14" t="s">
        <v>185</v>
      </c>
    </row>
    <row r="37">
      <c r="A37" s="9" t="s">
        <v>186</v>
      </c>
      <c r="B37" s="10" t="s">
        <v>84</v>
      </c>
      <c r="C37" s="10" t="s">
        <v>187</v>
      </c>
      <c r="D37" s="14" t="s">
        <v>188</v>
      </c>
      <c r="E37" s="10"/>
      <c r="F37" s="10" t="s">
        <v>159</v>
      </c>
      <c r="G37" s="111" t="n">
        <v>116.70052</v>
      </c>
      <c r="H37" s="152" t="n">
        <v>0</v>
      </c>
      <c r="I37" s="111">
        <f>G37*H37</f>
      </c>
      <c r="J37" s="153" t="s">
        <v>134</v>
      </c>
      <c r="K37" s="146"/>
      <c r="Z37" s="111">
        <f>IF(AQ37="5",BJ37,0)</f>
      </c>
      <c r="AB37" s="111">
        <f>IF(AQ37="1",BH37,0)</f>
      </c>
      <c r="AC37" s="111">
        <f>IF(AQ37="1",BI37,0)</f>
      </c>
      <c r="AD37" s="111">
        <f>IF(AQ37="7",BH37,0)</f>
      </c>
      <c r="AE37" s="111">
        <f>IF(AQ37="7",BI37,0)</f>
      </c>
      <c r="AF37" s="111">
        <f>IF(AQ37="2",BH37,0)</f>
      </c>
      <c r="AG37" s="111">
        <f>IF(AQ37="2",BI37,0)</f>
      </c>
      <c r="AH37" s="111">
        <f>IF(AQ37="0",BJ37,0)</f>
      </c>
      <c r="AI37" s="132" t="s">
        <v>84</v>
      </c>
      <c r="AJ37" s="111">
        <f>IF(AN37=0,I37,0)</f>
      </c>
      <c r="AK37" s="111">
        <f>IF(AN37=12,I37,0)</f>
      </c>
      <c r="AL37" s="111">
        <f>IF(AN37=21,I37,0)</f>
      </c>
      <c r="AN37" s="111" t="n">
        <v>21</v>
      </c>
      <c r="AO37" s="111">
        <f>H37*0</f>
      </c>
      <c r="AP37" s="111">
        <f>H37*(1-0)</f>
      </c>
      <c r="AQ37" s="153" t="s">
        <v>130</v>
      </c>
      <c r="AV37" s="111">
        <f>AW37+AX37</f>
      </c>
      <c r="AW37" s="111">
        <f>G37*AO37</f>
      </c>
      <c r="AX37" s="111">
        <f>G37*AP37</f>
      </c>
      <c r="AY37" s="153" t="s">
        <v>168</v>
      </c>
      <c r="AZ37" s="153" t="s">
        <v>136</v>
      </c>
      <c r="BA37" s="132" t="s">
        <v>137</v>
      </c>
      <c r="BC37" s="111">
        <f>AW37+AX37</f>
      </c>
      <c r="BD37" s="111">
        <f>H37/(100-BE37)*100</f>
      </c>
      <c r="BE37" s="111" t="n">
        <v>0</v>
      </c>
      <c r="BF37" s="111">
        <f>37</f>
      </c>
      <c r="BH37" s="111">
        <f>G37*AO37</f>
      </c>
      <c r="BI37" s="111">
        <f>G37*AP37</f>
      </c>
      <c r="BJ37" s="111">
        <f>G37*H37</f>
      </c>
      <c r="BK37" s="111"/>
      <c r="BL37" s="111" t="n">
        <v>13</v>
      </c>
      <c r="BW37" s="111" t="n">
        <v>21</v>
      </c>
      <c r="BX37" s="14" t="s">
        <v>188</v>
      </c>
    </row>
    <row r="38" customHeight="true" ht="13.5">
      <c r="A38" s="159"/>
      <c r="C38" s="160" t="s">
        <v>146</v>
      </c>
      <c r="D38" s="161" t="s">
        <v>189</v>
      </c>
      <c r="E38" s="156"/>
      <c r="F38" s="156"/>
      <c r="G38" s="156"/>
      <c r="H38" s="162"/>
      <c r="I38" s="156"/>
      <c r="J38" s="156"/>
      <c r="K38" s="163"/>
    </row>
    <row r="39">
      <c r="A39" s="154"/>
      <c r="B39" s="155"/>
      <c r="C39" s="155"/>
      <c r="D39" s="156" t="s">
        <v>190</v>
      </c>
      <c r="E39" s="156" t="s">
        <v>191</v>
      </c>
      <c r="F39" s="155"/>
      <c r="G39" s="157" t="n">
        <v>26.8056</v>
      </c>
      <c r="H39" s="158"/>
      <c r="I39" s="155"/>
      <c r="J39" s="155"/>
      <c r="K39" s="146"/>
    </row>
    <row r="40">
      <c r="A40" s="154"/>
      <c r="B40" s="155"/>
      <c r="C40" s="155"/>
      <c r="D40" s="156" t="s">
        <v>192</v>
      </c>
      <c r="E40" s="156" t="s">
        <v>4</v>
      </c>
      <c r="F40" s="155"/>
      <c r="G40" s="157" t="n">
        <v>11.1528</v>
      </c>
      <c r="H40" s="158"/>
      <c r="I40" s="155"/>
      <c r="J40" s="155"/>
      <c r="K40" s="146"/>
    </row>
    <row r="41">
      <c r="A41" s="154"/>
      <c r="B41" s="155"/>
      <c r="C41" s="155"/>
      <c r="D41" s="156" t="s">
        <v>193</v>
      </c>
      <c r="E41" s="156" t="s">
        <v>4</v>
      </c>
      <c r="F41" s="155"/>
      <c r="G41" s="157" t="n">
        <v>19.1016</v>
      </c>
      <c r="H41" s="158"/>
      <c r="I41" s="155"/>
      <c r="J41" s="155"/>
      <c r="K41" s="146"/>
    </row>
    <row r="42">
      <c r="A42" s="154"/>
      <c r="B42" s="155"/>
      <c r="C42" s="155"/>
      <c r="D42" s="156" t="s">
        <v>194</v>
      </c>
      <c r="E42" s="156" t="s">
        <v>4</v>
      </c>
      <c r="F42" s="155"/>
      <c r="G42" s="157" t="n">
        <v>4.09725</v>
      </c>
      <c r="H42" s="158"/>
      <c r="I42" s="155"/>
      <c r="J42" s="155"/>
      <c r="K42" s="146"/>
    </row>
    <row r="43">
      <c r="A43" s="154"/>
      <c r="B43" s="155"/>
      <c r="C43" s="155"/>
      <c r="D43" s="156" t="s">
        <v>195</v>
      </c>
      <c r="E43" s="156" t="s">
        <v>4</v>
      </c>
      <c r="F43" s="155"/>
      <c r="G43" s="157" t="n">
        <v>21.4047</v>
      </c>
      <c r="H43" s="158"/>
      <c r="I43" s="155"/>
      <c r="J43" s="155"/>
      <c r="K43" s="146"/>
    </row>
    <row r="44">
      <c r="A44" s="154"/>
      <c r="B44" s="155"/>
      <c r="C44" s="155"/>
      <c r="D44" s="156" t="s">
        <v>196</v>
      </c>
      <c r="E44" s="156" t="s">
        <v>4</v>
      </c>
      <c r="F44" s="155"/>
      <c r="G44" s="157" t="n">
        <v>2.8926</v>
      </c>
      <c r="H44" s="158"/>
      <c r="I44" s="155"/>
      <c r="J44" s="155"/>
      <c r="K44" s="146"/>
    </row>
    <row r="45">
      <c r="A45" s="154"/>
      <c r="B45" s="155"/>
      <c r="C45" s="155"/>
      <c r="D45" s="156" t="s">
        <v>197</v>
      </c>
      <c r="E45" s="156" t="s">
        <v>4</v>
      </c>
      <c r="F45" s="155"/>
      <c r="G45" s="157" t="n">
        <v>19.2375</v>
      </c>
      <c r="H45" s="158"/>
      <c r="I45" s="155"/>
      <c r="J45" s="155"/>
      <c r="K45" s="146"/>
    </row>
    <row r="46">
      <c r="A46" s="154"/>
      <c r="B46" s="155"/>
      <c r="C46" s="155"/>
      <c r="D46" s="156" t="s">
        <v>198</v>
      </c>
      <c r="E46" s="156" t="s">
        <v>4</v>
      </c>
      <c r="F46" s="155"/>
      <c r="G46" s="157" t="n">
        <v>9.38475</v>
      </c>
      <c r="H46" s="158"/>
      <c r="I46" s="155"/>
      <c r="J46" s="155"/>
      <c r="K46" s="146"/>
    </row>
    <row r="47">
      <c r="A47" s="154"/>
      <c r="B47" s="155"/>
      <c r="C47" s="155"/>
      <c r="D47" s="156" t="s">
        <v>199</v>
      </c>
      <c r="E47" s="156" t="s">
        <v>4</v>
      </c>
      <c r="F47" s="155"/>
      <c r="G47" s="157" t="n">
        <v>2.62372</v>
      </c>
      <c r="H47" s="158"/>
      <c r="I47" s="155"/>
      <c r="J47" s="155"/>
      <c r="K47" s="146"/>
    </row>
    <row r="48">
      <c r="A48" s="9" t="s">
        <v>128</v>
      </c>
      <c r="B48" s="10" t="s">
        <v>84</v>
      </c>
      <c r="C48" s="10" t="s">
        <v>200</v>
      </c>
      <c r="D48" s="14" t="s">
        <v>201</v>
      </c>
      <c r="E48" s="10"/>
      <c r="F48" s="10" t="s">
        <v>159</v>
      </c>
      <c r="G48" s="111" t="n">
        <v>116.7</v>
      </c>
      <c r="H48" s="152" t="n">
        <v>0</v>
      </c>
      <c r="I48" s="111">
        <f>G48*H48</f>
      </c>
      <c r="J48" s="153" t="s">
        <v>134</v>
      </c>
      <c r="K48" s="146"/>
      <c r="Z48" s="111">
        <f>IF(AQ48="5",BJ48,0)</f>
      </c>
      <c r="AB48" s="111">
        <f>IF(AQ48="1",BH48,0)</f>
      </c>
      <c r="AC48" s="111">
        <f>IF(AQ48="1",BI48,0)</f>
      </c>
      <c r="AD48" s="111">
        <f>IF(AQ48="7",BH48,0)</f>
      </c>
      <c r="AE48" s="111">
        <f>IF(AQ48="7",BI48,0)</f>
      </c>
      <c r="AF48" s="111">
        <f>IF(AQ48="2",BH48,0)</f>
      </c>
      <c r="AG48" s="111">
        <f>IF(AQ48="2",BI48,0)</f>
      </c>
      <c r="AH48" s="111">
        <f>IF(AQ48="0",BJ48,0)</f>
      </c>
      <c r="AI48" s="132" t="s">
        <v>84</v>
      </c>
      <c r="AJ48" s="111">
        <f>IF(AN48=0,I48,0)</f>
      </c>
      <c r="AK48" s="111">
        <f>IF(AN48=12,I48,0)</f>
      </c>
      <c r="AL48" s="111">
        <f>IF(AN48=21,I48,0)</f>
      </c>
      <c r="AN48" s="111" t="n">
        <v>21</v>
      </c>
      <c r="AO48" s="111">
        <f>H48*0</f>
      </c>
      <c r="AP48" s="111">
        <f>H48*(1-0)</f>
      </c>
      <c r="AQ48" s="153" t="s">
        <v>130</v>
      </c>
      <c r="AV48" s="111">
        <f>AW48+AX48</f>
      </c>
      <c r="AW48" s="111">
        <f>G48*AO48</f>
      </c>
      <c r="AX48" s="111">
        <f>G48*AP48</f>
      </c>
      <c r="AY48" s="153" t="s">
        <v>168</v>
      </c>
      <c r="AZ48" s="153" t="s">
        <v>136</v>
      </c>
      <c r="BA48" s="132" t="s">
        <v>137</v>
      </c>
      <c r="BC48" s="111">
        <f>AW48+AX48</f>
      </c>
      <c r="BD48" s="111">
        <f>H48/(100-BE48)*100</f>
      </c>
      <c r="BE48" s="111" t="n">
        <v>0</v>
      </c>
      <c r="BF48" s="111">
        <f>48</f>
      </c>
      <c r="BH48" s="111">
        <f>G48*AO48</f>
      </c>
      <c r="BI48" s="111">
        <f>G48*AP48</f>
      </c>
      <c r="BJ48" s="111">
        <f>G48*H48</f>
      </c>
      <c r="BK48" s="111"/>
      <c r="BL48" s="111" t="n">
        <v>13</v>
      </c>
      <c r="BW48" s="111" t="n">
        <v>21</v>
      </c>
      <c r="BX48" s="14" t="s">
        <v>201</v>
      </c>
    </row>
    <row r="49">
      <c r="A49" s="147" t="s">
        <v>4</v>
      </c>
      <c r="B49" s="148" t="s">
        <v>84</v>
      </c>
      <c r="C49" s="148" t="s">
        <v>202</v>
      </c>
      <c r="D49" s="149" t="s">
        <v>203</v>
      </c>
      <c r="E49" s="148"/>
      <c r="F49" s="150" t="s">
        <v>79</v>
      </c>
      <c r="G49" s="150" t="s">
        <v>79</v>
      </c>
      <c r="H49" s="151" t="s">
        <v>79</v>
      </c>
      <c r="I49" s="117">
        <f>SUM(I50:I65)</f>
      </c>
      <c r="J49" s="132" t="s">
        <v>4</v>
      </c>
      <c r="K49" s="146"/>
      <c r="AI49" s="132" t="s">
        <v>84</v>
      </c>
      <c r="AS49" s="117">
        <f>SUM(AJ50:AJ65)</f>
      </c>
      <c r="AT49" s="117">
        <f>SUM(AK50:AK65)</f>
      </c>
      <c r="AU49" s="117">
        <f>SUM(AL50:AL65)</f>
      </c>
    </row>
    <row r="50">
      <c r="A50" s="9" t="s">
        <v>154</v>
      </c>
      <c r="B50" s="10" t="s">
        <v>84</v>
      </c>
      <c r="C50" s="10" t="s">
        <v>204</v>
      </c>
      <c r="D50" s="14" t="s">
        <v>205</v>
      </c>
      <c r="E50" s="10"/>
      <c r="F50" s="10" t="s">
        <v>159</v>
      </c>
      <c r="G50" s="111" t="n">
        <v>26.3692</v>
      </c>
      <c r="H50" s="152" t="n">
        <v>0</v>
      </c>
      <c r="I50" s="111">
        <f>G50*H50</f>
      </c>
      <c r="J50" s="153" t="s">
        <v>134</v>
      </c>
      <c r="K50" s="146"/>
      <c r="Z50" s="111">
        <f>IF(AQ50="5",BJ50,0)</f>
      </c>
      <c r="AB50" s="111">
        <f>IF(AQ50="1",BH50,0)</f>
      </c>
      <c r="AC50" s="111">
        <f>IF(AQ50="1",BI50,0)</f>
      </c>
      <c r="AD50" s="111">
        <f>IF(AQ50="7",BH50,0)</f>
      </c>
      <c r="AE50" s="111">
        <f>IF(AQ50="7",BI50,0)</f>
      </c>
      <c r="AF50" s="111">
        <f>IF(AQ50="2",BH50,0)</f>
      </c>
      <c r="AG50" s="111">
        <f>IF(AQ50="2",BI50,0)</f>
      </c>
      <c r="AH50" s="111">
        <f>IF(AQ50="0",BJ50,0)</f>
      </c>
      <c r="AI50" s="132" t="s">
        <v>84</v>
      </c>
      <c r="AJ50" s="111">
        <f>IF(AN50=0,I50,0)</f>
      </c>
      <c r="AK50" s="111">
        <f>IF(AN50=12,I50,0)</f>
      </c>
      <c r="AL50" s="111">
        <f>IF(AN50=21,I50,0)</f>
      </c>
      <c r="AN50" s="111" t="n">
        <v>21</v>
      </c>
      <c r="AO50" s="111">
        <f>H50*0</f>
      </c>
      <c r="AP50" s="111">
        <f>H50*(1-0)</f>
      </c>
      <c r="AQ50" s="153" t="s">
        <v>130</v>
      </c>
      <c r="AV50" s="111">
        <f>AW50+AX50</f>
      </c>
      <c r="AW50" s="111">
        <f>G50*AO50</f>
      </c>
      <c r="AX50" s="111">
        <f>G50*AP50</f>
      </c>
      <c r="AY50" s="153" t="s">
        <v>206</v>
      </c>
      <c r="AZ50" s="153" t="s">
        <v>136</v>
      </c>
      <c r="BA50" s="132" t="s">
        <v>137</v>
      </c>
      <c r="BC50" s="111">
        <f>AW50+AX50</f>
      </c>
      <c r="BD50" s="111">
        <f>H50/(100-BE50)*100</f>
      </c>
      <c r="BE50" s="111" t="n">
        <v>0</v>
      </c>
      <c r="BF50" s="111">
        <f>50</f>
      </c>
      <c r="BH50" s="111">
        <f>G50*AO50</f>
      </c>
      <c r="BI50" s="111">
        <f>G50*AP50</f>
      </c>
      <c r="BJ50" s="111">
        <f>G50*H50</f>
      </c>
      <c r="BK50" s="111"/>
      <c r="BL50" s="111" t="n">
        <v>16</v>
      </c>
      <c r="BW50" s="111" t="n">
        <v>21</v>
      </c>
      <c r="BX50" s="14" t="s">
        <v>205</v>
      </c>
    </row>
    <row r="51">
      <c r="A51" s="154"/>
      <c r="B51" s="155"/>
      <c r="C51" s="155"/>
      <c r="D51" s="156" t="s">
        <v>207</v>
      </c>
      <c r="E51" s="156" t="s">
        <v>208</v>
      </c>
      <c r="F51" s="155"/>
      <c r="G51" s="157" t="n">
        <v>26.3692</v>
      </c>
      <c r="H51" s="158"/>
      <c r="I51" s="155"/>
      <c r="J51" s="155"/>
      <c r="K51" s="146"/>
    </row>
    <row r="52">
      <c r="A52" s="9" t="s">
        <v>163</v>
      </c>
      <c r="B52" s="10" t="s">
        <v>84</v>
      </c>
      <c r="C52" s="10" t="s">
        <v>209</v>
      </c>
      <c r="D52" s="14" t="s">
        <v>210</v>
      </c>
      <c r="E52" s="10"/>
      <c r="F52" s="10" t="s">
        <v>159</v>
      </c>
      <c r="G52" s="111" t="n">
        <v>52.7384</v>
      </c>
      <c r="H52" s="152" t="n">
        <v>0</v>
      </c>
      <c r="I52" s="111">
        <f>G52*H52</f>
      </c>
      <c r="J52" s="153" t="s">
        <v>134</v>
      </c>
      <c r="K52" s="146"/>
      <c r="Z52" s="111">
        <f>IF(AQ52="5",BJ52,0)</f>
      </c>
      <c r="AB52" s="111">
        <f>IF(AQ52="1",BH52,0)</f>
      </c>
      <c r="AC52" s="111">
        <f>IF(AQ52="1",BI52,0)</f>
      </c>
      <c r="AD52" s="111">
        <f>IF(AQ52="7",BH52,0)</f>
      </c>
      <c r="AE52" s="111">
        <f>IF(AQ52="7",BI52,0)</f>
      </c>
      <c r="AF52" s="111">
        <f>IF(AQ52="2",BH52,0)</f>
      </c>
      <c r="AG52" s="111">
        <f>IF(AQ52="2",BI52,0)</f>
      </c>
      <c r="AH52" s="111">
        <f>IF(AQ52="0",BJ52,0)</f>
      </c>
      <c r="AI52" s="132" t="s">
        <v>84</v>
      </c>
      <c r="AJ52" s="111">
        <f>IF(AN52=0,I52,0)</f>
      </c>
      <c r="AK52" s="111">
        <f>IF(AN52=12,I52,0)</f>
      </c>
      <c r="AL52" s="111">
        <f>IF(AN52=21,I52,0)</f>
      </c>
      <c r="AN52" s="111" t="n">
        <v>21</v>
      </c>
      <c r="AO52" s="111">
        <f>H52*0</f>
      </c>
      <c r="AP52" s="111">
        <f>H52*(1-0)</f>
      </c>
      <c r="AQ52" s="153" t="s">
        <v>130</v>
      </c>
      <c r="AV52" s="111">
        <f>AW52+AX52</f>
      </c>
      <c r="AW52" s="111">
        <f>G52*AO52</f>
      </c>
      <c r="AX52" s="111">
        <f>G52*AP52</f>
      </c>
      <c r="AY52" s="153" t="s">
        <v>206</v>
      </c>
      <c r="AZ52" s="153" t="s">
        <v>136</v>
      </c>
      <c r="BA52" s="132" t="s">
        <v>137</v>
      </c>
      <c r="BC52" s="111">
        <f>AW52+AX52</f>
      </c>
      <c r="BD52" s="111">
        <f>H52/(100-BE52)*100</f>
      </c>
      <c r="BE52" s="111" t="n">
        <v>0</v>
      </c>
      <c r="BF52" s="111">
        <f>52</f>
      </c>
      <c r="BH52" s="111">
        <f>G52*AO52</f>
      </c>
      <c r="BI52" s="111">
        <f>G52*AP52</f>
      </c>
      <c r="BJ52" s="111">
        <f>G52*H52</f>
      </c>
      <c r="BK52" s="111"/>
      <c r="BL52" s="111" t="n">
        <v>16</v>
      </c>
      <c r="BW52" s="111" t="n">
        <v>21</v>
      </c>
      <c r="BX52" s="14" t="s">
        <v>210</v>
      </c>
    </row>
    <row r="53">
      <c r="A53" s="154"/>
      <c r="B53" s="155"/>
      <c r="C53" s="155"/>
      <c r="D53" s="156" t="s">
        <v>211</v>
      </c>
      <c r="E53" s="156" t="s">
        <v>4</v>
      </c>
      <c r="F53" s="155"/>
      <c r="G53" s="157" t="n">
        <v>52.7384</v>
      </c>
      <c r="H53" s="158"/>
      <c r="I53" s="155"/>
      <c r="J53" s="155"/>
      <c r="K53" s="146"/>
    </row>
    <row r="54">
      <c r="A54" s="9" t="s">
        <v>212</v>
      </c>
      <c r="B54" s="10" t="s">
        <v>84</v>
      </c>
      <c r="C54" s="10" t="s">
        <v>213</v>
      </c>
      <c r="D54" s="14" t="s">
        <v>214</v>
      </c>
      <c r="E54" s="10"/>
      <c r="F54" s="10" t="s">
        <v>159</v>
      </c>
      <c r="G54" s="111" t="n">
        <v>1614.459</v>
      </c>
      <c r="H54" s="152" t="n">
        <v>0</v>
      </c>
      <c r="I54" s="111">
        <f>G54*H54</f>
      </c>
      <c r="J54" s="153" t="s">
        <v>134</v>
      </c>
      <c r="K54" s="146"/>
      <c r="Z54" s="111">
        <f>IF(AQ54="5",BJ54,0)</f>
      </c>
      <c r="AB54" s="111">
        <f>IF(AQ54="1",BH54,0)</f>
      </c>
      <c r="AC54" s="111">
        <f>IF(AQ54="1",BI54,0)</f>
      </c>
      <c r="AD54" s="111">
        <f>IF(AQ54="7",BH54,0)</f>
      </c>
      <c r="AE54" s="111">
        <f>IF(AQ54="7",BI54,0)</f>
      </c>
      <c r="AF54" s="111">
        <f>IF(AQ54="2",BH54,0)</f>
      </c>
      <c r="AG54" s="111">
        <f>IF(AQ54="2",BI54,0)</f>
      </c>
      <c r="AH54" s="111">
        <f>IF(AQ54="0",BJ54,0)</f>
      </c>
      <c r="AI54" s="132" t="s">
        <v>84</v>
      </c>
      <c r="AJ54" s="111">
        <f>IF(AN54=0,I54,0)</f>
      </c>
      <c r="AK54" s="111">
        <f>IF(AN54=12,I54,0)</f>
      </c>
      <c r="AL54" s="111">
        <f>IF(AN54=21,I54,0)</f>
      </c>
      <c r="AN54" s="111" t="n">
        <v>21</v>
      </c>
      <c r="AO54" s="111">
        <f>H54*0</f>
      </c>
      <c r="AP54" s="111">
        <f>H54*(1-0)</f>
      </c>
      <c r="AQ54" s="153" t="s">
        <v>130</v>
      </c>
      <c r="AV54" s="111">
        <f>AW54+AX54</f>
      </c>
      <c r="AW54" s="111">
        <f>G54*AO54</f>
      </c>
      <c r="AX54" s="111">
        <f>G54*AP54</f>
      </c>
      <c r="AY54" s="153" t="s">
        <v>206</v>
      </c>
      <c r="AZ54" s="153" t="s">
        <v>136</v>
      </c>
      <c r="BA54" s="132" t="s">
        <v>137</v>
      </c>
      <c r="BC54" s="111">
        <f>AW54+AX54</f>
      </c>
      <c r="BD54" s="111">
        <f>H54/(100-BE54)*100</f>
      </c>
      <c r="BE54" s="111" t="n">
        <v>0</v>
      </c>
      <c r="BF54" s="111">
        <f>54</f>
      </c>
      <c r="BH54" s="111">
        <f>G54*AO54</f>
      </c>
      <c r="BI54" s="111">
        <f>G54*AP54</f>
      </c>
      <c r="BJ54" s="111">
        <f>G54*H54</f>
      </c>
      <c r="BK54" s="111"/>
      <c r="BL54" s="111" t="n">
        <v>16</v>
      </c>
      <c r="BW54" s="111" t="n">
        <v>21</v>
      </c>
      <c r="BX54" s="14" t="s">
        <v>214</v>
      </c>
    </row>
    <row r="55">
      <c r="A55" s="154"/>
      <c r="B55" s="155"/>
      <c r="C55" s="155"/>
      <c r="D55" s="156" t="s">
        <v>138</v>
      </c>
      <c r="E55" s="156" t="s">
        <v>215</v>
      </c>
      <c r="F55" s="155"/>
      <c r="G55" s="157" t="n">
        <v>3</v>
      </c>
      <c r="H55" s="158"/>
      <c r="I55" s="155"/>
      <c r="J55" s="155"/>
      <c r="K55" s="146"/>
    </row>
    <row r="56">
      <c r="A56" s="154"/>
      <c r="B56" s="155"/>
      <c r="C56" s="155"/>
      <c r="D56" s="156" t="s">
        <v>216</v>
      </c>
      <c r="E56" s="156" t="s">
        <v>217</v>
      </c>
      <c r="F56" s="155"/>
      <c r="G56" s="157" t="n">
        <v>26.369</v>
      </c>
      <c r="H56" s="158"/>
      <c r="I56" s="155"/>
      <c r="J56" s="155"/>
      <c r="K56" s="146"/>
    </row>
    <row r="57">
      <c r="A57" s="154"/>
      <c r="B57" s="155"/>
      <c r="C57" s="155"/>
      <c r="D57" s="156" t="s">
        <v>218</v>
      </c>
      <c r="E57" s="156" t="s">
        <v>219</v>
      </c>
      <c r="F57" s="155"/>
      <c r="G57" s="157" t="n">
        <v>1072.76</v>
      </c>
      <c r="H57" s="158"/>
      <c r="I57" s="155"/>
      <c r="J57" s="155"/>
      <c r="K57" s="146"/>
    </row>
    <row r="58">
      <c r="A58" s="154"/>
      <c r="B58" s="155"/>
      <c r="C58" s="155"/>
      <c r="D58" s="156" t="s">
        <v>220</v>
      </c>
      <c r="E58" s="156" t="s">
        <v>221</v>
      </c>
      <c r="F58" s="155"/>
      <c r="G58" s="157" t="n">
        <v>151.71</v>
      </c>
      <c r="H58" s="158"/>
      <c r="I58" s="155"/>
      <c r="J58" s="155"/>
      <c r="K58" s="146"/>
    </row>
    <row r="59">
      <c r="A59" s="154"/>
      <c r="B59" s="155"/>
      <c r="C59" s="155"/>
      <c r="D59" s="156" t="s">
        <v>222</v>
      </c>
      <c r="E59" s="156" t="s">
        <v>223</v>
      </c>
      <c r="F59" s="155"/>
      <c r="G59" s="157" t="n">
        <v>360.62</v>
      </c>
      <c r="H59" s="158"/>
      <c r="I59" s="155"/>
      <c r="J59" s="155"/>
      <c r="K59" s="146"/>
    </row>
    <row r="60">
      <c r="A60" s="9" t="s">
        <v>224</v>
      </c>
      <c r="B60" s="10" t="s">
        <v>84</v>
      </c>
      <c r="C60" s="10" t="s">
        <v>225</v>
      </c>
      <c r="D60" s="14" t="s">
        <v>226</v>
      </c>
      <c r="E60" s="10"/>
      <c r="F60" s="10" t="s">
        <v>159</v>
      </c>
      <c r="G60" s="111" t="n">
        <v>1614.459</v>
      </c>
      <c r="H60" s="152" t="n">
        <v>0</v>
      </c>
      <c r="I60" s="111">
        <f>G60*H60</f>
      </c>
      <c r="J60" s="153" t="s">
        <v>134</v>
      </c>
      <c r="K60" s="146"/>
      <c r="Z60" s="111">
        <f>IF(AQ60="5",BJ60,0)</f>
      </c>
      <c r="AB60" s="111">
        <f>IF(AQ60="1",BH60,0)</f>
      </c>
      <c r="AC60" s="111">
        <f>IF(AQ60="1",BI60,0)</f>
      </c>
      <c r="AD60" s="111">
        <f>IF(AQ60="7",BH60,0)</f>
      </c>
      <c r="AE60" s="111">
        <f>IF(AQ60="7",BI60,0)</f>
      </c>
      <c r="AF60" s="111">
        <f>IF(AQ60="2",BH60,0)</f>
      </c>
      <c r="AG60" s="111">
        <f>IF(AQ60="2",BI60,0)</f>
      </c>
      <c r="AH60" s="111">
        <f>IF(AQ60="0",BJ60,0)</f>
      </c>
      <c r="AI60" s="132" t="s">
        <v>84</v>
      </c>
      <c r="AJ60" s="111">
        <f>IF(AN60=0,I60,0)</f>
      </c>
      <c r="AK60" s="111">
        <f>IF(AN60=12,I60,0)</f>
      </c>
      <c r="AL60" s="111">
        <f>IF(AN60=21,I60,0)</f>
      </c>
      <c r="AN60" s="111" t="n">
        <v>21</v>
      </c>
      <c r="AO60" s="111">
        <f>H60*0</f>
      </c>
      <c r="AP60" s="111">
        <f>H60*(1-0)</f>
      </c>
      <c r="AQ60" s="153" t="s">
        <v>130</v>
      </c>
      <c r="AV60" s="111">
        <f>AW60+AX60</f>
      </c>
      <c r="AW60" s="111">
        <f>G60*AO60</f>
      </c>
      <c r="AX60" s="111">
        <f>G60*AP60</f>
      </c>
      <c r="AY60" s="153" t="s">
        <v>206</v>
      </c>
      <c r="AZ60" s="153" t="s">
        <v>136</v>
      </c>
      <c r="BA60" s="132" t="s">
        <v>137</v>
      </c>
      <c r="BC60" s="111">
        <f>AW60+AX60</f>
      </c>
      <c r="BD60" s="111">
        <f>H60/(100-BE60)*100</f>
      </c>
      <c r="BE60" s="111" t="n">
        <v>0</v>
      </c>
      <c r="BF60" s="111">
        <f>60</f>
      </c>
      <c r="BH60" s="111">
        <f>G60*AO60</f>
      </c>
      <c r="BI60" s="111">
        <f>G60*AP60</f>
      </c>
      <c r="BJ60" s="111">
        <f>G60*H60</f>
      </c>
      <c r="BK60" s="111"/>
      <c r="BL60" s="111" t="n">
        <v>16</v>
      </c>
      <c r="BW60" s="111" t="n">
        <v>21</v>
      </c>
      <c r="BX60" s="14" t="s">
        <v>226</v>
      </c>
    </row>
    <row r="61">
      <c r="A61" s="9" t="s">
        <v>202</v>
      </c>
      <c r="B61" s="10" t="s">
        <v>84</v>
      </c>
      <c r="C61" s="10" t="s">
        <v>227</v>
      </c>
      <c r="D61" s="14" t="s">
        <v>228</v>
      </c>
      <c r="E61" s="10"/>
      <c r="F61" s="10" t="s">
        <v>229</v>
      </c>
      <c r="G61" s="111" t="n">
        <v>3.6</v>
      </c>
      <c r="H61" s="152" t="n">
        <v>0</v>
      </c>
      <c r="I61" s="111">
        <f>G61*H61</f>
      </c>
      <c r="J61" s="153" t="s">
        <v>134</v>
      </c>
      <c r="K61" s="146"/>
      <c r="Z61" s="111">
        <f>IF(AQ61="5",BJ61,0)</f>
      </c>
      <c r="AB61" s="111">
        <f>IF(AQ61="1",BH61,0)</f>
      </c>
      <c r="AC61" s="111">
        <f>IF(AQ61="1",BI61,0)</f>
      </c>
      <c r="AD61" s="111">
        <f>IF(AQ61="7",BH61,0)</f>
      </c>
      <c r="AE61" s="111">
        <f>IF(AQ61="7",BI61,0)</f>
      </c>
      <c r="AF61" s="111">
        <f>IF(AQ61="2",BH61,0)</f>
      </c>
      <c r="AG61" s="111">
        <f>IF(AQ61="2",BI61,0)</f>
      </c>
      <c r="AH61" s="111">
        <f>IF(AQ61="0",BJ61,0)</f>
      </c>
      <c r="AI61" s="132" t="s">
        <v>84</v>
      </c>
      <c r="AJ61" s="111">
        <f>IF(AN61=0,I61,0)</f>
      </c>
      <c r="AK61" s="111">
        <f>IF(AN61=12,I61,0)</f>
      </c>
      <c r="AL61" s="111">
        <f>IF(AN61=21,I61,0)</f>
      </c>
      <c r="AN61" s="111" t="n">
        <v>21</v>
      </c>
      <c r="AO61" s="111">
        <f>H61*0</f>
      </c>
      <c r="AP61" s="111">
        <f>H61*(1-0)</f>
      </c>
      <c r="AQ61" s="153" t="s">
        <v>156</v>
      </c>
      <c r="AV61" s="111">
        <f>AW61+AX61</f>
      </c>
      <c r="AW61" s="111">
        <f>G61*AO61</f>
      </c>
      <c r="AX61" s="111">
        <f>G61*AP61</f>
      </c>
      <c r="AY61" s="153" t="s">
        <v>206</v>
      </c>
      <c r="AZ61" s="153" t="s">
        <v>136</v>
      </c>
      <c r="BA61" s="132" t="s">
        <v>137</v>
      </c>
      <c r="BC61" s="111">
        <f>AW61+AX61</f>
      </c>
      <c r="BD61" s="111">
        <f>H61/(100-BE61)*100</f>
      </c>
      <c r="BE61" s="111" t="n">
        <v>0</v>
      </c>
      <c r="BF61" s="111">
        <f>61</f>
      </c>
      <c r="BH61" s="111">
        <f>G61*AO61</f>
      </c>
      <c r="BI61" s="111">
        <f>G61*AP61</f>
      </c>
      <c r="BJ61" s="111">
        <f>G61*H61</f>
      </c>
      <c r="BK61" s="111"/>
      <c r="BL61" s="111" t="n">
        <v>16</v>
      </c>
      <c r="BW61" s="111" t="n">
        <v>21</v>
      </c>
      <c r="BX61" s="14" t="s">
        <v>228</v>
      </c>
    </row>
    <row r="62">
      <c r="A62" s="154"/>
      <c r="B62" s="155"/>
      <c r="C62" s="155"/>
      <c r="D62" s="156" t="s">
        <v>230</v>
      </c>
      <c r="E62" s="156" t="s">
        <v>231</v>
      </c>
      <c r="F62" s="155"/>
      <c r="G62" s="157" t="n">
        <v>3.6</v>
      </c>
      <c r="H62" s="158"/>
      <c r="I62" s="155"/>
      <c r="J62" s="155"/>
      <c r="K62" s="146"/>
    </row>
    <row r="63">
      <c r="A63" s="9" t="s">
        <v>232</v>
      </c>
      <c r="B63" s="10" t="s">
        <v>84</v>
      </c>
      <c r="C63" s="10" t="s">
        <v>233</v>
      </c>
      <c r="D63" s="14" t="s">
        <v>234</v>
      </c>
      <c r="E63" s="10"/>
      <c r="F63" s="10" t="s">
        <v>159</v>
      </c>
      <c r="G63" s="111" t="n">
        <v>360.62</v>
      </c>
      <c r="H63" s="152" t="n">
        <v>0</v>
      </c>
      <c r="I63" s="111">
        <f>G63*H63</f>
      </c>
      <c r="J63" s="153" t="s">
        <v>134</v>
      </c>
      <c r="K63" s="146"/>
      <c r="Z63" s="111">
        <f>IF(AQ63="5",BJ63,0)</f>
      </c>
      <c r="AB63" s="111">
        <f>IF(AQ63="1",BH63,0)</f>
      </c>
      <c r="AC63" s="111">
        <f>IF(AQ63="1",BI63,0)</f>
      </c>
      <c r="AD63" s="111">
        <f>IF(AQ63="7",BH63,0)</f>
      </c>
      <c r="AE63" s="111">
        <f>IF(AQ63="7",BI63,0)</f>
      </c>
      <c r="AF63" s="111">
        <f>IF(AQ63="2",BH63,0)</f>
      </c>
      <c r="AG63" s="111">
        <f>IF(AQ63="2",BI63,0)</f>
      </c>
      <c r="AH63" s="111">
        <f>IF(AQ63="0",BJ63,0)</f>
      </c>
      <c r="AI63" s="132" t="s">
        <v>84</v>
      </c>
      <c r="AJ63" s="111">
        <f>IF(AN63=0,I63,0)</f>
      </c>
      <c r="AK63" s="111">
        <f>IF(AN63=12,I63,0)</f>
      </c>
      <c r="AL63" s="111">
        <f>IF(AN63=21,I63,0)</f>
      </c>
      <c r="AN63" s="111" t="n">
        <v>21</v>
      </c>
      <c r="AO63" s="111">
        <f>H63*0</f>
      </c>
      <c r="AP63" s="111">
        <f>H63*(1-0)</f>
      </c>
      <c r="AQ63" s="153" t="s">
        <v>130</v>
      </c>
      <c r="AV63" s="111">
        <f>AW63+AX63</f>
      </c>
      <c r="AW63" s="111">
        <f>G63*AO63</f>
      </c>
      <c r="AX63" s="111">
        <f>G63*AP63</f>
      </c>
      <c r="AY63" s="153" t="s">
        <v>206</v>
      </c>
      <c r="AZ63" s="153" t="s">
        <v>136</v>
      </c>
      <c r="BA63" s="132" t="s">
        <v>137</v>
      </c>
      <c r="BC63" s="111">
        <f>AW63+AX63</f>
      </c>
      <c r="BD63" s="111">
        <f>H63/(100-BE63)*100</f>
      </c>
      <c r="BE63" s="111" t="n">
        <v>0</v>
      </c>
      <c r="BF63" s="111">
        <f>63</f>
      </c>
      <c r="BH63" s="111">
        <f>G63*AO63</f>
      </c>
      <c r="BI63" s="111">
        <f>G63*AP63</f>
      </c>
      <c r="BJ63" s="111">
        <f>G63*H63</f>
      </c>
      <c r="BK63" s="111"/>
      <c r="BL63" s="111" t="n">
        <v>16</v>
      </c>
      <c r="BW63" s="111" t="n">
        <v>21</v>
      </c>
      <c r="BX63" s="14" t="s">
        <v>234</v>
      </c>
    </row>
    <row r="64">
      <c r="A64" s="154"/>
      <c r="B64" s="155"/>
      <c r="C64" s="155"/>
      <c r="D64" s="156" t="s">
        <v>222</v>
      </c>
      <c r="E64" s="156" t="s">
        <v>162</v>
      </c>
      <c r="F64" s="155"/>
      <c r="G64" s="157" t="n">
        <v>360.62</v>
      </c>
      <c r="H64" s="158"/>
      <c r="I64" s="155"/>
      <c r="J64" s="155"/>
      <c r="K64" s="146"/>
    </row>
    <row r="65">
      <c r="A65" s="9" t="s">
        <v>235</v>
      </c>
      <c r="B65" s="10" t="s">
        <v>84</v>
      </c>
      <c r="C65" s="10" t="s">
        <v>236</v>
      </c>
      <c r="D65" s="14" t="s">
        <v>237</v>
      </c>
      <c r="E65" s="10"/>
      <c r="F65" s="10" t="s">
        <v>159</v>
      </c>
      <c r="G65" s="111" t="n">
        <v>1250.839</v>
      </c>
      <c r="H65" s="152" t="n">
        <v>0</v>
      </c>
      <c r="I65" s="111">
        <f>G65*H65</f>
      </c>
      <c r="J65" s="153" t="s">
        <v>134</v>
      </c>
      <c r="K65" s="146"/>
      <c r="Z65" s="111">
        <f>IF(AQ65="5",BJ65,0)</f>
      </c>
      <c r="AB65" s="111">
        <f>IF(AQ65="1",BH65,0)</f>
      </c>
      <c r="AC65" s="111">
        <f>IF(AQ65="1",BI65,0)</f>
      </c>
      <c r="AD65" s="111">
        <f>IF(AQ65="7",BH65,0)</f>
      </c>
      <c r="AE65" s="111">
        <f>IF(AQ65="7",BI65,0)</f>
      </c>
      <c r="AF65" s="111">
        <f>IF(AQ65="2",BH65,0)</f>
      </c>
      <c r="AG65" s="111">
        <f>IF(AQ65="2",BI65,0)</f>
      </c>
      <c r="AH65" s="111">
        <f>IF(AQ65="0",BJ65,0)</f>
      </c>
      <c r="AI65" s="132" t="s">
        <v>84</v>
      </c>
      <c r="AJ65" s="111">
        <f>IF(AN65=0,I65,0)</f>
      </c>
      <c r="AK65" s="111">
        <f>IF(AN65=12,I65,0)</f>
      </c>
      <c r="AL65" s="111">
        <f>IF(AN65=21,I65,0)</f>
      </c>
      <c r="AN65" s="111" t="n">
        <v>21</v>
      </c>
      <c r="AO65" s="111">
        <f>H65*0</f>
      </c>
      <c r="AP65" s="111">
        <f>H65*(1-0)</f>
      </c>
      <c r="AQ65" s="153" t="s">
        <v>130</v>
      </c>
      <c r="AV65" s="111">
        <f>AW65+AX65</f>
      </c>
      <c r="AW65" s="111">
        <f>G65*AO65</f>
      </c>
      <c r="AX65" s="111">
        <f>G65*AP65</f>
      </c>
      <c r="AY65" s="153" t="s">
        <v>206</v>
      </c>
      <c r="AZ65" s="153" t="s">
        <v>136</v>
      </c>
      <c r="BA65" s="132" t="s">
        <v>137</v>
      </c>
      <c r="BC65" s="111">
        <f>AW65+AX65</f>
      </c>
      <c r="BD65" s="111">
        <f>H65/(100-BE65)*100</f>
      </c>
      <c r="BE65" s="111" t="n">
        <v>0</v>
      </c>
      <c r="BF65" s="111">
        <f>65</f>
      </c>
      <c r="BH65" s="111">
        <f>G65*AO65</f>
      </c>
      <c r="BI65" s="111">
        <f>G65*AP65</f>
      </c>
      <c r="BJ65" s="111">
        <f>G65*H65</f>
      </c>
      <c r="BK65" s="111"/>
      <c r="BL65" s="111" t="n">
        <v>16</v>
      </c>
      <c r="BW65" s="111" t="n">
        <v>21</v>
      </c>
      <c r="BX65" s="14" t="s">
        <v>237</v>
      </c>
    </row>
    <row r="66">
      <c r="A66" s="154"/>
      <c r="B66" s="155"/>
      <c r="C66" s="155"/>
      <c r="D66" s="156" t="s">
        <v>216</v>
      </c>
      <c r="E66" s="156" t="s">
        <v>217</v>
      </c>
      <c r="F66" s="155"/>
      <c r="G66" s="157" t="n">
        <v>26.369</v>
      </c>
      <c r="H66" s="158"/>
      <c r="I66" s="155"/>
      <c r="J66" s="155"/>
      <c r="K66" s="146"/>
    </row>
    <row r="67">
      <c r="A67" s="154"/>
      <c r="B67" s="155"/>
      <c r="C67" s="155"/>
      <c r="D67" s="156" t="s">
        <v>218</v>
      </c>
      <c r="E67" s="156" t="s">
        <v>219</v>
      </c>
      <c r="F67" s="155"/>
      <c r="G67" s="157" t="n">
        <v>1072.76</v>
      </c>
      <c r="H67" s="158"/>
      <c r="I67" s="155"/>
      <c r="J67" s="155"/>
      <c r="K67" s="146"/>
    </row>
    <row r="68">
      <c r="A68" s="154"/>
      <c r="B68" s="155"/>
      <c r="C68" s="155"/>
      <c r="D68" s="156" t="s">
        <v>220</v>
      </c>
      <c r="E68" s="156" t="s">
        <v>221</v>
      </c>
      <c r="F68" s="155"/>
      <c r="G68" s="157" t="n">
        <v>151.71</v>
      </c>
      <c r="H68" s="158"/>
      <c r="I68" s="155"/>
      <c r="J68" s="155"/>
      <c r="K68" s="146"/>
    </row>
    <row r="69">
      <c r="A69" s="147" t="s">
        <v>4</v>
      </c>
      <c r="B69" s="148" t="s">
        <v>84</v>
      </c>
      <c r="C69" s="148" t="s">
        <v>232</v>
      </c>
      <c r="D69" s="149" t="s">
        <v>238</v>
      </c>
      <c r="E69" s="148"/>
      <c r="F69" s="150" t="s">
        <v>79</v>
      </c>
      <c r="G69" s="150" t="s">
        <v>79</v>
      </c>
      <c r="H69" s="151" t="s">
        <v>79</v>
      </c>
      <c r="I69" s="117">
        <f>SUM(I70:I79)</f>
      </c>
      <c r="J69" s="132" t="s">
        <v>4</v>
      </c>
      <c r="K69" s="146"/>
      <c r="AI69" s="132" t="s">
        <v>84</v>
      </c>
      <c r="AS69" s="117">
        <f>SUM(AJ70:AJ79)</f>
      </c>
      <c r="AT69" s="117">
        <f>SUM(AK70:AK79)</f>
      </c>
      <c r="AU69" s="117">
        <f>SUM(AL70:AL79)</f>
      </c>
    </row>
    <row r="70">
      <c r="A70" s="9" t="s">
        <v>239</v>
      </c>
      <c r="B70" s="10" t="s">
        <v>84</v>
      </c>
      <c r="C70" s="10" t="s">
        <v>240</v>
      </c>
      <c r="D70" s="14" t="s">
        <v>241</v>
      </c>
      <c r="E70" s="10"/>
      <c r="F70" s="10" t="s">
        <v>159</v>
      </c>
      <c r="G70" s="111" t="n">
        <v>200.48133</v>
      </c>
      <c r="H70" s="152" t="n">
        <v>0</v>
      </c>
      <c r="I70" s="111">
        <f>G70*H70</f>
      </c>
      <c r="J70" s="153" t="s">
        <v>134</v>
      </c>
      <c r="K70" s="146"/>
      <c r="Z70" s="111">
        <f>IF(AQ70="5",BJ70,0)</f>
      </c>
      <c r="AB70" s="111">
        <f>IF(AQ70="1",BH70,0)</f>
      </c>
      <c r="AC70" s="111">
        <f>IF(AQ70="1",BI70,0)</f>
      </c>
      <c r="AD70" s="111">
        <f>IF(AQ70="7",BH70,0)</f>
      </c>
      <c r="AE70" s="111">
        <f>IF(AQ70="7",BI70,0)</f>
      </c>
      <c r="AF70" s="111">
        <f>IF(AQ70="2",BH70,0)</f>
      </c>
      <c r="AG70" s="111">
        <f>IF(AQ70="2",BI70,0)</f>
      </c>
      <c r="AH70" s="111">
        <f>IF(AQ70="0",BJ70,0)</f>
      </c>
      <c r="AI70" s="132" t="s">
        <v>84</v>
      </c>
      <c r="AJ70" s="111">
        <f>IF(AN70=0,I70,0)</f>
      </c>
      <c r="AK70" s="111">
        <f>IF(AN70=12,I70,0)</f>
      </c>
      <c r="AL70" s="111">
        <f>IF(AN70=21,I70,0)</f>
      </c>
      <c r="AN70" s="111" t="n">
        <v>21</v>
      </c>
      <c r="AO70" s="111">
        <f>H70*0</f>
      </c>
      <c r="AP70" s="111">
        <f>H70*(1-0)</f>
      </c>
      <c r="AQ70" s="153" t="s">
        <v>130</v>
      </c>
      <c r="AV70" s="111">
        <f>AW70+AX70</f>
      </c>
      <c r="AW70" s="111">
        <f>G70*AO70</f>
      </c>
      <c r="AX70" s="111">
        <f>G70*AP70</f>
      </c>
      <c r="AY70" s="153" t="s">
        <v>242</v>
      </c>
      <c r="AZ70" s="153" t="s">
        <v>136</v>
      </c>
      <c r="BA70" s="132" t="s">
        <v>137</v>
      </c>
      <c r="BC70" s="111">
        <f>AW70+AX70</f>
      </c>
      <c r="BD70" s="111">
        <f>H70/(100-BE70)*100</f>
      </c>
      <c r="BE70" s="111" t="n">
        <v>0</v>
      </c>
      <c r="BF70" s="111">
        <f>70</f>
      </c>
      <c r="BH70" s="111">
        <f>G70*AO70</f>
      </c>
      <c r="BI70" s="111">
        <f>G70*AP70</f>
      </c>
      <c r="BJ70" s="111">
        <f>G70*H70</f>
      </c>
      <c r="BK70" s="111"/>
      <c r="BL70" s="111" t="n">
        <v>17</v>
      </c>
      <c r="BW70" s="111" t="n">
        <v>21</v>
      </c>
      <c r="BX70" s="14" t="s">
        <v>241</v>
      </c>
    </row>
    <row r="71" customHeight="true" ht="13.5">
      <c r="A71" s="159"/>
      <c r="C71" s="160" t="s">
        <v>146</v>
      </c>
      <c r="D71" s="161" t="s">
        <v>243</v>
      </c>
      <c r="E71" s="156"/>
      <c r="F71" s="156"/>
      <c r="G71" s="156"/>
      <c r="H71" s="162"/>
      <c r="I71" s="156"/>
      <c r="J71" s="156"/>
      <c r="K71" s="163"/>
    </row>
    <row r="72">
      <c r="A72" s="154"/>
      <c r="B72" s="155"/>
      <c r="C72" s="155"/>
      <c r="D72" s="156" t="s">
        <v>4</v>
      </c>
      <c r="E72" s="156" t="s">
        <v>244</v>
      </c>
      <c r="F72" s="155"/>
      <c r="G72" s="157" t="n">
        <v>0</v>
      </c>
      <c r="H72" s="158"/>
      <c r="I72" s="155"/>
      <c r="J72" s="155"/>
      <c r="K72" s="146"/>
    </row>
    <row r="73">
      <c r="A73" s="154"/>
      <c r="B73" s="155"/>
      <c r="C73" s="155"/>
      <c r="D73" s="156" t="s">
        <v>245</v>
      </c>
      <c r="E73" s="156" t="s">
        <v>246</v>
      </c>
      <c r="F73" s="155"/>
      <c r="G73" s="157" t="n">
        <v>56.62</v>
      </c>
      <c r="H73" s="158"/>
      <c r="I73" s="155"/>
      <c r="J73" s="155"/>
      <c r="K73" s="146"/>
    </row>
    <row r="74">
      <c r="A74" s="154"/>
      <c r="B74" s="155"/>
      <c r="C74" s="155"/>
      <c r="D74" s="156" t="s">
        <v>247</v>
      </c>
      <c r="E74" s="156" t="s">
        <v>248</v>
      </c>
      <c r="F74" s="155"/>
      <c r="G74" s="157" t="n">
        <v>19.484</v>
      </c>
      <c r="H74" s="158"/>
      <c r="I74" s="155"/>
      <c r="J74" s="155"/>
      <c r="K74" s="146"/>
    </row>
    <row r="75">
      <c r="A75" s="154"/>
      <c r="B75" s="155"/>
      <c r="C75" s="155"/>
      <c r="D75" s="156" t="s">
        <v>249</v>
      </c>
      <c r="E75" s="156" t="s">
        <v>250</v>
      </c>
      <c r="F75" s="155"/>
      <c r="G75" s="157" t="n">
        <v>3.604</v>
      </c>
      <c r="H75" s="158"/>
      <c r="I75" s="155"/>
      <c r="J75" s="155"/>
      <c r="K75" s="146"/>
    </row>
    <row r="76">
      <c r="A76" s="154"/>
      <c r="B76" s="155"/>
      <c r="C76" s="155"/>
      <c r="D76" s="156" t="s">
        <v>251</v>
      </c>
      <c r="E76" s="156" t="s">
        <v>250</v>
      </c>
      <c r="F76" s="155"/>
      <c r="G76" s="157" t="n">
        <v>7</v>
      </c>
      <c r="H76" s="158"/>
      <c r="I76" s="155"/>
      <c r="J76" s="155"/>
      <c r="K76" s="146"/>
    </row>
    <row r="77">
      <c r="A77" s="154"/>
      <c r="B77" s="155"/>
      <c r="C77" s="155"/>
      <c r="D77" s="156" t="s">
        <v>252</v>
      </c>
      <c r="E77" s="156" t="s">
        <v>250</v>
      </c>
      <c r="F77" s="155"/>
      <c r="G77" s="157" t="n">
        <v>4.44</v>
      </c>
      <c r="H77" s="158"/>
      <c r="I77" s="155"/>
      <c r="J77" s="155"/>
      <c r="K77" s="146"/>
    </row>
    <row r="78">
      <c r="A78" s="154"/>
      <c r="B78" s="155"/>
      <c r="C78" s="155"/>
      <c r="D78" s="156" t="s">
        <v>253</v>
      </c>
      <c r="E78" s="156" t="s">
        <v>254</v>
      </c>
      <c r="F78" s="155"/>
      <c r="G78" s="157" t="n">
        <v>109.33333</v>
      </c>
      <c r="H78" s="158"/>
      <c r="I78" s="155"/>
      <c r="J78" s="155"/>
      <c r="K78" s="146"/>
    </row>
    <row r="79">
      <c r="A79" s="9" t="s">
        <v>255</v>
      </c>
      <c r="B79" s="10" t="s">
        <v>84</v>
      </c>
      <c r="C79" s="10" t="s">
        <v>256</v>
      </c>
      <c r="D79" s="14" t="s">
        <v>257</v>
      </c>
      <c r="E79" s="10"/>
      <c r="F79" s="10" t="s">
        <v>229</v>
      </c>
      <c r="G79" s="111" t="n">
        <v>340.816</v>
      </c>
      <c r="H79" s="152" t="n">
        <v>0</v>
      </c>
      <c r="I79" s="111">
        <f>G79*H79</f>
      </c>
      <c r="J79" s="153" t="s">
        <v>134</v>
      </c>
      <c r="K79" s="146"/>
      <c r="Z79" s="111">
        <f>IF(AQ79="5",BJ79,0)</f>
      </c>
      <c r="AB79" s="111">
        <f>IF(AQ79="1",BH79,0)</f>
      </c>
      <c r="AC79" s="111">
        <f>IF(AQ79="1",BI79,0)</f>
      </c>
      <c r="AD79" s="111">
        <f>IF(AQ79="7",BH79,0)</f>
      </c>
      <c r="AE79" s="111">
        <f>IF(AQ79="7",BI79,0)</f>
      </c>
      <c r="AF79" s="111">
        <f>IF(AQ79="2",BH79,0)</f>
      </c>
      <c r="AG79" s="111">
        <f>IF(AQ79="2",BI79,0)</f>
      </c>
      <c r="AH79" s="111">
        <f>IF(AQ79="0",BJ79,0)</f>
      </c>
      <c r="AI79" s="132" t="s">
        <v>84</v>
      </c>
      <c r="AJ79" s="111">
        <f>IF(AN79=0,I79,0)</f>
      </c>
      <c r="AK79" s="111">
        <f>IF(AN79=12,I79,0)</f>
      </c>
      <c r="AL79" s="111">
        <f>IF(AN79=21,I79,0)</f>
      </c>
      <c r="AN79" s="111" t="n">
        <v>21</v>
      </c>
      <c r="AO79" s="111">
        <f>H79*1</f>
      </c>
      <c r="AP79" s="111">
        <f>H79*(1-1)</f>
      </c>
      <c r="AQ79" s="153" t="s">
        <v>130</v>
      </c>
      <c r="AV79" s="111">
        <f>AW79+AX79</f>
      </c>
      <c r="AW79" s="111">
        <f>G79*AO79</f>
      </c>
      <c r="AX79" s="111">
        <f>G79*AP79</f>
      </c>
      <c r="AY79" s="153" t="s">
        <v>242</v>
      </c>
      <c r="AZ79" s="153" t="s">
        <v>136</v>
      </c>
      <c r="BA79" s="132" t="s">
        <v>137</v>
      </c>
      <c r="BC79" s="111">
        <f>AW79+AX79</f>
      </c>
      <c r="BD79" s="111">
        <f>H79/(100-BE79)*100</f>
      </c>
      <c r="BE79" s="111" t="n">
        <v>0</v>
      </c>
      <c r="BF79" s="111">
        <f>79</f>
      </c>
      <c r="BH79" s="111">
        <f>G79*AO79</f>
      </c>
      <c r="BI79" s="111">
        <f>G79*AP79</f>
      </c>
      <c r="BJ79" s="111">
        <f>G79*H79</f>
      </c>
      <c r="BK79" s="111"/>
      <c r="BL79" s="111" t="n">
        <v>17</v>
      </c>
      <c r="BW79" s="111" t="n">
        <v>21</v>
      </c>
      <c r="BX79" s="14" t="s">
        <v>257</v>
      </c>
    </row>
    <row r="80">
      <c r="A80" s="154"/>
      <c r="B80" s="155"/>
      <c r="C80" s="155"/>
      <c r="D80" s="156" t="s">
        <v>258</v>
      </c>
      <c r="E80" s="156" t="s">
        <v>259</v>
      </c>
      <c r="F80" s="155"/>
      <c r="G80" s="157" t="n">
        <v>340.816</v>
      </c>
      <c r="H80" s="158"/>
      <c r="I80" s="155"/>
      <c r="J80" s="155"/>
      <c r="K80" s="146"/>
    </row>
    <row r="81">
      <c r="A81" s="147" t="s">
        <v>4</v>
      </c>
      <c r="B81" s="148" t="s">
        <v>84</v>
      </c>
      <c r="C81" s="148" t="s">
        <v>235</v>
      </c>
      <c r="D81" s="149" t="s">
        <v>260</v>
      </c>
      <c r="E81" s="148"/>
      <c r="F81" s="150" t="s">
        <v>79</v>
      </c>
      <c r="G81" s="150" t="s">
        <v>79</v>
      </c>
      <c r="H81" s="151" t="s">
        <v>79</v>
      </c>
      <c r="I81" s="117">
        <f>SUM(I82:I89)</f>
      </c>
      <c r="J81" s="132" t="s">
        <v>4</v>
      </c>
      <c r="K81" s="146"/>
      <c r="AI81" s="132" t="s">
        <v>84</v>
      </c>
      <c r="AS81" s="117">
        <f>SUM(AJ82:AJ89)</f>
      </c>
      <c r="AT81" s="117">
        <f>SUM(AK82:AK89)</f>
      </c>
      <c r="AU81" s="117">
        <f>SUM(AL82:AL89)</f>
      </c>
    </row>
    <row r="82">
      <c r="A82" s="9" t="s">
        <v>261</v>
      </c>
      <c r="B82" s="10" t="s">
        <v>84</v>
      </c>
      <c r="C82" s="10" t="s">
        <v>262</v>
      </c>
      <c r="D82" s="14" t="s">
        <v>263</v>
      </c>
      <c r="E82" s="10"/>
      <c r="F82" s="10" t="s">
        <v>145</v>
      </c>
      <c r="G82" s="111" t="n">
        <v>50</v>
      </c>
      <c r="H82" s="152" t="n">
        <v>0</v>
      </c>
      <c r="I82" s="111">
        <f>G82*H82</f>
      </c>
      <c r="J82" s="153" t="s">
        <v>134</v>
      </c>
      <c r="K82" s="146"/>
      <c r="Z82" s="111">
        <f>IF(AQ82="5",BJ82,0)</f>
      </c>
      <c r="AB82" s="111">
        <f>IF(AQ82="1",BH82,0)</f>
      </c>
      <c r="AC82" s="111">
        <f>IF(AQ82="1",BI82,0)</f>
      </c>
      <c r="AD82" s="111">
        <f>IF(AQ82="7",BH82,0)</f>
      </c>
      <c r="AE82" s="111">
        <f>IF(AQ82="7",BI82,0)</f>
      </c>
      <c r="AF82" s="111">
        <f>IF(AQ82="2",BH82,0)</f>
      </c>
      <c r="AG82" s="111">
        <f>IF(AQ82="2",BI82,0)</f>
      </c>
      <c r="AH82" s="111">
        <f>IF(AQ82="0",BJ82,0)</f>
      </c>
      <c r="AI82" s="132" t="s">
        <v>84</v>
      </c>
      <c r="AJ82" s="111">
        <f>IF(AN82=0,I82,0)</f>
      </c>
      <c r="AK82" s="111">
        <f>IF(AN82=12,I82,0)</f>
      </c>
      <c r="AL82" s="111">
        <f>IF(AN82=21,I82,0)</f>
      </c>
      <c r="AN82" s="111" t="n">
        <v>21</v>
      </c>
      <c r="AO82" s="111">
        <f>H82*0</f>
      </c>
      <c r="AP82" s="111">
        <f>H82*(1-0)</f>
      </c>
      <c r="AQ82" s="153" t="s">
        <v>130</v>
      </c>
      <c r="AV82" s="111">
        <f>AW82+AX82</f>
      </c>
      <c r="AW82" s="111">
        <f>G82*AO82</f>
      </c>
      <c r="AX82" s="111">
        <f>G82*AP82</f>
      </c>
      <c r="AY82" s="153" t="s">
        <v>264</v>
      </c>
      <c r="AZ82" s="153" t="s">
        <v>136</v>
      </c>
      <c r="BA82" s="132" t="s">
        <v>137</v>
      </c>
      <c r="BC82" s="111">
        <f>AW82+AX82</f>
      </c>
      <c r="BD82" s="111">
        <f>H82/(100-BE82)*100</f>
      </c>
      <c r="BE82" s="111" t="n">
        <v>0</v>
      </c>
      <c r="BF82" s="111">
        <f>82</f>
      </c>
      <c r="BH82" s="111">
        <f>G82*AO82</f>
      </c>
      <c r="BI82" s="111">
        <f>G82*AP82</f>
      </c>
      <c r="BJ82" s="111">
        <f>G82*H82</f>
      </c>
      <c r="BK82" s="111"/>
      <c r="BL82" s="111" t="n">
        <v>18</v>
      </c>
      <c r="BW82" s="111" t="n">
        <v>21</v>
      </c>
      <c r="BX82" s="14" t="s">
        <v>263</v>
      </c>
    </row>
    <row r="83" customHeight="true" ht="13.5">
      <c r="A83" s="159"/>
      <c r="C83" s="160" t="s">
        <v>146</v>
      </c>
      <c r="D83" s="161" t="s">
        <v>265</v>
      </c>
      <c r="E83" s="156"/>
      <c r="F83" s="156"/>
      <c r="G83" s="156"/>
      <c r="H83" s="162"/>
      <c r="I83" s="156"/>
      <c r="J83" s="156"/>
      <c r="K83" s="163"/>
    </row>
    <row r="84">
      <c r="A84" s="154"/>
      <c r="B84" s="155"/>
      <c r="C84" s="155"/>
      <c r="D84" s="156" t="s">
        <v>148</v>
      </c>
      <c r="E84" s="156" t="s">
        <v>139</v>
      </c>
      <c r="F84" s="155"/>
      <c r="G84" s="157" t="n">
        <v>50</v>
      </c>
      <c r="H84" s="158"/>
      <c r="I84" s="155"/>
      <c r="J84" s="155"/>
      <c r="K84" s="146"/>
    </row>
    <row r="85">
      <c r="A85" s="9" t="s">
        <v>266</v>
      </c>
      <c r="B85" s="10" t="s">
        <v>84</v>
      </c>
      <c r="C85" s="10" t="s">
        <v>267</v>
      </c>
      <c r="D85" s="14" t="s">
        <v>268</v>
      </c>
      <c r="E85" s="10"/>
      <c r="F85" s="10" t="s">
        <v>145</v>
      </c>
      <c r="G85" s="111" t="n">
        <v>930.9</v>
      </c>
      <c r="H85" s="152" t="n">
        <v>0</v>
      </c>
      <c r="I85" s="111">
        <f>G85*H85</f>
      </c>
      <c r="J85" s="153" t="s">
        <v>134</v>
      </c>
      <c r="K85" s="146"/>
      <c r="Z85" s="111">
        <f>IF(AQ85="5",BJ85,0)</f>
      </c>
      <c r="AB85" s="111">
        <f>IF(AQ85="1",BH85,0)</f>
      </c>
      <c r="AC85" s="111">
        <f>IF(AQ85="1",BI85,0)</f>
      </c>
      <c r="AD85" s="111">
        <f>IF(AQ85="7",BH85,0)</f>
      </c>
      <c r="AE85" s="111">
        <f>IF(AQ85="7",BI85,0)</f>
      </c>
      <c r="AF85" s="111">
        <f>IF(AQ85="2",BH85,0)</f>
      </c>
      <c r="AG85" s="111">
        <f>IF(AQ85="2",BI85,0)</f>
      </c>
      <c r="AH85" s="111">
        <f>IF(AQ85="0",BJ85,0)</f>
      </c>
      <c r="AI85" s="132" t="s">
        <v>84</v>
      </c>
      <c r="AJ85" s="111">
        <f>IF(AN85=0,I85,0)</f>
      </c>
      <c r="AK85" s="111">
        <f>IF(AN85=12,I85,0)</f>
      </c>
      <c r="AL85" s="111">
        <f>IF(AN85=21,I85,0)</f>
      </c>
      <c r="AN85" s="111" t="n">
        <v>21</v>
      </c>
      <c r="AO85" s="111">
        <f>H85*0</f>
      </c>
      <c r="AP85" s="111">
        <f>H85*(1-0)</f>
      </c>
      <c r="AQ85" s="153" t="s">
        <v>130</v>
      </c>
      <c r="AV85" s="111">
        <f>AW85+AX85</f>
      </c>
      <c r="AW85" s="111">
        <f>G85*AO85</f>
      </c>
      <c r="AX85" s="111">
        <f>G85*AP85</f>
      </c>
      <c r="AY85" s="153" t="s">
        <v>264</v>
      </c>
      <c r="AZ85" s="153" t="s">
        <v>136</v>
      </c>
      <c r="BA85" s="132" t="s">
        <v>137</v>
      </c>
      <c r="BC85" s="111">
        <f>AW85+AX85</f>
      </c>
      <c r="BD85" s="111">
        <f>H85/(100-BE85)*100</f>
      </c>
      <c r="BE85" s="111" t="n">
        <v>0</v>
      </c>
      <c r="BF85" s="111">
        <f>85</f>
      </c>
      <c r="BH85" s="111">
        <f>G85*AO85</f>
      </c>
      <c r="BI85" s="111">
        <f>G85*AP85</f>
      </c>
      <c r="BJ85" s="111">
        <f>G85*H85</f>
      </c>
      <c r="BK85" s="111"/>
      <c r="BL85" s="111" t="n">
        <v>18</v>
      </c>
      <c r="BW85" s="111" t="n">
        <v>21</v>
      </c>
      <c r="BX85" s="14" t="s">
        <v>268</v>
      </c>
    </row>
    <row r="86" customHeight="true" ht="13.5">
      <c r="A86" s="159"/>
      <c r="C86" s="160" t="s">
        <v>146</v>
      </c>
      <c r="D86" s="161" t="s">
        <v>269</v>
      </c>
      <c r="E86" s="156"/>
      <c r="F86" s="156"/>
      <c r="G86" s="156"/>
      <c r="H86" s="162"/>
      <c r="I86" s="156"/>
      <c r="J86" s="156"/>
      <c r="K86" s="163"/>
    </row>
    <row r="87">
      <c r="A87" s="154"/>
      <c r="B87" s="155"/>
      <c r="C87" s="155"/>
      <c r="D87" s="156" t="s">
        <v>270</v>
      </c>
      <c r="E87" s="156" t="s">
        <v>271</v>
      </c>
      <c r="F87" s="155"/>
      <c r="G87" s="157" t="n">
        <v>961</v>
      </c>
      <c r="H87" s="158"/>
      <c r="I87" s="155"/>
      <c r="J87" s="155"/>
      <c r="K87" s="146"/>
    </row>
    <row r="88">
      <c r="A88" s="154"/>
      <c r="B88" s="155"/>
      <c r="C88" s="155"/>
      <c r="D88" s="156" t="s">
        <v>272</v>
      </c>
      <c r="E88" s="156" t="s">
        <v>273</v>
      </c>
      <c r="F88" s="155"/>
      <c r="G88" s="157" t="n">
        <v>-30.1</v>
      </c>
      <c r="H88" s="158"/>
      <c r="I88" s="155"/>
      <c r="J88" s="155"/>
      <c r="K88" s="146"/>
    </row>
    <row r="89">
      <c r="A89" s="9" t="s">
        <v>274</v>
      </c>
      <c r="B89" s="10" t="s">
        <v>84</v>
      </c>
      <c r="C89" s="10" t="s">
        <v>275</v>
      </c>
      <c r="D89" s="14" t="s">
        <v>276</v>
      </c>
      <c r="E89" s="10"/>
      <c r="F89" s="10" t="s">
        <v>145</v>
      </c>
      <c r="G89" s="111" t="n">
        <v>930.9</v>
      </c>
      <c r="H89" s="152" t="n">
        <v>0</v>
      </c>
      <c r="I89" s="111">
        <f>G89*H89</f>
      </c>
      <c r="J89" s="153" t="s">
        <v>134</v>
      </c>
      <c r="K89" s="146"/>
      <c r="Z89" s="111">
        <f>IF(AQ89="5",BJ89,0)</f>
      </c>
      <c r="AB89" s="111">
        <f>IF(AQ89="1",BH89,0)</f>
      </c>
      <c r="AC89" s="111">
        <f>IF(AQ89="1",BI89,0)</f>
      </c>
      <c r="AD89" s="111">
        <f>IF(AQ89="7",BH89,0)</f>
      </c>
      <c r="AE89" s="111">
        <f>IF(AQ89="7",BI89,0)</f>
      </c>
      <c r="AF89" s="111">
        <f>IF(AQ89="2",BH89,0)</f>
      </c>
      <c r="AG89" s="111">
        <f>IF(AQ89="2",BI89,0)</f>
      </c>
      <c r="AH89" s="111">
        <f>IF(AQ89="0",BJ89,0)</f>
      </c>
      <c r="AI89" s="132" t="s">
        <v>84</v>
      </c>
      <c r="AJ89" s="111">
        <f>IF(AN89=0,I89,0)</f>
      </c>
      <c r="AK89" s="111">
        <f>IF(AN89=12,I89,0)</f>
      </c>
      <c r="AL89" s="111">
        <f>IF(AN89=21,I89,0)</f>
      </c>
      <c r="AN89" s="111" t="n">
        <v>21</v>
      </c>
      <c r="AO89" s="111">
        <f>H89*0.026894018</f>
      </c>
      <c r="AP89" s="111">
        <f>H89*(1-0.026894018)</f>
      </c>
      <c r="AQ89" s="153" t="s">
        <v>130</v>
      </c>
      <c r="AV89" s="111">
        <f>AW89+AX89</f>
      </c>
      <c r="AW89" s="111">
        <f>G89*AO89</f>
      </c>
      <c r="AX89" s="111">
        <f>G89*AP89</f>
      </c>
      <c r="AY89" s="153" t="s">
        <v>264</v>
      </c>
      <c r="AZ89" s="153" t="s">
        <v>136</v>
      </c>
      <c r="BA89" s="132" t="s">
        <v>137</v>
      </c>
      <c r="BC89" s="111">
        <f>AW89+AX89</f>
      </c>
      <c r="BD89" s="111">
        <f>H89/(100-BE89)*100</f>
      </c>
      <c r="BE89" s="111" t="n">
        <v>0</v>
      </c>
      <c r="BF89" s="111">
        <f>89</f>
      </c>
      <c r="BH89" s="111">
        <f>G89*AO89</f>
      </c>
      <c r="BI89" s="111">
        <f>G89*AP89</f>
      </c>
      <c r="BJ89" s="111">
        <f>G89*H89</f>
      </c>
      <c r="BK89" s="111"/>
      <c r="BL89" s="111" t="n">
        <v>18</v>
      </c>
      <c r="BW89" s="111" t="n">
        <v>21</v>
      </c>
      <c r="BX89" s="14" t="s">
        <v>276</v>
      </c>
    </row>
    <row r="90" customHeight="true" ht="13.5">
      <c r="A90" s="159"/>
      <c r="C90" s="160" t="s">
        <v>146</v>
      </c>
      <c r="D90" s="161" t="s">
        <v>277</v>
      </c>
      <c r="E90" s="156"/>
      <c r="F90" s="156"/>
      <c r="G90" s="156"/>
      <c r="H90" s="162"/>
      <c r="I90" s="156"/>
      <c r="J90" s="156"/>
      <c r="K90" s="163"/>
    </row>
    <row r="91">
      <c r="A91" s="154"/>
      <c r="B91" s="155"/>
      <c r="C91" s="155"/>
      <c r="D91" s="156" t="s">
        <v>270</v>
      </c>
      <c r="E91" s="156" t="s">
        <v>271</v>
      </c>
      <c r="F91" s="155"/>
      <c r="G91" s="157" t="n">
        <v>961</v>
      </c>
      <c r="H91" s="158"/>
      <c r="I91" s="155"/>
      <c r="J91" s="155"/>
      <c r="K91" s="146"/>
    </row>
    <row r="92">
      <c r="A92" s="154"/>
      <c r="B92" s="155"/>
      <c r="C92" s="155"/>
      <c r="D92" s="156" t="s">
        <v>272</v>
      </c>
      <c r="E92" s="156" t="s">
        <v>273</v>
      </c>
      <c r="F92" s="155"/>
      <c r="G92" s="157" t="n">
        <v>-30.1</v>
      </c>
      <c r="H92" s="158"/>
      <c r="I92" s="155"/>
      <c r="J92" s="155"/>
      <c r="K92" s="146"/>
    </row>
    <row r="93">
      <c r="A93" s="147" t="s">
        <v>4</v>
      </c>
      <c r="B93" s="148" t="s">
        <v>84</v>
      </c>
      <c r="C93" s="148" t="s">
        <v>261</v>
      </c>
      <c r="D93" s="149" t="s">
        <v>278</v>
      </c>
      <c r="E93" s="148"/>
      <c r="F93" s="150" t="s">
        <v>79</v>
      </c>
      <c r="G93" s="150" t="s">
        <v>79</v>
      </c>
      <c r="H93" s="151" t="s">
        <v>79</v>
      </c>
      <c r="I93" s="117">
        <f>SUM(I94:I94)</f>
      </c>
      <c r="J93" s="132" t="s">
        <v>4</v>
      </c>
      <c r="K93" s="146"/>
      <c r="AI93" s="132" t="s">
        <v>84</v>
      </c>
      <c r="AS93" s="117">
        <f>SUM(AJ94:AJ94)</f>
      </c>
      <c r="AT93" s="117">
        <f>SUM(AK94:AK94)</f>
      </c>
      <c r="AU93" s="117">
        <f>SUM(AL94:AL94)</f>
      </c>
    </row>
    <row r="94">
      <c r="A94" s="9" t="s">
        <v>279</v>
      </c>
      <c r="B94" s="10" t="s">
        <v>84</v>
      </c>
      <c r="C94" s="10" t="s">
        <v>280</v>
      </c>
      <c r="D94" s="14" t="s">
        <v>281</v>
      </c>
      <c r="E94" s="10"/>
      <c r="F94" s="10" t="s">
        <v>282</v>
      </c>
      <c r="G94" s="111" t="n">
        <v>48.4</v>
      </c>
      <c r="H94" s="152" t="n">
        <v>0</v>
      </c>
      <c r="I94" s="111">
        <f>G94*H94</f>
      </c>
      <c r="J94" s="153" t="s">
        <v>134</v>
      </c>
      <c r="K94" s="146"/>
      <c r="Z94" s="111">
        <f>IF(AQ94="5",BJ94,0)</f>
      </c>
      <c r="AB94" s="111">
        <f>IF(AQ94="1",BH94,0)</f>
      </c>
      <c r="AC94" s="111">
        <f>IF(AQ94="1",BI94,0)</f>
      </c>
      <c r="AD94" s="111">
        <f>IF(AQ94="7",BH94,0)</f>
      </c>
      <c r="AE94" s="111">
        <f>IF(AQ94="7",BI94,0)</f>
      </c>
      <c r="AF94" s="111">
        <f>IF(AQ94="2",BH94,0)</f>
      </c>
      <c r="AG94" s="111">
        <f>IF(AQ94="2",BI94,0)</f>
      </c>
      <c r="AH94" s="111">
        <f>IF(AQ94="0",BJ94,0)</f>
      </c>
      <c r="AI94" s="132" t="s">
        <v>84</v>
      </c>
      <c r="AJ94" s="111">
        <f>IF(AN94=0,I94,0)</f>
      </c>
      <c r="AK94" s="111">
        <f>IF(AN94=12,I94,0)</f>
      </c>
      <c r="AL94" s="111">
        <f>IF(AN94=21,I94,0)</f>
      </c>
      <c r="AN94" s="111" t="n">
        <v>21</v>
      </c>
      <c r="AO94" s="111">
        <f>H94*0.479497965</f>
      </c>
      <c r="AP94" s="111">
        <f>H94*(1-0.479497965)</f>
      </c>
      <c r="AQ94" s="153" t="s">
        <v>130</v>
      </c>
      <c r="AV94" s="111">
        <f>AW94+AX94</f>
      </c>
      <c r="AW94" s="111">
        <f>G94*AO94</f>
      </c>
      <c r="AX94" s="111">
        <f>G94*AP94</f>
      </c>
      <c r="AY94" s="153" t="s">
        <v>283</v>
      </c>
      <c r="AZ94" s="153" t="s">
        <v>284</v>
      </c>
      <c r="BA94" s="132" t="s">
        <v>137</v>
      </c>
      <c r="BC94" s="111">
        <f>AW94+AX94</f>
      </c>
      <c r="BD94" s="111">
        <f>H94/(100-BE94)*100</f>
      </c>
      <c r="BE94" s="111" t="n">
        <v>0</v>
      </c>
      <c r="BF94" s="111">
        <f>94</f>
      </c>
      <c r="BH94" s="111">
        <f>G94*AO94</f>
      </c>
      <c r="BI94" s="111">
        <f>G94*AP94</f>
      </c>
      <c r="BJ94" s="111">
        <f>G94*H94</f>
      </c>
      <c r="BK94" s="111"/>
      <c r="BL94" s="111" t="n">
        <v>21</v>
      </c>
      <c r="BW94" s="111" t="n">
        <v>21</v>
      </c>
      <c r="BX94" s="14" t="s">
        <v>281</v>
      </c>
    </row>
    <row r="95" customHeight="true" ht="13.5">
      <c r="A95" s="159"/>
      <c r="C95" s="160" t="s">
        <v>146</v>
      </c>
      <c r="D95" s="161" t="s">
        <v>285</v>
      </c>
      <c r="E95" s="156"/>
      <c r="F95" s="156"/>
      <c r="G95" s="156"/>
      <c r="H95" s="162"/>
      <c r="I95" s="156"/>
      <c r="J95" s="156"/>
      <c r="K95" s="163"/>
    </row>
    <row r="96">
      <c r="A96" s="154"/>
      <c r="B96" s="155"/>
      <c r="C96" s="155"/>
      <c r="D96" s="156" t="s">
        <v>286</v>
      </c>
      <c r="E96" s="156" t="s">
        <v>287</v>
      </c>
      <c r="F96" s="155"/>
      <c r="G96" s="157" t="n">
        <v>48.4</v>
      </c>
      <c r="H96" s="158"/>
      <c r="I96" s="155"/>
      <c r="J96" s="155"/>
      <c r="K96" s="146"/>
    </row>
    <row r="97">
      <c r="A97" s="147" t="s">
        <v>4</v>
      </c>
      <c r="B97" s="148" t="s">
        <v>84</v>
      </c>
      <c r="C97" s="148" t="s">
        <v>288</v>
      </c>
      <c r="D97" s="149" t="s">
        <v>289</v>
      </c>
      <c r="E97" s="148"/>
      <c r="F97" s="150" t="s">
        <v>79</v>
      </c>
      <c r="G97" s="150" t="s">
        <v>79</v>
      </c>
      <c r="H97" s="151" t="s">
        <v>79</v>
      </c>
      <c r="I97" s="117">
        <f>SUM(I98:I167)</f>
      </c>
      <c r="J97" s="132" t="s">
        <v>4</v>
      </c>
      <c r="K97" s="146"/>
      <c r="AI97" s="132" t="s">
        <v>84</v>
      </c>
      <c r="AS97" s="117">
        <f>SUM(AJ98:AJ167)</f>
      </c>
      <c r="AT97" s="117">
        <f>SUM(AK98:AK167)</f>
      </c>
      <c r="AU97" s="117">
        <f>SUM(AL98:AL167)</f>
      </c>
    </row>
    <row r="98">
      <c r="A98" s="9" t="s">
        <v>290</v>
      </c>
      <c r="B98" s="10" t="s">
        <v>84</v>
      </c>
      <c r="C98" s="10" t="s">
        <v>291</v>
      </c>
      <c r="D98" s="14" t="s">
        <v>292</v>
      </c>
      <c r="E98" s="10"/>
      <c r="F98" s="10" t="s">
        <v>159</v>
      </c>
      <c r="G98" s="111" t="n">
        <v>14.99836</v>
      </c>
      <c r="H98" s="152" t="n">
        <v>0</v>
      </c>
      <c r="I98" s="111">
        <f>G98*H98</f>
      </c>
      <c r="J98" s="153" t="s">
        <v>134</v>
      </c>
      <c r="K98" s="146"/>
      <c r="Z98" s="111">
        <f>IF(AQ98="5",BJ98,0)</f>
      </c>
      <c r="AB98" s="111">
        <f>IF(AQ98="1",BH98,0)</f>
      </c>
      <c r="AC98" s="111">
        <f>IF(AQ98="1",BI98,0)</f>
      </c>
      <c r="AD98" s="111">
        <f>IF(AQ98="7",BH98,0)</f>
      </c>
      <c r="AE98" s="111">
        <f>IF(AQ98="7",BI98,0)</f>
      </c>
      <c r="AF98" s="111">
        <f>IF(AQ98="2",BH98,0)</f>
      </c>
      <c r="AG98" s="111">
        <f>IF(AQ98="2",BI98,0)</f>
      </c>
      <c r="AH98" s="111">
        <f>IF(AQ98="0",BJ98,0)</f>
      </c>
      <c r="AI98" s="132" t="s">
        <v>84</v>
      </c>
      <c r="AJ98" s="111">
        <f>IF(AN98=0,I98,0)</f>
      </c>
      <c r="AK98" s="111">
        <f>IF(AN98=12,I98,0)</f>
      </c>
      <c r="AL98" s="111">
        <f>IF(AN98=21,I98,0)</f>
      </c>
      <c r="AN98" s="111" t="n">
        <v>21</v>
      </c>
      <c r="AO98" s="111">
        <f>H98*0.848044216</f>
      </c>
      <c r="AP98" s="111">
        <f>H98*(1-0.848044216)</f>
      </c>
      <c r="AQ98" s="153" t="s">
        <v>130</v>
      </c>
      <c r="AV98" s="111">
        <f>AW98+AX98</f>
      </c>
      <c r="AW98" s="111">
        <f>G98*AO98</f>
      </c>
      <c r="AX98" s="111">
        <f>G98*AP98</f>
      </c>
      <c r="AY98" s="153" t="s">
        <v>293</v>
      </c>
      <c r="AZ98" s="153" t="s">
        <v>284</v>
      </c>
      <c r="BA98" s="132" t="s">
        <v>137</v>
      </c>
      <c r="BC98" s="111">
        <f>AW98+AX98</f>
      </c>
      <c r="BD98" s="111">
        <f>H98/(100-BE98)*100</f>
      </c>
      <c r="BE98" s="111" t="n">
        <v>0</v>
      </c>
      <c r="BF98" s="111">
        <f>98</f>
      </c>
      <c r="BH98" s="111">
        <f>G98*AO98</f>
      </c>
      <c r="BI98" s="111">
        <f>G98*AP98</f>
      </c>
      <c r="BJ98" s="111">
        <f>G98*H98</f>
      </c>
      <c r="BK98" s="111"/>
      <c r="BL98" s="111" t="n">
        <v>27</v>
      </c>
      <c r="BW98" s="111" t="n">
        <v>21</v>
      </c>
      <c r="BX98" s="14" t="s">
        <v>292</v>
      </c>
    </row>
    <row r="99" customHeight="true" ht="13.5">
      <c r="A99" s="159"/>
      <c r="C99" s="160" t="s">
        <v>146</v>
      </c>
      <c r="D99" s="161" t="s">
        <v>294</v>
      </c>
      <c r="E99" s="156"/>
      <c r="F99" s="156"/>
      <c r="G99" s="156"/>
      <c r="H99" s="162"/>
      <c r="I99" s="156"/>
      <c r="J99" s="156"/>
      <c r="K99" s="163"/>
    </row>
    <row r="100">
      <c r="A100" s="154"/>
      <c r="B100" s="155"/>
      <c r="C100" s="155"/>
      <c r="D100" s="156" t="s">
        <v>295</v>
      </c>
      <c r="E100" s="156" t="s">
        <v>296</v>
      </c>
      <c r="F100" s="155"/>
      <c r="G100" s="157" t="n">
        <v>4.1368</v>
      </c>
      <c r="H100" s="158"/>
      <c r="I100" s="155"/>
      <c r="J100" s="155"/>
      <c r="K100" s="146"/>
    </row>
    <row r="101">
      <c r="A101" s="154"/>
      <c r="B101" s="155"/>
      <c r="C101" s="155"/>
      <c r="D101" s="156" t="s">
        <v>297</v>
      </c>
      <c r="E101" s="156" t="s">
        <v>296</v>
      </c>
      <c r="F101" s="155"/>
      <c r="G101" s="157" t="n">
        <v>4.4272</v>
      </c>
      <c r="H101" s="158"/>
      <c r="I101" s="155"/>
      <c r="J101" s="155"/>
      <c r="K101" s="146"/>
    </row>
    <row r="102">
      <c r="A102" s="154"/>
      <c r="B102" s="155"/>
      <c r="C102" s="155"/>
      <c r="D102" s="156" t="s">
        <v>298</v>
      </c>
      <c r="E102" s="156" t="s">
        <v>299</v>
      </c>
      <c r="F102" s="155"/>
      <c r="G102" s="157" t="n">
        <v>1.773</v>
      </c>
      <c r="H102" s="158"/>
      <c r="I102" s="155"/>
      <c r="J102" s="155"/>
      <c r="K102" s="146"/>
    </row>
    <row r="103">
      <c r="A103" s="154"/>
      <c r="B103" s="155"/>
      <c r="C103" s="155"/>
      <c r="D103" s="156" t="s">
        <v>300</v>
      </c>
      <c r="E103" s="156" t="s">
        <v>301</v>
      </c>
      <c r="F103" s="155"/>
      <c r="G103" s="157" t="n">
        <v>2.167</v>
      </c>
      <c r="H103" s="158"/>
      <c r="I103" s="155"/>
      <c r="J103" s="155"/>
      <c r="K103" s="146"/>
    </row>
    <row r="104">
      <c r="A104" s="154"/>
      <c r="B104" s="155"/>
      <c r="C104" s="155"/>
      <c r="D104" s="156" t="s">
        <v>302</v>
      </c>
      <c r="E104" s="156" t="s">
        <v>303</v>
      </c>
      <c r="F104" s="155"/>
      <c r="G104" s="157" t="n">
        <v>0.2231</v>
      </c>
      <c r="H104" s="158"/>
      <c r="I104" s="155"/>
      <c r="J104" s="155"/>
      <c r="K104" s="146"/>
    </row>
    <row r="105">
      <c r="A105" s="154"/>
      <c r="B105" s="155"/>
      <c r="C105" s="155"/>
      <c r="D105" s="156" t="s">
        <v>304</v>
      </c>
      <c r="E105" s="156" t="s">
        <v>305</v>
      </c>
      <c r="F105" s="155"/>
      <c r="G105" s="157" t="n">
        <v>0.4914</v>
      </c>
      <c r="H105" s="158"/>
      <c r="I105" s="155"/>
      <c r="J105" s="155"/>
      <c r="K105" s="146"/>
    </row>
    <row r="106">
      <c r="A106" s="154"/>
      <c r="B106" s="155"/>
      <c r="C106" s="155"/>
      <c r="D106" s="156" t="s">
        <v>306</v>
      </c>
      <c r="E106" s="156" t="s">
        <v>296</v>
      </c>
      <c r="F106" s="155"/>
      <c r="G106" s="157" t="n">
        <v>0.47345</v>
      </c>
      <c r="H106" s="158"/>
      <c r="I106" s="155"/>
      <c r="J106" s="155"/>
      <c r="K106" s="146"/>
    </row>
    <row r="107">
      <c r="A107" s="154"/>
      <c r="B107" s="155"/>
      <c r="C107" s="155"/>
      <c r="D107" s="156" t="s">
        <v>307</v>
      </c>
      <c r="E107" s="156" t="s">
        <v>296</v>
      </c>
      <c r="F107" s="155"/>
      <c r="G107" s="157" t="n">
        <v>0.5922</v>
      </c>
      <c r="H107" s="158"/>
      <c r="I107" s="155"/>
      <c r="J107" s="155"/>
      <c r="K107" s="146"/>
    </row>
    <row r="108">
      <c r="A108" s="154"/>
      <c r="B108" s="155"/>
      <c r="C108" s="155"/>
      <c r="D108" s="156" t="s">
        <v>308</v>
      </c>
      <c r="E108" s="156" t="s">
        <v>309</v>
      </c>
      <c r="F108" s="155"/>
      <c r="G108" s="157" t="n">
        <v>0.71421</v>
      </c>
      <c r="H108" s="158"/>
      <c r="I108" s="155"/>
      <c r="J108" s="155"/>
      <c r="K108" s="146"/>
    </row>
    <row r="109">
      <c r="A109" s="9" t="s">
        <v>310</v>
      </c>
      <c r="B109" s="10" t="s">
        <v>84</v>
      </c>
      <c r="C109" s="10" t="s">
        <v>311</v>
      </c>
      <c r="D109" s="14" t="s">
        <v>312</v>
      </c>
      <c r="E109" s="10"/>
      <c r="F109" s="10" t="s">
        <v>159</v>
      </c>
      <c r="G109" s="111" t="n">
        <v>65.5977</v>
      </c>
      <c r="H109" s="152" t="n">
        <v>0</v>
      </c>
      <c r="I109" s="111">
        <f>G109*H109</f>
      </c>
      <c r="J109" s="153" t="s">
        <v>134</v>
      </c>
      <c r="K109" s="146"/>
      <c r="Z109" s="111">
        <f>IF(AQ109="5",BJ109,0)</f>
      </c>
      <c r="AB109" s="111">
        <f>IF(AQ109="1",BH109,0)</f>
      </c>
      <c r="AC109" s="111">
        <f>IF(AQ109="1",BI109,0)</f>
      </c>
      <c r="AD109" s="111">
        <f>IF(AQ109="7",BH109,0)</f>
      </c>
      <c r="AE109" s="111">
        <f>IF(AQ109="7",BI109,0)</f>
      </c>
      <c r="AF109" s="111">
        <f>IF(AQ109="2",BH109,0)</f>
      </c>
      <c r="AG109" s="111">
        <f>IF(AQ109="2",BI109,0)</f>
      </c>
      <c r="AH109" s="111">
        <f>IF(AQ109="0",BJ109,0)</f>
      </c>
      <c r="AI109" s="132" t="s">
        <v>84</v>
      </c>
      <c r="AJ109" s="111">
        <f>IF(AN109=0,I109,0)</f>
      </c>
      <c r="AK109" s="111">
        <f>IF(AN109=12,I109,0)</f>
      </c>
      <c r="AL109" s="111">
        <f>IF(AN109=21,I109,0)</f>
      </c>
      <c r="AN109" s="111" t="n">
        <v>21</v>
      </c>
      <c r="AO109" s="111">
        <f>H109*0.905698149</f>
      </c>
      <c r="AP109" s="111">
        <f>H109*(1-0.905698149)</f>
      </c>
      <c r="AQ109" s="153" t="s">
        <v>130</v>
      </c>
      <c r="AV109" s="111">
        <f>AW109+AX109</f>
      </c>
      <c r="AW109" s="111">
        <f>G109*AO109</f>
      </c>
      <c r="AX109" s="111">
        <f>G109*AP109</f>
      </c>
      <c r="AY109" s="153" t="s">
        <v>293</v>
      </c>
      <c r="AZ109" s="153" t="s">
        <v>284</v>
      </c>
      <c r="BA109" s="132" t="s">
        <v>137</v>
      </c>
      <c r="BC109" s="111">
        <f>AW109+AX109</f>
      </c>
      <c r="BD109" s="111">
        <f>H109/(100-BE109)*100</f>
      </c>
      <c r="BE109" s="111" t="n">
        <v>0</v>
      </c>
      <c r="BF109" s="111">
        <f>109</f>
      </c>
      <c r="BH109" s="111">
        <f>G109*AO109</f>
      </c>
      <c r="BI109" s="111">
        <f>G109*AP109</f>
      </c>
      <c r="BJ109" s="111">
        <f>G109*H109</f>
      </c>
      <c r="BK109" s="111"/>
      <c r="BL109" s="111" t="n">
        <v>27</v>
      </c>
      <c r="BW109" s="111" t="n">
        <v>21</v>
      </c>
      <c r="BX109" s="14" t="s">
        <v>312</v>
      </c>
    </row>
    <row r="110">
      <c r="A110" s="154"/>
      <c r="B110" s="155"/>
      <c r="C110" s="155"/>
      <c r="D110" s="156" t="s">
        <v>313</v>
      </c>
      <c r="E110" s="156" t="s">
        <v>296</v>
      </c>
      <c r="F110" s="155"/>
      <c r="G110" s="157" t="n">
        <v>18.6156</v>
      </c>
      <c r="H110" s="158"/>
      <c r="I110" s="155"/>
      <c r="J110" s="155"/>
      <c r="K110" s="146"/>
    </row>
    <row r="111">
      <c r="A111" s="154"/>
      <c r="B111" s="155"/>
      <c r="C111" s="155"/>
      <c r="D111" s="156" t="s">
        <v>314</v>
      </c>
      <c r="E111" s="156" t="s">
        <v>296</v>
      </c>
      <c r="F111" s="155"/>
      <c r="G111" s="157" t="n">
        <v>19.9224</v>
      </c>
      <c r="H111" s="158"/>
      <c r="I111" s="155"/>
      <c r="J111" s="155"/>
      <c r="K111" s="146"/>
    </row>
    <row r="112">
      <c r="A112" s="154"/>
      <c r="B112" s="155"/>
      <c r="C112" s="155"/>
      <c r="D112" s="156" t="s">
        <v>315</v>
      </c>
      <c r="E112" s="156" t="s">
        <v>299</v>
      </c>
      <c r="F112" s="155"/>
      <c r="G112" s="157" t="n">
        <v>8.274</v>
      </c>
      <c r="H112" s="158"/>
      <c r="I112" s="155"/>
      <c r="J112" s="155"/>
      <c r="K112" s="146"/>
    </row>
    <row r="113">
      <c r="A113" s="154"/>
      <c r="B113" s="155"/>
      <c r="C113" s="155"/>
      <c r="D113" s="156" t="s">
        <v>316</v>
      </c>
      <c r="E113" s="156" t="s">
        <v>301</v>
      </c>
      <c r="F113" s="155"/>
      <c r="G113" s="157" t="n">
        <v>10.638</v>
      </c>
      <c r="H113" s="158"/>
      <c r="I113" s="155"/>
      <c r="J113" s="155"/>
      <c r="K113" s="146"/>
    </row>
    <row r="114">
      <c r="A114" s="154"/>
      <c r="B114" s="155"/>
      <c r="C114" s="155"/>
      <c r="D114" s="156" t="s">
        <v>317</v>
      </c>
      <c r="E114" s="156" t="s">
        <v>303</v>
      </c>
      <c r="F114" s="155"/>
      <c r="G114" s="157" t="n">
        <v>1.1058</v>
      </c>
      <c r="H114" s="158"/>
      <c r="I114" s="155"/>
      <c r="J114" s="155"/>
      <c r="K114" s="146"/>
    </row>
    <row r="115">
      <c r="A115" s="154"/>
      <c r="B115" s="155"/>
      <c r="C115" s="155"/>
      <c r="D115" s="156" t="s">
        <v>318</v>
      </c>
      <c r="E115" s="156" t="s">
        <v>305</v>
      </c>
      <c r="F115" s="155"/>
      <c r="G115" s="157" t="n">
        <v>2.106</v>
      </c>
      <c r="H115" s="158"/>
      <c r="I115" s="155"/>
      <c r="J115" s="155"/>
      <c r="K115" s="146"/>
    </row>
    <row r="116">
      <c r="A116" s="154"/>
      <c r="B116" s="155"/>
      <c r="C116" s="155"/>
      <c r="D116" s="156" t="s">
        <v>319</v>
      </c>
      <c r="E116" s="156" t="s">
        <v>296</v>
      </c>
      <c r="F116" s="155"/>
      <c r="G116" s="157" t="n">
        <v>2.1723</v>
      </c>
      <c r="H116" s="158"/>
      <c r="I116" s="155"/>
      <c r="J116" s="155"/>
      <c r="K116" s="146"/>
    </row>
    <row r="117">
      <c r="A117" s="154"/>
      <c r="B117" s="155"/>
      <c r="C117" s="155"/>
      <c r="D117" s="156" t="s">
        <v>320</v>
      </c>
      <c r="E117" s="156" t="s">
        <v>296</v>
      </c>
      <c r="F117" s="155"/>
      <c r="G117" s="157" t="n">
        <v>2.7636</v>
      </c>
      <c r="H117" s="158"/>
      <c r="I117" s="155"/>
      <c r="J117" s="155"/>
      <c r="K117" s="146"/>
    </row>
    <row r="118">
      <c r="A118" s="9" t="s">
        <v>288</v>
      </c>
      <c r="B118" s="10" t="s">
        <v>84</v>
      </c>
      <c r="C118" s="10" t="s">
        <v>321</v>
      </c>
      <c r="D118" s="14" t="s">
        <v>322</v>
      </c>
      <c r="E118" s="10"/>
      <c r="F118" s="10" t="s">
        <v>145</v>
      </c>
      <c r="G118" s="111" t="n">
        <v>201.072</v>
      </c>
      <c r="H118" s="152" t="n">
        <v>0</v>
      </c>
      <c r="I118" s="111">
        <f>G118*H118</f>
      </c>
      <c r="J118" s="153" t="s">
        <v>134</v>
      </c>
      <c r="K118" s="146"/>
      <c r="Z118" s="111">
        <f>IF(AQ118="5",BJ118,0)</f>
      </c>
      <c r="AB118" s="111">
        <f>IF(AQ118="1",BH118,0)</f>
      </c>
      <c r="AC118" s="111">
        <f>IF(AQ118="1",BI118,0)</f>
      </c>
      <c r="AD118" s="111">
        <f>IF(AQ118="7",BH118,0)</f>
      </c>
      <c r="AE118" s="111">
        <f>IF(AQ118="7",BI118,0)</f>
      </c>
      <c r="AF118" s="111">
        <f>IF(AQ118="2",BH118,0)</f>
      </c>
      <c r="AG118" s="111">
        <f>IF(AQ118="2",BI118,0)</f>
      </c>
      <c r="AH118" s="111">
        <f>IF(AQ118="0",BJ118,0)</f>
      </c>
      <c r="AI118" s="132" t="s">
        <v>84</v>
      </c>
      <c r="AJ118" s="111">
        <f>IF(AN118=0,I118,0)</f>
      </c>
      <c r="AK118" s="111">
        <f>IF(AN118=12,I118,0)</f>
      </c>
      <c r="AL118" s="111">
        <f>IF(AN118=21,I118,0)</f>
      </c>
      <c r="AN118" s="111" t="n">
        <v>21</v>
      </c>
      <c r="AO118" s="111">
        <f>H118*0.326232178</f>
      </c>
      <c r="AP118" s="111">
        <f>H118*(1-0.326232178)</f>
      </c>
      <c r="AQ118" s="153" t="s">
        <v>130</v>
      </c>
      <c r="AV118" s="111">
        <f>AW118+AX118</f>
      </c>
      <c r="AW118" s="111">
        <f>G118*AO118</f>
      </c>
      <c r="AX118" s="111">
        <f>G118*AP118</f>
      </c>
      <c r="AY118" s="153" t="s">
        <v>293</v>
      </c>
      <c r="AZ118" s="153" t="s">
        <v>284</v>
      </c>
      <c r="BA118" s="132" t="s">
        <v>137</v>
      </c>
      <c r="BC118" s="111">
        <f>AW118+AX118</f>
      </c>
      <c r="BD118" s="111">
        <f>H118/(100-BE118)*100</f>
      </c>
      <c r="BE118" s="111" t="n">
        <v>0</v>
      </c>
      <c r="BF118" s="111">
        <f>118</f>
      </c>
      <c r="BH118" s="111">
        <f>G118*AO118</f>
      </c>
      <c r="BI118" s="111">
        <f>G118*AP118</f>
      </c>
      <c r="BJ118" s="111">
        <f>G118*H118</f>
      </c>
      <c r="BK118" s="111"/>
      <c r="BL118" s="111" t="n">
        <v>27</v>
      </c>
      <c r="BW118" s="111" t="n">
        <v>21</v>
      </c>
      <c r="BX118" s="14" t="s">
        <v>322</v>
      </c>
    </row>
    <row r="119">
      <c r="A119" s="154"/>
      <c r="B119" s="155"/>
      <c r="C119" s="155"/>
      <c r="D119" s="156" t="s">
        <v>323</v>
      </c>
      <c r="E119" s="156" t="s">
        <v>296</v>
      </c>
      <c r="F119" s="155"/>
      <c r="G119" s="157" t="n">
        <v>62.052</v>
      </c>
      <c r="H119" s="158"/>
      <c r="I119" s="155"/>
      <c r="J119" s="155"/>
      <c r="K119" s="146"/>
    </row>
    <row r="120">
      <c r="A120" s="154"/>
      <c r="B120" s="155"/>
      <c r="C120" s="155"/>
      <c r="D120" s="156" t="s">
        <v>324</v>
      </c>
      <c r="E120" s="156" t="s">
        <v>296</v>
      </c>
      <c r="F120" s="155"/>
      <c r="G120" s="157" t="n">
        <v>66.408</v>
      </c>
      <c r="H120" s="158"/>
      <c r="I120" s="155"/>
      <c r="J120" s="155"/>
      <c r="K120" s="146"/>
    </row>
    <row r="121">
      <c r="A121" s="154"/>
      <c r="B121" s="155"/>
      <c r="C121" s="155"/>
      <c r="D121" s="156" t="s">
        <v>325</v>
      </c>
      <c r="E121" s="156" t="s">
        <v>299</v>
      </c>
      <c r="F121" s="155"/>
      <c r="G121" s="157" t="n">
        <v>23.64</v>
      </c>
      <c r="H121" s="158"/>
      <c r="I121" s="155"/>
      <c r="J121" s="155"/>
      <c r="K121" s="146"/>
    </row>
    <row r="122">
      <c r="A122" s="154"/>
      <c r="B122" s="155"/>
      <c r="C122" s="155"/>
      <c r="D122" s="156" t="s">
        <v>325</v>
      </c>
      <c r="E122" s="156" t="s">
        <v>301</v>
      </c>
      <c r="F122" s="155"/>
      <c r="G122" s="157" t="n">
        <v>23.64</v>
      </c>
      <c r="H122" s="158"/>
      <c r="I122" s="155"/>
      <c r="J122" s="155"/>
      <c r="K122" s="146"/>
    </row>
    <row r="123">
      <c r="A123" s="154"/>
      <c r="B123" s="155"/>
      <c r="C123" s="155"/>
      <c r="D123" s="156" t="s">
        <v>326</v>
      </c>
      <c r="E123" s="156" t="s">
        <v>303</v>
      </c>
      <c r="F123" s="155"/>
      <c r="G123" s="157" t="n">
        <v>2.328</v>
      </c>
      <c r="H123" s="158"/>
      <c r="I123" s="155"/>
      <c r="J123" s="155"/>
      <c r="K123" s="146"/>
    </row>
    <row r="124">
      <c r="A124" s="154"/>
      <c r="B124" s="155"/>
      <c r="C124" s="155"/>
      <c r="D124" s="156" t="s">
        <v>327</v>
      </c>
      <c r="E124" s="156" t="s">
        <v>305</v>
      </c>
      <c r="F124" s="155"/>
      <c r="G124" s="157" t="n">
        <v>8.424</v>
      </c>
      <c r="H124" s="158"/>
      <c r="I124" s="155"/>
      <c r="J124" s="155"/>
      <c r="K124" s="146"/>
    </row>
    <row r="125">
      <c r="A125" s="154"/>
      <c r="B125" s="155"/>
      <c r="C125" s="155"/>
      <c r="D125" s="156" t="s">
        <v>328</v>
      </c>
      <c r="E125" s="156" t="s">
        <v>296</v>
      </c>
      <c r="F125" s="155"/>
      <c r="G125" s="157" t="n">
        <v>6.684</v>
      </c>
      <c r="H125" s="158"/>
      <c r="I125" s="155"/>
      <c r="J125" s="155"/>
      <c r="K125" s="146"/>
    </row>
    <row r="126">
      <c r="A126" s="154"/>
      <c r="B126" s="155"/>
      <c r="C126" s="155"/>
      <c r="D126" s="156" t="s">
        <v>329</v>
      </c>
      <c r="E126" s="156" t="s">
        <v>296</v>
      </c>
      <c r="F126" s="155"/>
      <c r="G126" s="157" t="n">
        <v>7.896</v>
      </c>
      <c r="H126" s="158"/>
      <c r="I126" s="155"/>
      <c r="J126" s="155"/>
      <c r="K126" s="146"/>
    </row>
    <row r="127">
      <c r="A127" s="9" t="s">
        <v>330</v>
      </c>
      <c r="B127" s="10" t="s">
        <v>84</v>
      </c>
      <c r="C127" s="10" t="s">
        <v>331</v>
      </c>
      <c r="D127" s="14" t="s">
        <v>332</v>
      </c>
      <c r="E127" s="10"/>
      <c r="F127" s="10" t="s">
        <v>145</v>
      </c>
      <c r="G127" s="111" t="n">
        <v>201.072</v>
      </c>
      <c r="H127" s="152" t="n">
        <v>0</v>
      </c>
      <c r="I127" s="111">
        <f>G127*H127</f>
      </c>
      <c r="J127" s="153" t="s">
        <v>134</v>
      </c>
      <c r="K127" s="146"/>
      <c r="Z127" s="111">
        <f>IF(AQ127="5",BJ127,0)</f>
      </c>
      <c r="AB127" s="111">
        <f>IF(AQ127="1",BH127,0)</f>
      </c>
      <c r="AC127" s="111">
        <f>IF(AQ127="1",BI127,0)</f>
      </c>
      <c r="AD127" s="111">
        <f>IF(AQ127="7",BH127,0)</f>
      </c>
      <c r="AE127" s="111">
        <f>IF(AQ127="7",BI127,0)</f>
      </c>
      <c r="AF127" s="111">
        <f>IF(AQ127="2",BH127,0)</f>
      </c>
      <c r="AG127" s="111">
        <f>IF(AQ127="2",BI127,0)</f>
      </c>
      <c r="AH127" s="111">
        <f>IF(AQ127="0",BJ127,0)</f>
      </c>
      <c r="AI127" s="132" t="s">
        <v>84</v>
      </c>
      <c r="AJ127" s="111">
        <f>IF(AN127=0,I127,0)</f>
      </c>
      <c r="AK127" s="111">
        <f>IF(AN127=12,I127,0)</f>
      </c>
      <c r="AL127" s="111">
        <f>IF(AN127=21,I127,0)</f>
      </c>
      <c r="AN127" s="111" t="n">
        <v>21</v>
      </c>
      <c r="AO127" s="111">
        <f>H127*0</f>
      </c>
      <c r="AP127" s="111">
        <f>H127*(1-0)</f>
      </c>
      <c r="AQ127" s="153" t="s">
        <v>130</v>
      </c>
      <c r="AV127" s="111">
        <f>AW127+AX127</f>
      </c>
      <c r="AW127" s="111">
        <f>G127*AO127</f>
      </c>
      <c r="AX127" s="111">
        <f>G127*AP127</f>
      </c>
      <c r="AY127" s="153" t="s">
        <v>293</v>
      </c>
      <c r="AZ127" s="153" t="s">
        <v>284</v>
      </c>
      <c r="BA127" s="132" t="s">
        <v>137</v>
      </c>
      <c r="BC127" s="111">
        <f>AW127+AX127</f>
      </c>
      <c r="BD127" s="111">
        <f>H127/(100-BE127)*100</f>
      </c>
      <c r="BE127" s="111" t="n">
        <v>0</v>
      </c>
      <c r="BF127" s="111">
        <f>127</f>
      </c>
      <c r="BH127" s="111">
        <f>G127*AO127</f>
      </c>
      <c r="BI127" s="111">
        <f>G127*AP127</f>
      </c>
      <c r="BJ127" s="111">
        <f>G127*H127</f>
      </c>
      <c r="BK127" s="111"/>
      <c r="BL127" s="111" t="n">
        <v>27</v>
      </c>
      <c r="BW127" s="111" t="n">
        <v>21</v>
      </c>
      <c r="BX127" s="14" t="s">
        <v>332</v>
      </c>
    </row>
    <row r="128">
      <c r="A128" s="154"/>
      <c r="B128" s="155"/>
      <c r="C128" s="155"/>
      <c r="D128" s="156" t="s">
        <v>323</v>
      </c>
      <c r="E128" s="156" t="s">
        <v>296</v>
      </c>
      <c r="F128" s="155"/>
      <c r="G128" s="157" t="n">
        <v>62.052</v>
      </c>
      <c r="H128" s="158"/>
      <c r="I128" s="155"/>
      <c r="J128" s="155"/>
      <c r="K128" s="146"/>
    </row>
    <row r="129">
      <c r="A129" s="154"/>
      <c r="B129" s="155"/>
      <c r="C129" s="155"/>
      <c r="D129" s="156" t="s">
        <v>324</v>
      </c>
      <c r="E129" s="156" t="s">
        <v>296</v>
      </c>
      <c r="F129" s="155"/>
      <c r="G129" s="157" t="n">
        <v>66.408</v>
      </c>
      <c r="H129" s="158"/>
      <c r="I129" s="155"/>
      <c r="J129" s="155"/>
      <c r="K129" s="146"/>
    </row>
    <row r="130">
      <c r="A130" s="154"/>
      <c r="B130" s="155"/>
      <c r="C130" s="155"/>
      <c r="D130" s="156" t="s">
        <v>325</v>
      </c>
      <c r="E130" s="156" t="s">
        <v>299</v>
      </c>
      <c r="F130" s="155"/>
      <c r="G130" s="157" t="n">
        <v>23.64</v>
      </c>
      <c r="H130" s="158"/>
      <c r="I130" s="155"/>
      <c r="J130" s="155"/>
      <c r="K130" s="146"/>
    </row>
    <row r="131">
      <c r="A131" s="154"/>
      <c r="B131" s="155"/>
      <c r="C131" s="155"/>
      <c r="D131" s="156" t="s">
        <v>325</v>
      </c>
      <c r="E131" s="156" t="s">
        <v>301</v>
      </c>
      <c r="F131" s="155"/>
      <c r="G131" s="157" t="n">
        <v>23.64</v>
      </c>
      <c r="H131" s="158"/>
      <c r="I131" s="155"/>
      <c r="J131" s="155"/>
      <c r="K131" s="146"/>
    </row>
    <row r="132">
      <c r="A132" s="154"/>
      <c r="B132" s="155"/>
      <c r="C132" s="155"/>
      <c r="D132" s="156" t="s">
        <v>326</v>
      </c>
      <c r="E132" s="156" t="s">
        <v>303</v>
      </c>
      <c r="F132" s="155"/>
      <c r="G132" s="157" t="n">
        <v>2.328</v>
      </c>
      <c r="H132" s="158"/>
      <c r="I132" s="155"/>
      <c r="J132" s="155"/>
      <c r="K132" s="146"/>
    </row>
    <row r="133">
      <c r="A133" s="154"/>
      <c r="B133" s="155"/>
      <c r="C133" s="155"/>
      <c r="D133" s="156" t="s">
        <v>327</v>
      </c>
      <c r="E133" s="156" t="s">
        <v>305</v>
      </c>
      <c r="F133" s="155"/>
      <c r="G133" s="157" t="n">
        <v>8.424</v>
      </c>
      <c r="H133" s="158"/>
      <c r="I133" s="155"/>
      <c r="J133" s="155"/>
      <c r="K133" s="146"/>
    </row>
    <row r="134">
      <c r="A134" s="154"/>
      <c r="B134" s="155"/>
      <c r="C134" s="155"/>
      <c r="D134" s="156" t="s">
        <v>328</v>
      </c>
      <c r="E134" s="156" t="s">
        <v>296</v>
      </c>
      <c r="F134" s="155"/>
      <c r="G134" s="157" t="n">
        <v>6.684</v>
      </c>
      <c r="H134" s="158"/>
      <c r="I134" s="155"/>
      <c r="J134" s="155"/>
      <c r="K134" s="146"/>
    </row>
    <row r="135">
      <c r="A135" s="154"/>
      <c r="B135" s="155"/>
      <c r="C135" s="155"/>
      <c r="D135" s="156" t="s">
        <v>329</v>
      </c>
      <c r="E135" s="156" t="s">
        <v>296</v>
      </c>
      <c r="F135" s="155"/>
      <c r="G135" s="157" t="n">
        <v>7.896</v>
      </c>
      <c r="H135" s="158"/>
      <c r="I135" s="155"/>
      <c r="J135" s="155"/>
      <c r="K135" s="146"/>
    </row>
    <row r="136">
      <c r="A136" s="9" t="s">
        <v>333</v>
      </c>
      <c r="B136" s="10" t="s">
        <v>84</v>
      </c>
      <c r="C136" s="10" t="s">
        <v>334</v>
      </c>
      <c r="D136" s="14" t="s">
        <v>335</v>
      </c>
      <c r="E136" s="10"/>
      <c r="F136" s="10" t="s">
        <v>133</v>
      </c>
      <c r="G136" s="111" t="n">
        <v>25</v>
      </c>
      <c r="H136" s="152" t="n">
        <v>0</v>
      </c>
      <c r="I136" s="111">
        <f>G136*H136</f>
      </c>
      <c r="J136" s="153" t="s">
        <v>134</v>
      </c>
      <c r="K136" s="146"/>
      <c r="Z136" s="111">
        <f>IF(AQ136="5",BJ136,0)</f>
      </c>
      <c r="AB136" s="111">
        <f>IF(AQ136="1",BH136,0)</f>
      </c>
      <c r="AC136" s="111">
        <f>IF(AQ136="1",BI136,0)</f>
      </c>
      <c r="AD136" s="111">
        <f>IF(AQ136="7",BH136,0)</f>
      </c>
      <c r="AE136" s="111">
        <f>IF(AQ136="7",BI136,0)</f>
      </c>
      <c r="AF136" s="111">
        <f>IF(AQ136="2",BH136,0)</f>
      </c>
      <c r="AG136" s="111">
        <f>IF(AQ136="2",BI136,0)</f>
      </c>
      <c r="AH136" s="111">
        <f>IF(AQ136="0",BJ136,0)</f>
      </c>
      <c r="AI136" s="132" t="s">
        <v>84</v>
      </c>
      <c r="AJ136" s="111">
        <f>IF(AN136=0,I136,0)</f>
      </c>
      <c r="AK136" s="111">
        <f>IF(AN136=12,I136,0)</f>
      </c>
      <c r="AL136" s="111">
        <f>IF(AN136=21,I136,0)</f>
      </c>
      <c r="AN136" s="111" t="n">
        <v>21</v>
      </c>
      <c r="AO136" s="111">
        <f>H136*0.714729556</f>
      </c>
      <c r="AP136" s="111">
        <f>H136*(1-0.714729556)</f>
      </c>
      <c r="AQ136" s="153" t="s">
        <v>130</v>
      </c>
      <c r="AV136" s="111">
        <f>AW136+AX136</f>
      </c>
      <c r="AW136" s="111">
        <f>G136*AO136</f>
      </c>
      <c r="AX136" s="111">
        <f>G136*AP136</f>
      </c>
      <c r="AY136" s="153" t="s">
        <v>293</v>
      </c>
      <c r="AZ136" s="153" t="s">
        <v>284</v>
      </c>
      <c r="BA136" s="132" t="s">
        <v>137</v>
      </c>
      <c r="BC136" s="111">
        <f>AW136+AX136</f>
      </c>
      <c r="BD136" s="111">
        <f>H136/(100-BE136)*100</f>
      </c>
      <c r="BE136" s="111" t="n">
        <v>0</v>
      </c>
      <c r="BF136" s="111">
        <f>136</f>
      </c>
      <c r="BH136" s="111">
        <f>G136*AO136</f>
      </c>
      <c r="BI136" s="111">
        <f>G136*AP136</f>
      </c>
      <c r="BJ136" s="111">
        <f>G136*H136</f>
      </c>
      <c r="BK136" s="111"/>
      <c r="BL136" s="111" t="n">
        <v>27</v>
      </c>
      <c r="BW136" s="111" t="n">
        <v>21</v>
      </c>
      <c r="BX136" s="14" t="s">
        <v>335</v>
      </c>
    </row>
    <row r="137" customHeight="true" ht="13.5">
      <c r="A137" s="159"/>
      <c r="C137" s="160" t="s">
        <v>146</v>
      </c>
      <c r="D137" s="161" t="s">
        <v>336</v>
      </c>
      <c r="E137" s="156"/>
      <c r="F137" s="156"/>
      <c r="G137" s="156"/>
      <c r="H137" s="162"/>
      <c r="I137" s="156"/>
      <c r="J137" s="156"/>
      <c r="K137" s="163"/>
    </row>
    <row r="138">
      <c r="A138" s="154"/>
      <c r="B138" s="155"/>
      <c r="C138" s="155"/>
      <c r="D138" s="156" t="s">
        <v>4</v>
      </c>
      <c r="E138" s="156" t="s">
        <v>337</v>
      </c>
      <c r="F138" s="155"/>
      <c r="G138" s="157" t="n">
        <v>0</v>
      </c>
      <c r="H138" s="158"/>
      <c r="I138" s="155"/>
      <c r="J138" s="155"/>
      <c r="K138" s="146"/>
    </row>
    <row r="139">
      <c r="A139" s="154"/>
      <c r="B139" s="155"/>
      <c r="C139" s="155"/>
      <c r="D139" s="156" t="s">
        <v>338</v>
      </c>
      <c r="E139" s="156" t="s">
        <v>339</v>
      </c>
      <c r="F139" s="155"/>
      <c r="G139" s="157" t="n">
        <v>17</v>
      </c>
      <c r="H139" s="158"/>
      <c r="I139" s="155"/>
      <c r="J139" s="155"/>
      <c r="K139" s="146"/>
    </row>
    <row r="140">
      <c r="A140" s="154"/>
      <c r="B140" s="155"/>
      <c r="C140" s="155"/>
      <c r="D140" s="156" t="s">
        <v>340</v>
      </c>
      <c r="E140" s="156" t="s">
        <v>341</v>
      </c>
      <c r="F140" s="155"/>
      <c r="G140" s="157" t="n">
        <v>8</v>
      </c>
      <c r="H140" s="158"/>
      <c r="I140" s="155"/>
      <c r="J140" s="155"/>
      <c r="K140" s="146"/>
    </row>
    <row r="141">
      <c r="A141" s="9" t="s">
        <v>342</v>
      </c>
      <c r="B141" s="10" t="s">
        <v>84</v>
      </c>
      <c r="C141" s="10" t="s">
        <v>343</v>
      </c>
      <c r="D141" s="14" t="s">
        <v>344</v>
      </c>
      <c r="E141" s="10"/>
      <c r="F141" s="10" t="s">
        <v>229</v>
      </c>
      <c r="G141" s="111" t="n">
        <v>4.33</v>
      </c>
      <c r="H141" s="152" t="n">
        <v>0</v>
      </c>
      <c r="I141" s="111">
        <f>G141*H141</f>
      </c>
      <c r="J141" s="153" t="s">
        <v>134</v>
      </c>
      <c r="K141" s="146"/>
      <c r="Z141" s="111">
        <f>IF(AQ141="5",BJ141,0)</f>
      </c>
      <c r="AB141" s="111">
        <f>IF(AQ141="1",BH141,0)</f>
      </c>
      <c r="AC141" s="111">
        <f>IF(AQ141="1",BI141,0)</f>
      </c>
      <c r="AD141" s="111">
        <f>IF(AQ141="7",BH141,0)</f>
      </c>
      <c r="AE141" s="111">
        <f>IF(AQ141="7",BI141,0)</f>
      </c>
      <c r="AF141" s="111">
        <f>IF(AQ141="2",BH141,0)</f>
      </c>
      <c r="AG141" s="111">
        <f>IF(AQ141="2",BI141,0)</f>
      </c>
      <c r="AH141" s="111">
        <f>IF(AQ141="0",BJ141,0)</f>
      </c>
      <c r="AI141" s="132" t="s">
        <v>84</v>
      </c>
      <c r="AJ141" s="111">
        <f>IF(AN141=0,I141,0)</f>
      </c>
      <c r="AK141" s="111">
        <f>IF(AN141=12,I141,0)</f>
      </c>
      <c r="AL141" s="111">
        <f>IF(AN141=21,I141,0)</f>
      </c>
      <c r="AN141" s="111" t="n">
        <v>21</v>
      </c>
      <c r="AO141" s="111">
        <f>H141*0.628541484</f>
      </c>
      <c r="AP141" s="111">
        <f>H141*(1-0.628541484)</f>
      </c>
      <c r="AQ141" s="153" t="s">
        <v>130</v>
      </c>
      <c r="AV141" s="111">
        <f>AW141+AX141</f>
      </c>
      <c r="AW141" s="111">
        <f>G141*AO141</f>
      </c>
      <c r="AX141" s="111">
        <f>G141*AP141</f>
      </c>
      <c r="AY141" s="153" t="s">
        <v>293</v>
      </c>
      <c r="AZ141" s="153" t="s">
        <v>284</v>
      </c>
      <c r="BA141" s="132" t="s">
        <v>137</v>
      </c>
      <c r="BC141" s="111">
        <f>AW141+AX141</f>
      </c>
      <c r="BD141" s="111">
        <f>H141/(100-BE141)*100</f>
      </c>
      <c r="BE141" s="111" t="n">
        <v>0</v>
      </c>
      <c r="BF141" s="111">
        <f>141</f>
      </c>
      <c r="BH141" s="111">
        <f>G141*AO141</f>
      </c>
      <c r="BI141" s="111">
        <f>G141*AP141</f>
      </c>
      <c r="BJ141" s="111">
        <f>G141*H141</f>
      </c>
      <c r="BK141" s="111"/>
      <c r="BL141" s="111" t="n">
        <v>27</v>
      </c>
      <c r="BW141" s="111" t="n">
        <v>21</v>
      </c>
      <c r="BX141" s="14" t="s">
        <v>344</v>
      </c>
    </row>
    <row r="142" customHeight="true" ht="13.5">
      <c r="A142" s="159"/>
      <c r="C142" s="160" t="s">
        <v>146</v>
      </c>
      <c r="D142" s="161" t="s">
        <v>345</v>
      </c>
      <c r="E142" s="156"/>
      <c r="F142" s="156"/>
      <c r="G142" s="156"/>
      <c r="H142" s="162"/>
      <c r="I142" s="156"/>
      <c r="J142" s="156"/>
      <c r="K142" s="163"/>
    </row>
    <row r="143">
      <c r="A143" s="154"/>
      <c r="B143" s="155"/>
      <c r="C143" s="155"/>
      <c r="D143" s="156" t="s">
        <v>346</v>
      </c>
      <c r="E143" s="156" t="s">
        <v>347</v>
      </c>
      <c r="F143" s="155"/>
      <c r="G143" s="157" t="n">
        <v>4.33</v>
      </c>
      <c r="H143" s="158"/>
      <c r="I143" s="155"/>
      <c r="J143" s="155"/>
      <c r="K143" s="146"/>
    </row>
    <row r="144">
      <c r="A144" s="9" t="s">
        <v>348</v>
      </c>
      <c r="B144" s="10" t="s">
        <v>84</v>
      </c>
      <c r="C144" s="10" t="s">
        <v>349</v>
      </c>
      <c r="D144" s="14" t="s">
        <v>350</v>
      </c>
      <c r="E144" s="10"/>
      <c r="F144" s="10" t="s">
        <v>229</v>
      </c>
      <c r="G144" s="111" t="n">
        <v>1.7611</v>
      </c>
      <c r="H144" s="152" t="n">
        <v>0</v>
      </c>
      <c r="I144" s="111">
        <f>G144*H144</f>
      </c>
      <c r="J144" s="153" t="s">
        <v>134</v>
      </c>
      <c r="K144" s="146"/>
      <c r="Z144" s="111">
        <f>IF(AQ144="5",BJ144,0)</f>
      </c>
      <c r="AB144" s="111">
        <f>IF(AQ144="1",BH144,0)</f>
      </c>
      <c r="AC144" s="111">
        <f>IF(AQ144="1",BI144,0)</f>
      </c>
      <c r="AD144" s="111">
        <f>IF(AQ144="7",BH144,0)</f>
      </c>
      <c r="AE144" s="111">
        <f>IF(AQ144="7",BI144,0)</f>
      </c>
      <c r="AF144" s="111">
        <f>IF(AQ144="2",BH144,0)</f>
      </c>
      <c r="AG144" s="111">
        <f>IF(AQ144="2",BI144,0)</f>
      </c>
      <c r="AH144" s="111">
        <f>IF(AQ144="0",BJ144,0)</f>
      </c>
      <c r="AI144" s="132" t="s">
        <v>84</v>
      </c>
      <c r="AJ144" s="111">
        <f>IF(AN144=0,I144,0)</f>
      </c>
      <c r="AK144" s="111">
        <f>IF(AN144=12,I144,0)</f>
      </c>
      <c r="AL144" s="111">
        <f>IF(AN144=21,I144,0)</f>
      </c>
      <c r="AN144" s="111" t="n">
        <v>21</v>
      </c>
      <c r="AO144" s="111">
        <f>H144*0.755482606</f>
      </c>
      <c r="AP144" s="111">
        <f>H144*(1-0.755482606)</f>
      </c>
      <c r="AQ144" s="153" t="s">
        <v>130</v>
      </c>
      <c r="AV144" s="111">
        <f>AW144+AX144</f>
      </c>
      <c r="AW144" s="111">
        <f>G144*AO144</f>
      </c>
      <c r="AX144" s="111">
        <f>G144*AP144</f>
      </c>
      <c r="AY144" s="153" t="s">
        <v>293</v>
      </c>
      <c r="AZ144" s="153" t="s">
        <v>284</v>
      </c>
      <c r="BA144" s="132" t="s">
        <v>137</v>
      </c>
      <c r="BC144" s="111">
        <f>AW144+AX144</f>
      </c>
      <c r="BD144" s="111">
        <f>H144/(100-BE144)*100</f>
      </c>
      <c r="BE144" s="111" t="n">
        <v>0</v>
      </c>
      <c r="BF144" s="111">
        <f>144</f>
      </c>
      <c r="BH144" s="111">
        <f>G144*AO144</f>
      </c>
      <c r="BI144" s="111">
        <f>G144*AP144</f>
      </c>
      <c r="BJ144" s="111">
        <f>G144*H144</f>
      </c>
      <c r="BK144" s="111"/>
      <c r="BL144" s="111" t="n">
        <v>27</v>
      </c>
      <c r="BW144" s="111" t="n">
        <v>21</v>
      </c>
      <c r="BX144" s="14" t="s">
        <v>350</v>
      </c>
    </row>
    <row r="145" customHeight="true" ht="13.5">
      <c r="A145" s="159"/>
      <c r="C145" s="160" t="s">
        <v>146</v>
      </c>
      <c r="D145" s="161" t="s">
        <v>351</v>
      </c>
      <c r="E145" s="156"/>
      <c r="F145" s="156"/>
      <c r="G145" s="156"/>
      <c r="H145" s="162"/>
      <c r="I145" s="156"/>
      <c r="J145" s="156"/>
      <c r="K145" s="163"/>
    </row>
    <row r="146">
      <c r="A146" s="154"/>
      <c r="B146" s="155"/>
      <c r="C146" s="155"/>
      <c r="D146" s="156" t="s">
        <v>352</v>
      </c>
      <c r="E146" s="156" t="s">
        <v>353</v>
      </c>
      <c r="F146" s="155"/>
      <c r="G146" s="157" t="n">
        <v>1.7611</v>
      </c>
      <c r="H146" s="158"/>
      <c r="I146" s="155"/>
      <c r="J146" s="155"/>
      <c r="K146" s="146"/>
    </row>
    <row r="147">
      <c r="A147" s="9" t="s">
        <v>354</v>
      </c>
      <c r="B147" s="10" t="s">
        <v>84</v>
      </c>
      <c r="C147" s="10" t="s">
        <v>355</v>
      </c>
      <c r="D147" s="14" t="s">
        <v>356</v>
      </c>
      <c r="E147" s="10"/>
      <c r="F147" s="10" t="s">
        <v>145</v>
      </c>
      <c r="G147" s="111" t="n">
        <v>527.4</v>
      </c>
      <c r="H147" s="152" t="n">
        <v>0</v>
      </c>
      <c r="I147" s="111">
        <f>G147*H147</f>
      </c>
      <c r="J147" s="153" t="s">
        <v>134</v>
      </c>
      <c r="K147" s="146"/>
      <c r="Z147" s="111">
        <f>IF(AQ147="5",BJ147,0)</f>
      </c>
      <c r="AB147" s="111">
        <f>IF(AQ147="1",BH147,0)</f>
      </c>
      <c r="AC147" s="111">
        <f>IF(AQ147="1",BI147,0)</f>
      </c>
      <c r="AD147" s="111">
        <f>IF(AQ147="7",BH147,0)</f>
      </c>
      <c r="AE147" s="111">
        <f>IF(AQ147="7",BI147,0)</f>
      </c>
      <c r="AF147" s="111">
        <f>IF(AQ147="2",BH147,0)</f>
      </c>
      <c r="AG147" s="111">
        <f>IF(AQ147="2",BI147,0)</f>
      </c>
      <c r="AH147" s="111">
        <f>IF(AQ147="0",BJ147,0)</f>
      </c>
      <c r="AI147" s="132" t="s">
        <v>84</v>
      </c>
      <c r="AJ147" s="111">
        <f>IF(AN147=0,I147,0)</f>
      </c>
      <c r="AK147" s="111">
        <f>IF(AN147=12,I147,0)</f>
      </c>
      <c r="AL147" s="111">
        <f>IF(AN147=21,I147,0)</f>
      </c>
      <c r="AN147" s="111" t="n">
        <v>21</v>
      </c>
      <c r="AO147" s="111">
        <f>H147*0.878712274</f>
      </c>
      <c r="AP147" s="111">
        <f>H147*(1-0.878712274)</f>
      </c>
      <c r="AQ147" s="153" t="s">
        <v>130</v>
      </c>
      <c r="AV147" s="111">
        <f>AW147+AX147</f>
      </c>
      <c r="AW147" s="111">
        <f>G147*AO147</f>
      </c>
      <c r="AX147" s="111">
        <f>G147*AP147</f>
      </c>
      <c r="AY147" s="153" t="s">
        <v>293</v>
      </c>
      <c r="AZ147" s="153" t="s">
        <v>284</v>
      </c>
      <c r="BA147" s="132" t="s">
        <v>137</v>
      </c>
      <c r="BC147" s="111">
        <f>AW147+AX147</f>
      </c>
      <c r="BD147" s="111">
        <f>H147/(100-BE147)*100</f>
      </c>
      <c r="BE147" s="111" t="n">
        <v>0</v>
      </c>
      <c r="BF147" s="111">
        <f>147</f>
      </c>
      <c r="BH147" s="111">
        <f>G147*AO147</f>
      </c>
      <c r="BI147" s="111">
        <f>G147*AP147</f>
      </c>
      <c r="BJ147" s="111">
        <f>G147*H147</f>
      </c>
      <c r="BK147" s="111"/>
      <c r="BL147" s="111" t="n">
        <v>27</v>
      </c>
      <c r="BW147" s="111" t="n">
        <v>21</v>
      </c>
      <c r="BX147" s="14" t="s">
        <v>356</v>
      </c>
    </row>
    <row r="148" customHeight="true" ht="13.5">
      <c r="A148" s="159"/>
      <c r="C148" s="160" t="s">
        <v>146</v>
      </c>
      <c r="D148" s="161" t="s">
        <v>357</v>
      </c>
      <c r="E148" s="156"/>
      <c r="F148" s="156"/>
      <c r="G148" s="156"/>
      <c r="H148" s="162"/>
      <c r="I148" s="156"/>
      <c r="J148" s="156"/>
      <c r="K148" s="163"/>
    </row>
    <row r="149">
      <c r="A149" s="154"/>
      <c r="B149" s="155"/>
      <c r="C149" s="155"/>
      <c r="D149" s="156" t="s">
        <v>358</v>
      </c>
      <c r="E149" s="156" t="s">
        <v>359</v>
      </c>
      <c r="F149" s="155"/>
      <c r="G149" s="157" t="n">
        <v>527.4</v>
      </c>
      <c r="H149" s="158"/>
      <c r="I149" s="155"/>
      <c r="J149" s="155"/>
      <c r="K149" s="146"/>
    </row>
    <row r="150">
      <c r="A150" s="9" t="s">
        <v>360</v>
      </c>
      <c r="B150" s="10" t="s">
        <v>84</v>
      </c>
      <c r="C150" s="10" t="s">
        <v>361</v>
      </c>
      <c r="D150" s="14" t="s">
        <v>362</v>
      </c>
      <c r="E150" s="10"/>
      <c r="F150" s="10" t="s">
        <v>159</v>
      </c>
      <c r="G150" s="111" t="n">
        <v>79.11</v>
      </c>
      <c r="H150" s="152" t="n">
        <v>0</v>
      </c>
      <c r="I150" s="111">
        <f>G150*H150</f>
      </c>
      <c r="J150" s="153" t="s">
        <v>134</v>
      </c>
      <c r="K150" s="146"/>
      <c r="Z150" s="111">
        <f>IF(AQ150="5",BJ150,0)</f>
      </c>
      <c r="AB150" s="111">
        <f>IF(AQ150="1",BH150,0)</f>
      </c>
      <c r="AC150" s="111">
        <f>IF(AQ150="1",BI150,0)</f>
      </c>
      <c r="AD150" s="111">
        <f>IF(AQ150="7",BH150,0)</f>
      </c>
      <c r="AE150" s="111">
        <f>IF(AQ150="7",BI150,0)</f>
      </c>
      <c r="AF150" s="111">
        <f>IF(AQ150="2",BH150,0)</f>
      </c>
      <c r="AG150" s="111">
        <f>IF(AQ150="2",BI150,0)</f>
      </c>
      <c r="AH150" s="111">
        <f>IF(AQ150="0",BJ150,0)</f>
      </c>
      <c r="AI150" s="132" t="s">
        <v>84</v>
      </c>
      <c r="AJ150" s="111">
        <f>IF(AN150=0,I150,0)</f>
      </c>
      <c r="AK150" s="111">
        <f>IF(AN150=12,I150,0)</f>
      </c>
      <c r="AL150" s="111">
        <f>IF(AN150=21,I150,0)</f>
      </c>
      <c r="AN150" s="111" t="n">
        <v>21</v>
      </c>
      <c r="AO150" s="111">
        <f>H150*0.925521645</f>
      </c>
      <c r="AP150" s="111">
        <f>H150*(1-0.925521645)</f>
      </c>
      <c r="AQ150" s="153" t="s">
        <v>130</v>
      </c>
      <c r="AV150" s="111">
        <f>AW150+AX150</f>
      </c>
      <c r="AW150" s="111">
        <f>G150*AO150</f>
      </c>
      <c r="AX150" s="111">
        <f>G150*AP150</f>
      </c>
      <c r="AY150" s="153" t="s">
        <v>293</v>
      </c>
      <c r="AZ150" s="153" t="s">
        <v>284</v>
      </c>
      <c r="BA150" s="132" t="s">
        <v>137</v>
      </c>
      <c r="BC150" s="111">
        <f>AW150+AX150</f>
      </c>
      <c r="BD150" s="111">
        <f>H150/(100-BE150)*100</f>
      </c>
      <c r="BE150" s="111" t="n">
        <v>0</v>
      </c>
      <c r="BF150" s="111">
        <f>150</f>
      </c>
      <c r="BH150" s="111">
        <f>G150*AO150</f>
      </c>
      <c r="BI150" s="111">
        <f>G150*AP150</f>
      </c>
      <c r="BJ150" s="111">
        <f>G150*H150</f>
      </c>
      <c r="BK150" s="111"/>
      <c r="BL150" s="111" t="n">
        <v>27</v>
      </c>
      <c r="BW150" s="111" t="n">
        <v>21</v>
      </c>
      <c r="BX150" s="14" t="s">
        <v>362</v>
      </c>
    </row>
    <row r="151" customHeight="true" ht="13.5">
      <c r="A151" s="159"/>
      <c r="C151" s="160" t="s">
        <v>146</v>
      </c>
      <c r="D151" s="161" t="s">
        <v>363</v>
      </c>
      <c r="E151" s="156"/>
      <c r="F151" s="156"/>
      <c r="G151" s="156"/>
      <c r="H151" s="162"/>
      <c r="I151" s="156"/>
      <c r="J151" s="156"/>
      <c r="K151" s="163"/>
    </row>
    <row r="152">
      <c r="A152" s="154"/>
      <c r="B152" s="155"/>
      <c r="C152" s="155"/>
      <c r="D152" s="156" t="s">
        <v>364</v>
      </c>
      <c r="E152" s="156" t="s">
        <v>365</v>
      </c>
      <c r="F152" s="155"/>
      <c r="G152" s="157" t="n">
        <v>79.11</v>
      </c>
      <c r="H152" s="158"/>
      <c r="I152" s="155"/>
      <c r="J152" s="155"/>
      <c r="K152" s="146"/>
    </row>
    <row r="153">
      <c r="A153" s="9" t="s">
        <v>366</v>
      </c>
      <c r="B153" s="10" t="s">
        <v>84</v>
      </c>
      <c r="C153" s="10" t="s">
        <v>367</v>
      </c>
      <c r="D153" s="14" t="s">
        <v>368</v>
      </c>
      <c r="E153" s="10"/>
      <c r="F153" s="10" t="s">
        <v>229</v>
      </c>
      <c r="G153" s="111" t="n">
        <v>5.82777</v>
      </c>
      <c r="H153" s="152" t="n">
        <v>0</v>
      </c>
      <c r="I153" s="111">
        <f>G153*H153</f>
      </c>
      <c r="J153" s="153" t="s">
        <v>134</v>
      </c>
      <c r="K153" s="146"/>
      <c r="Z153" s="111">
        <f>IF(AQ153="5",BJ153,0)</f>
      </c>
      <c r="AB153" s="111">
        <f>IF(AQ153="1",BH153,0)</f>
      </c>
      <c r="AC153" s="111">
        <f>IF(AQ153="1",BI153,0)</f>
      </c>
      <c r="AD153" s="111">
        <f>IF(AQ153="7",BH153,0)</f>
      </c>
      <c r="AE153" s="111">
        <f>IF(AQ153="7",BI153,0)</f>
      </c>
      <c r="AF153" s="111">
        <f>IF(AQ153="2",BH153,0)</f>
      </c>
      <c r="AG153" s="111">
        <f>IF(AQ153="2",BI153,0)</f>
      </c>
      <c r="AH153" s="111">
        <f>IF(AQ153="0",BJ153,0)</f>
      </c>
      <c r="AI153" s="132" t="s">
        <v>84</v>
      </c>
      <c r="AJ153" s="111">
        <f>IF(AN153=0,I153,0)</f>
      </c>
      <c r="AK153" s="111">
        <f>IF(AN153=12,I153,0)</f>
      </c>
      <c r="AL153" s="111">
        <f>IF(AN153=21,I153,0)</f>
      </c>
      <c r="AN153" s="111" t="n">
        <v>21</v>
      </c>
      <c r="AO153" s="111">
        <f>H153*0.7840678</f>
      </c>
      <c r="AP153" s="111">
        <f>H153*(1-0.7840678)</f>
      </c>
      <c r="AQ153" s="153" t="s">
        <v>130</v>
      </c>
      <c r="AV153" s="111">
        <f>AW153+AX153</f>
      </c>
      <c r="AW153" s="111">
        <f>G153*AO153</f>
      </c>
      <c r="AX153" s="111">
        <f>G153*AP153</f>
      </c>
      <c r="AY153" s="153" t="s">
        <v>293</v>
      </c>
      <c r="AZ153" s="153" t="s">
        <v>284</v>
      </c>
      <c r="BA153" s="132" t="s">
        <v>137</v>
      </c>
      <c r="BC153" s="111">
        <f>AW153+AX153</f>
      </c>
      <c r="BD153" s="111">
        <f>H153/(100-BE153)*100</f>
      </c>
      <c r="BE153" s="111" t="n">
        <v>0</v>
      </c>
      <c r="BF153" s="111">
        <f>153</f>
      </c>
      <c r="BH153" s="111">
        <f>G153*AO153</f>
      </c>
      <c r="BI153" s="111">
        <f>G153*AP153</f>
      </c>
      <c r="BJ153" s="111">
        <f>G153*H153</f>
      </c>
      <c r="BK153" s="111"/>
      <c r="BL153" s="111" t="n">
        <v>27</v>
      </c>
      <c r="BW153" s="111" t="n">
        <v>21</v>
      </c>
      <c r="BX153" s="14" t="s">
        <v>368</v>
      </c>
    </row>
    <row r="154" customHeight="true" ht="13.5">
      <c r="A154" s="159"/>
      <c r="C154" s="160" t="s">
        <v>146</v>
      </c>
      <c r="D154" s="161" t="s">
        <v>369</v>
      </c>
      <c r="E154" s="156"/>
      <c r="F154" s="156"/>
      <c r="G154" s="156"/>
      <c r="H154" s="162"/>
      <c r="I154" s="156"/>
      <c r="J154" s="156"/>
      <c r="K154" s="163"/>
    </row>
    <row r="155">
      <c r="A155" s="154"/>
      <c r="B155" s="155"/>
      <c r="C155" s="155"/>
      <c r="D155" s="156" t="s">
        <v>370</v>
      </c>
      <c r="E155" s="156" t="s">
        <v>371</v>
      </c>
      <c r="F155" s="155"/>
      <c r="G155" s="157" t="n">
        <v>5.4164</v>
      </c>
      <c r="H155" s="158"/>
      <c r="I155" s="155"/>
      <c r="J155" s="155"/>
      <c r="K155" s="146"/>
    </row>
    <row r="156">
      <c r="A156" s="154"/>
      <c r="B156" s="155"/>
      <c r="C156" s="155"/>
      <c r="D156" s="156" t="s">
        <v>372</v>
      </c>
      <c r="E156" s="156" t="s">
        <v>373</v>
      </c>
      <c r="F156" s="155"/>
      <c r="G156" s="157" t="n">
        <v>0.41137</v>
      </c>
      <c r="H156" s="158"/>
      <c r="I156" s="155"/>
      <c r="J156" s="155"/>
      <c r="K156" s="146"/>
    </row>
    <row r="157">
      <c r="A157" s="9" t="s">
        <v>374</v>
      </c>
      <c r="B157" s="10" t="s">
        <v>84</v>
      </c>
      <c r="C157" s="10" t="s">
        <v>375</v>
      </c>
      <c r="D157" s="14" t="s">
        <v>376</v>
      </c>
      <c r="E157" s="10"/>
      <c r="F157" s="10" t="s">
        <v>145</v>
      </c>
      <c r="G157" s="111" t="n">
        <v>58.02</v>
      </c>
      <c r="H157" s="152" t="n">
        <v>0</v>
      </c>
      <c r="I157" s="111">
        <f>G157*H157</f>
      </c>
      <c r="J157" s="153" t="s">
        <v>134</v>
      </c>
      <c r="K157" s="146"/>
      <c r="Z157" s="111">
        <f>IF(AQ157="5",BJ157,0)</f>
      </c>
      <c r="AB157" s="111">
        <f>IF(AQ157="1",BH157,0)</f>
      </c>
      <c r="AC157" s="111">
        <f>IF(AQ157="1",BI157,0)</f>
      </c>
      <c r="AD157" s="111">
        <f>IF(AQ157="7",BH157,0)</f>
      </c>
      <c r="AE157" s="111">
        <f>IF(AQ157="7",BI157,0)</f>
      </c>
      <c r="AF157" s="111">
        <f>IF(AQ157="2",BH157,0)</f>
      </c>
      <c r="AG157" s="111">
        <f>IF(AQ157="2",BI157,0)</f>
      </c>
      <c r="AH157" s="111">
        <f>IF(AQ157="0",BJ157,0)</f>
      </c>
      <c r="AI157" s="132" t="s">
        <v>84</v>
      </c>
      <c r="AJ157" s="111">
        <f>IF(AN157=0,I157,0)</f>
      </c>
      <c r="AK157" s="111">
        <f>IF(AN157=12,I157,0)</f>
      </c>
      <c r="AL157" s="111">
        <f>IF(AN157=21,I157,0)</f>
      </c>
      <c r="AN157" s="111" t="n">
        <v>21</v>
      </c>
      <c r="AO157" s="111">
        <f>H157*0.251445644</f>
      </c>
      <c r="AP157" s="111">
        <f>H157*(1-0.251445644)</f>
      </c>
      <c r="AQ157" s="153" t="s">
        <v>130</v>
      </c>
      <c r="AV157" s="111">
        <f>AW157+AX157</f>
      </c>
      <c r="AW157" s="111">
        <f>G157*AO157</f>
      </c>
      <c r="AX157" s="111">
        <f>G157*AP157</f>
      </c>
      <c r="AY157" s="153" t="s">
        <v>293</v>
      </c>
      <c r="AZ157" s="153" t="s">
        <v>284</v>
      </c>
      <c r="BA157" s="132" t="s">
        <v>137</v>
      </c>
      <c r="BC157" s="111">
        <f>AW157+AX157</f>
      </c>
      <c r="BD157" s="111">
        <f>H157/(100-BE157)*100</f>
      </c>
      <c r="BE157" s="111" t="n">
        <v>0</v>
      </c>
      <c r="BF157" s="111">
        <f>157</f>
      </c>
      <c r="BH157" s="111">
        <f>G157*AO157</f>
      </c>
      <c r="BI157" s="111">
        <f>G157*AP157</f>
      </c>
      <c r="BJ157" s="111">
        <f>G157*H157</f>
      </c>
      <c r="BK157" s="111"/>
      <c r="BL157" s="111" t="n">
        <v>27</v>
      </c>
      <c r="BW157" s="111" t="n">
        <v>21</v>
      </c>
      <c r="BX157" s="14" t="s">
        <v>376</v>
      </c>
    </row>
    <row r="158">
      <c r="A158" s="154"/>
      <c r="B158" s="155"/>
      <c r="C158" s="155"/>
      <c r="D158" s="156" t="s">
        <v>377</v>
      </c>
      <c r="E158" s="156" t="s">
        <v>363</v>
      </c>
      <c r="F158" s="155"/>
      <c r="G158" s="157" t="n">
        <v>58.02</v>
      </c>
      <c r="H158" s="158"/>
      <c r="I158" s="155"/>
      <c r="J158" s="155"/>
      <c r="K158" s="146"/>
    </row>
    <row r="159">
      <c r="A159" s="9" t="s">
        <v>378</v>
      </c>
      <c r="B159" s="10" t="s">
        <v>84</v>
      </c>
      <c r="C159" s="10" t="s">
        <v>379</v>
      </c>
      <c r="D159" s="14" t="s">
        <v>380</v>
      </c>
      <c r="E159" s="10"/>
      <c r="F159" s="10" t="s">
        <v>145</v>
      </c>
      <c r="G159" s="111" t="n">
        <v>58.02</v>
      </c>
      <c r="H159" s="152" t="n">
        <v>0</v>
      </c>
      <c r="I159" s="111">
        <f>G159*H159</f>
      </c>
      <c r="J159" s="153" t="s">
        <v>134</v>
      </c>
      <c r="K159" s="146"/>
      <c r="Z159" s="111">
        <f>IF(AQ159="5",BJ159,0)</f>
      </c>
      <c r="AB159" s="111">
        <f>IF(AQ159="1",BH159,0)</f>
      </c>
      <c r="AC159" s="111">
        <f>IF(AQ159="1",BI159,0)</f>
      </c>
      <c r="AD159" s="111">
        <f>IF(AQ159="7",BH159,0)</f>
      </c>
      <c r="AE159" s="111">
        <f>IF(AQ159="7",BI159,0)</f>
      </c>
      <c r="AF159" s="111">
        <f>IF(AQ159="2",BH159,0)</f>
      </c>
      <c r="AG159" s="111">
        <f>IF(AQ159="2",BI159,0)</f>
      </c>
      <c r="AH159" s="111">
        <f>IF(AQ159="0",BJ159,0)</f>
      </c>
      <c r="AI159" s="132" t="s">
        <v>84</v>
      </c>
      <c r="AJ159" s="111">
        <f>IF(AN159=0,I159,0)</f>
      </c>
      <c r="AK159" s="111">
        <f>IF(AN159=12,I159,0)</f>
      </c>
      <c r="AL159" s="111">
        <f>IF(AN159=21,I159,0)</f>
      </c>
      <c r="AN159" s="111" t="n">
        <v>21</v>
      </c>
      <c r="AO159" s="111">
        <f>H159*0</f>
      </c>
      <c r="AP159" s="111">
        <f>H159*(1-0)</f>
      </c>
      <c r="AQ159" s="153" t="s">
        <v>130</v>
      </c>
      <c r="AV159" s="111">
        <f>AW159+AX159</f>
      </c>
      <c r="AW159" s="111">
        <f>G159*AO159</f>
      </c>
      <c r="AX159" s="111">
        <f>G159*AP159</f>
      </c>
      <c r="AY159" s="153" t="s">
        <v>293</v>
      </c>
      <c r="AZ159" s="153" t="s">
        <v>284</v>
      </c>
      <c r="BA159" s="132" t="s">
        <v>137</v>
      </c>
      <c r="BC159" s="111">
        <f>AW159+AX159</f>
      </c>
      <c r="BD159" s="111">
        <f>H159/(100-BE159)*100</f>
      </c>
      <c r="BE159" s="111" t="n">
        <v>0</v>
      </c>
      <c r="BF159" s="111">
        <f>159</f>
      </c>
      <c r="BH159" s="111">
        <f>G159*AO159</f>
      </c>
      <c r="BI159" s="111">
        <f>G159*AP159</f>
      </c>
      <c r="BJ159" s="111">
        <f>G159*H159</f>
      </c>
      <c r="BK159" s="111"/>
      <c r="BL159" s="111" t="n">
        <v>27</v>
      </c>
      <c r="BW159" s="111" t="n">
        <v>21</v>
      </c>
      <c r="BX159" s="14" t="s">
        <v>380</v>
      </c>
    </row>
    <row r="160">
      <c r="A160" s="154"/>
      <c r="B160" s="155"/>
      <c r="C160" s="155"/>
      <c r="D160" s="156" t="s">
        <v>377</v>
      </c>
      <c r="E160" s="156" t="s">
        <v>363</v>
      </c>
      <c r="F160" s="155"/>
      <c r="G160" s="157" t="n">
        <v>58.02</v>
      </c>
      <c r="H160" s="158"/>
      <c r="I160" s="155"/>
      <c r="J160" s="155"/>
      <c r="K160" s="146"/>
    </row>
    <row r="161">
      <c r="A161" s="9" t="s">
        <v>381</v>
      </c>
      <c r="B161" s="10" t="s">
        <v>84</v>
      </c>
      <c r="C161" s="10" t="s">
        <v>382</v>
      </c>
      <c r="D161" s="14" t="s">
        <v>383</v>
      </c>
      <c r="E161" s="10"/>
      <c r="F161" s="10" t="s">
        <v>159</v>
      </c>
      <c r="G161" s="111" t="n">
        <v>3.6</v>
      </c>
      <c r="H161" s="152" t="n">
        <v>0</v>
      </c>
      <c r="I161" s="111">
        <f>G161*H161</f>
      </c>
      <c r="J161" s="153" t="s">
        <v>134</v>
      </c>
      <c r="K161" s="146"/>
      <c r="Z161" s="111">
        <f>IF(AQ161="5",BJ161,0)</f>
      </c>
      <c r="AB161" s="111">
        <f>IF(AQ161="1",BH161,0)</f>
      </c>
      <c r="AC161" s="111">
        <f>IF(AQ161="1",BI161,0)</f>
      </c>
      <c r="AD161" s="111">
        <f>IF(AQ161="7",BH161,0)</f>
      </c>
      <c r="AE161" s="111">
        <f>IF(AQ161="7",BI161,0)</f>
      </c>
      <c r="AF161" s="111">
        <f>IF(AQ161="2",BH161,0)</f>
      </c>
      <c r="AG161" s="111">
        <f>IF(AQ161="2",BI161,0)</f>
      </c>
      <c r="AH161" s="111">
        <f>IF(AQ161="0",BJ161,0)</f>
      </c>
      <c r="AI161" s="132" t="s">
        <v>84</v>
      </c>
      <c r="AJ161" s="111">
        <f>IF(AN161=0,I161,0)</f>
      </c>
      <c r="AK161" s="111">
        <f>IF(AN161=12,I161,0)</f>
      </c>
      <c r="AL161" s="111">
        <f>IF(AN161=21,I161,0)</f>
      </c>
      <c r="AN161" s="111" t="n">
        <v>21</v>
      </c>
      <c r="AO161" s="111">
        <f>H161*0.468420243</f>
      </c>
      <c r="AP161" s="111">
        <f>H161*(1-0.468420243)</f>
      </c>
      <c r="AQ161" s="153" t="s">
        <v>130</v>
      </c>
      <c r="AV161" s="111">
        <f>AW161+AX161</f>
      </c>
      <c r="AW161" s="111">
        <f>G161*AO161</f>
      </c>
      <c r="AX161" s="111">
        <f>G161*AP161</f>
      </c>
      <c r="AY161" s="153" t="s">
        <v>293</v>
      </c>
      <c r="AZ161" s="153" t="s">
        <v>284</v>
      </c>
      <c r="BA161" s="132" t="s">
        <v>137</v>
      </c>
      <c r="BC161" s="111">
        <f>AW161+AX161</f>
      </c>
      <c r="BD161" s="111">
        <f>H161/(100-BE161)*100</f>
      </c>
      <c r="BE161" s="111" t="n">
        <v>0</v>
      </c>
      <c r="BF161" s="111">
        <f>161</f>
      </c>
      <c r="BH161" s="111">
        <f>G161*AO161</f>
      </c>
      <c r="BI161" s="111">
        <f>G161*AP161</f>
      </c>
      <c r="BJ161" s="111">
        <f>G161*H161</f>
      </c>
      <c r="BK161" s="111"/>
      <c r="BL161" s="111" t="n">
        <v>27</v>
      </c>
      <c r="BW161" s="111" t="n">
        <v>21</v>
      </c>
      <c r="BX161" s="14" t="s">
        <v>383</v>
      </c>
    </row>
    <row r="162" customHeight="true" ht="13.5">
      <c r="A162" s="159"/>
      <c r="C162" s="160" t="s">
        <v>146</v>
      </c>
      <c r="D162" s="161" t="s">
        <v>384</v>
      </c>
      <c r="E162" s="156"/>
      <c r="F162" s="156"/>
      <c r="G162" s="156"/>
      <c r="H162" s="162"/>
      <c r="I162" s="156"/>
      <c r="J162" s="156"/>
      <c r="K162" s="163"/>
    </row>
    <row r="163">
      <c r="A163" s="154"/>
      <c r="B163" s="155"/>
      <c r="C163" s="155"/>
      <c r="D163" s="156" t="s">
        <v>385</v>
      </c>
      <c r="E163" s="156" t="s">
        <v>386</v>
      </c>
      <c r="F163" s="155"/>
      <c r="G163" s="157" t="n">
        <v>3.6</v>
      </c>
      <c r="H163" s="158"/>
      <c r="I163" s="155"/>
      <c r="J163" s="155"/>
      <c r="K163" s="146"/>
    </row>
    <row r="164">
      <c r="A164" s="9" t="s">
        <v>387</v>
      </c>
      <c r="B164" s="10" t="s">
        <v>84</v>
      </c>
      <c r="C164" s="10" t="s">
        <v>388</v>
      </c>
      <c r="D164" s="14" t="s">
        <v>322</v>
      </c>
      <c r="E164" s="10"/>
      <c r="F164" s="10" t="s">
        <v>145</v>
      </c>
      <c r="G164" s="111" t="n">
        <v>6</v>
      </c>
      <c r="H164" s="152" t="n">
        <v>0</v>
      </c>
      <c r="I164" s="111">
        <f>G164*H164</f>
      </c>
      <c r="J164" s="153" t="s">
        <v>134</v>
      </c>
      <c r="K164" s="146"/>
      <c r="Z164" s="111">
        <f>IF(AQ164="5",BJ164,0)</f>
      </c>
      <c r="AB164" s="111">
        <f>IF(AQ164="1",BH164,0)</f>
      </c>
      <c r="AC164" s="111">
        <f>IF(AQ164="1",BI164,0)</f>
      </c>
      <c r="AD164" s="111">
        <f>IF(AQ164="7",BH164,0)</f>
      </c>
      <c r="AE164" s="111">
        <f>IF(AQ164="7",BI164,0)</f>
      </c>
      <c r="AF164" s="111">
        <f>IF(AQ164="2",BH164,0)</f>
      </c>
      <c r="AG164" s="111">
        <f>IF(AQ164="2",BI164,0)</f>
      </c>
      <c r="AH164" s="111">
        <f>IF(AQ164="0",BJ164,0)</f>
      </c>
      <c r="AI164" s="132" t="s">
        <v>84</v>
      </c>
      <c r="AJ164" s="111">
        <f>IF(AN164=0,I164,0)</f>
      </c>
      <c r="AK164" s="111">
        <f>IF(AN164=12,I164,0)</f>
      </c>
      <c r="AL164" s="111">
        <f>IF(AN164=21,I164,0)</f>
      </c>
      <c r="AN164" s="111" t="n">
        <v>21</v>
      </c>
      <c r="AO164" s="111">
        <f>H164*0.688930818</f>
      </c>
      <c r="AP164" s="111">
        <f>H164*(1-0.688930818)</f>
      </c>
      <c r="AQ164" s="153" t="s">
        <v>130</v>
      </c>
      <c r="AV164" s="111">
        <f>AW164+AX164</f>
      </c>
      <c r="AW164" s="111">
        <f>G164*AO164</f>
      </c>
      <c r="AX164" s="111">
        <f>G164*AP164</f>
      </c>
      <c r="AY164" s="153" t="s">
        <v>293</v>
      </c>
      <c r="AZ164" s="153" t="s">
        <v>284</v>
      </c>
      <c r="BA164" s="132" t="s">
        <v>137</v>
      </c>
      <c r="BC164" s="111">
        <f>AW164+AX164</f>
      </c>
      <c r="BD164" s="111">
        <f>H164/(100-BE164)*100</f>
      </c>
      <c r="BE164" s="111" t="n">
        <v>0</v>
      </c>
      <c r="BF164" s="111">
        <f>164</f>
      </c>
      <c r="BH164" s="111">
        <f>G164*AO164</f>
      </c>
      <c r="BI164" s="111">
        <f>G164*AP164</f>
      </c>
      <c r="BJ164" s="111">
        <f>G164*H164</f>
      </c>
      <c r="BK164" s="111"/>
      <c r="BL164" s="111" t="n">
        <v>27</v>
      </c>
      <c r="BW164" s="111" t="n">
        <v>21</v>
      </c>
      <c r="BX164" s="14" t="s">
        <v>322</v>
      </c>
    </row>
    <row r="165" customHeight="true" ht="13.5">
      <c r="A165" s="159"/>
      <c r="C165" s="160" t="s">
        <v>146</v>
      </c>
      <c r="D165" s="161" t="s">
        <v>389</v>
      </c>
      <c r="E165" s="156"/>
      <c r="F165" s="156"/>
      <c r="G165" s="156"/>
      <c r="H165" s="162"/>
      <c r="I165" s="156"/>
      <c r="J165" s="156"/>
      <c r="K165" s="163"/>
    </row>
    <row r="166">
      <c r="A166" s="154"/>
      <c r="B166" s="155"/>
      <c r="C166" s="155"/>
      <c r="D166" s="156" t="s">
        <v>390</v>
      </c>
      <c r="E166" s="156" t="s">
        <v>391</v>
      </c>
      <c r="F166" s="155"/>
      <c r="G166" s="157" t="n">
        <v>6</v>
      </c>
      <c r="H166" s="158"/>
      <c r="I166" s="155"/>
      <c r="J166" s="155"/>
      <c r="K166" s="146"/>
    </row>
    <row r="167">
      <c r="A167" s="9" t="s">
        <v>392</v>
      </c>
      <c r="B167" s="10" t="s">
        <v>84</v>
      </c>
      <c r="C167" s="10" t="s">
        <v>331</v>
      </c>
      <c r="D167" s="14" t="s">
        <v>332</v>
      </c>
      <c r="E167" s="10"/>
      <c r="F167" s="10" t="s">
        <v>145</v>
      </c>
      <c r="G167" s="111" t="n">
        <v>6</v>
      </c>
      <c r="H167" s="152" t="n">
        <v>0</v>
      </c>
      <c r="I167" s="111">
        <f>G167*H167</f>
      </c>
      <c r="J167" s="153" t="s">
        <v>134</v>
      </c>
      <c r="K167" s="146"/>
      <c r="Z167" s="111">
        <f>IF(AQ167="5",BJ167,0)</f>
      </c>
      <c r="AB167" s="111">
        <f>IF(AQ167="1",BH167,0)</f>
      </c>
      <c r="AC167" s="111">
        <f>IF(AQ167="1",BI167,0)</f>
      </c>
      <c r="AD167" s="111">
        <f>IF(AQ167="7",BH167,0)</f>
      </c>
      <c r="AE167" s="111">
        <f>IF(AQ167="7",BI167,0)</f>
      </c>
      <c r="AF167" s="111">
        <f>IF(AQ167="2",BH167,0)</f>
      </c>
      <c r="AG167" s="111">
        <f>IF(AQ167="2",BI167,0)</f>
      </c>
      <c r="AH167" s="111">
        <f>IF(AQ167="0",BJ167,0)</f>
      </c>
      <c r="AI167" s="132" t="s">
        <v>84</v>
      </c>
      <c r="AJ167" s="111">
        <f>IF(AN167=0,I167,0)</f>
      </c>
      <c r="AK167" s="111">
        <f>IF(AN167=12,I167,0)</f>
      </c>
      <c r="AL167" s="111">
        <f>IF(AN167=21,I167,0)</f>
      </c>
      <c r="AN167" s="111" t="n">
        <v>21</v>
      </c>
      <c r="AO167" s="111">
        <f>H167*0</f>
      </c>
      <c r="AP167" s="111">
        <f>H167*(1-0)</f>
      </c>
      <c r="AQ167" s="153" t="s">
        <v>130</v>
      </c>
      <c r="AV167" s="111">
        <f>AW167+AX167</f>
      </c>
      <c r="AW167" s="111">
        <f>G167*AO167</f>
      </c>
      <c r="AX167" s="111">
        <f>G167*AP167</f>
      </c>
      <c r="AY167" s="153" t="s">
        <v>293</v>
      </c>
      <c r="AZ167" s="153" t="s">
        <v>284</v>
      </c>
      <c r="BA167" s="132" t="s">
        <v>137</v>
      </c>
      <c r="BC167" s="111">
        <f>AW167+AX167</f>
      </c>
      <c r="BD167" s="111">
        <f>H167/(100-BE167)*100</f>
      </c>
      <c r="BE167" s="111" t="n">
        <v>0</v>
      </c>
      <c r="BF167" s="111">
        <f>167</f>
      </c>
      <c r="BH167" s="111">
        <f>G167*AO167</f>
      </c>
      <c r="BI167" s="111">
        <f>G167*AP167</f>
      </c>
      <c r="BJ167" s="111">
        <f>G167*H167</f>
      </c>
      <c r="BK167" s="111"/>
      <c r="BL167" s="111" t="n">
        <v>27</v>
      </c>
      <c r="BW167" s="111" t="n">
        <v>21</v>
      </c>
      <c r="BX167" s="14" t="s">
        <v>332</v>
      </c>
    </row>
    <row r="168" customHeight="true" ht="13.5">
      <c r="A168" s="159"/>
      <c r="C168" s="160" t="s">
        <v>146</v>
      </c>
      <c r="D168" s="161" t="s">
        <v>393</v>
      </c>
      <c r="E168" s="156"/>
      <c r="F168" s="156"/>
      <c r="G168" s="156"/>
      <c r="H168" s="162"/>
      <c r="I168" s="156"/>
      <c r="J168" s="156"/>
      <c r="K168" s="163"/>
    </row>
    <row r="169">
      <c r="A169" s="154"/>
      <c r="B169" s="155"/>
      <c r="C169" s="155"/>
      <c r="D169" s="156" t="s">
        <v>390</v>
      </c>
      <c r="E169" s="156" t="s">
        <v>391</v>
      </c>
      <c r="F169" s="155"/>
      <c r="G169" s="157" t="n">
        <v>6</v>
      </c>
      <c r="H169" s="158"/>
      <c r="I169" s="155"/>
      <c r="J169" s="155"/>
      <c r="K169" s="146"/>
    </row>
    <row r="170">
      <c r="A170" s="147" t="s">
        <v>4</v>
      </c>
      <c r="B170" s="148" t="s">
        <v>84</v>
      </c>
      <c r="C170" s="148" t="s">
        <v>348</v>
      </c>
      <c r="D170" s="149" t="s">
        <v>394</v>
      </c>
      <c r="E170" s="148"/>
      <c r="F170" s="150" t="s">
        <v>79</v>
      </c>
      <c r="G170" s="150" t="s">
        <v>79</v>
      </c>
      <c r="H170" s="151" t="s">
        <v>79</v>
      </c>
      <c r="I170" s="117">
        <f>SUM(I171:I241)</f>
      </c>
      <c r="J170" s="132" t="s">
        <v>4</v>
      </c>
      <c r="K170" s="146"/>
      <c r="AI170" s="132" t="s">
        <v>84</v>
      </c>
      <c r="AS170" s="117">
        <f>SUM(AJ171:AJ241)</f>
      </c>
      <c r="AT170" s="117">
        <f>SUM(AK171:AK241)</f>
      </c>
      <c r="AU170" s="117">
        <f>SUM(AL171:AL241)</f>
      </c>
    </row>
    <row r="171">
      <c r="A171" s="9" t="s">
        <v>395</v>
      </c>
      <c r="B171" s="10" t="s">
        <v>84</v>
      </c>
      <c r="C171" s="10" t="s">
        <v>396</v>
      </c>
      <c r="D171" s="14" t="s">
        <v>397</v>
      </c>
      <c r="E171" s="10"/>
      <c r="F171" s="10" t="s">
        <v>145</v>
      </c>
      <c r="G171" s="111" t="n">
        <v>127.65</v>
      </c>
      <c r="H171" s="152" t="n">
        <v>0</v>
      </c>
      <c r="I171" s="111">
        <f>G171*H171</f>
      </c>
      <c r="J171" s="153" t="s">
        <v>134</v>
      </c>
      <c r="K171" s="146"/>
      <c r="Z171" s="111">
        <f>IF(AQ171="5",BJ171,0)</f>
      </c>
      <c r="AB171" s="111">
        <f>IF(AQ171="1",BH171,0)</f>
      </c>
      <c r="AC171" s="111">
        <f>IF(AQ171="1",BI171,0)</f>
      </c>
      <c r="AD171" s="111">
        <f>IF(AQ171="7",BH171,0)</f>
      </c>
      <c r="AE171" s="111">
        <f>IF(AQ171="7",BI171,0)</f>
      </c>
      <c r="AF171" s="111">
        <f>IF(AQ171="2",BH171,0)</f>
      </c>
      <c r="AG171" s="111">
        <f>IF(AQ171="2",BI171,0)</f>
      </c>
      <c r="AH171" s="111">
        <f>IF(AQ171="0",BJ171,0)</f>
      </c>
      <c r="AI171" s="132" t="s">
        <v>84</v>
      </c>
      <c r="AJ171" s="111">
        <f>IF(AN171=0,I171,0)</f>
      </c>
      <c r="AK171" s="111">
        <f>IF(AN171=12,I171,0)</f>
      </c>
      <c r="AL171" s="111">
        <f>IF(AN171=21,I171,0)</f>
      </c>
      <c r="AN171" s="111" t="n">
        <v>21</v>
      </c>
      <c r="AO171" s="111">
        <f>H171*0.73061754</f>
      </c>
      <c r="AP171" s="111">
        <f>H171*(1-0.73061754)</f>
      </c>
      <c r="AQ171" s="153" t="s">
        <v>130</v>
      </c>
      <c r="AV171" s="111">
        <f>AW171+AX171</f>
      </c>
      <c r="AW171" s="111">
        <f>G171*AO171</f>
      </c>
      <c r="AX171" s="111">
        <f>G171*AP171</f>
      </c>
      <c r="AY171" s="153" t="s">
        <v>398</v>
      </c>
      <c r="AZ171" s="153" t="s">
        <v>399</v>
      </c>
      <c r="BA171" s="132" t="s">
        <v>137</v>
      </c>
      <c r="BC171" s="111">
        <f>AW171+AX171</f>
      </c>
      <c r="BD171" s="111">
        <f>H171/(100-BE171)*100</f>
      </c>
      <c r="BE171" s="111" t="n">
        <v>0</v>
      </c>
      <c r="BF171" s="111">
        <f>171</f>
      </c>
      <c r="BH171" s="111">
        <f>G171*AO171</f>
      </c>
      <c r="BI171" s="111">
        <f>G171*AP171</f>
      </c>
      <c r="BJ171" s="111">
        <f>G171*H171</f>
      </c>
      <c r="BK171" s="111"/>
      <c r="BL171" s="111" t="n">
        <v>31</v>
      </c>
      <c r="BW171" s="111" t="n">
        <v>21</v>
      </c>
      <c r="BX171" s="14" t="s">
        <v>397</v>
      </c>
    </row>
    <row r="172" customHeight="true" ht="13.5">
      <c r="A172" s="159"/>
      <c r="C172" s="160" t="s">
        <v>146</v>
      </c>
      <c r="D172" s="161" t="s">
        <v>400</v>
      </c>
      <c r="E172" s="156"/>
      <c r="F172" s="156"/>
      <c r="G172" s="156"/>
      <c r="H172" s="162"/>
      <c r="I172" s="156"/>
      <c r="J172" s="156"/>
      <c r="K172" s="163"/>
    </row>
    <row r="173">
      <c r="A173" s="154"/>
      <c r="B173" s="155"/>
      <c r="C173" s="155"/>
      <c r="D173" s="156" t="s">
        <v>401</v>
      </c>
      <c r="E173" s="156" t="s">
        <v>402</v>
      </c>
      <c r="F173" s="155"/>
      <c r="G173" s="157" t="n">
        <v>32.4</v>
      </c>
      <c r="H173" s="158"/>
      <c r="I173" s="155"/>
      <c r="J173" s="155"/>
      <c r="K173" s="146"/>
    </row>
    <row r="174">
      <c r="A174" s="154"/>
      <c r="B174" s="155"/>
      <c r="C174" s="155"/>
      <c r="D174" s="156" t="s">
        <v>403</v>
      </c>
      <c r="E174" s="156" t="s">
        <v>404</v>
      </c>
      <c r="F174" s="155"/>
      <c r="G174" s="157" t="n">
        <v>80.475</v>
      </c>
      <c r="H174" s="158"/>
      <c r="I174" s="155"/>
      <c r="J174" s="155"/>
      <c r="K174" s="146"/>
    </row>
    <row r="175">
      <c r="A175" s="154"/>
      <c r="B175" s="155"/>
      <c r="C175" s="155"/>
      <c r="D175" s="156" t="s">
        <v>405</v>
      </c>
      <c r="E175" s="156" t="s">
        <v>406</v>
      </c>
      <c r="F175" s="155"/>
      <c r="G175" s="157" t="n">
        <v>14.775</v>
      </c>
      <c r="H175" s="158"/>
      <c r="I175" s="155"/>
      <c r="J175" s="155"/>
      <c r="K175" s="146"/>
    </row>
    <row r="176">
      <c r="A176" s="9" t="s">
        <v>407</v>
      </c>
      <c r="B176" s="10" t="s">
        <v>84</v>
      </c>
      <c r="C176" s="10" t="s">
        <v>408</v>
      </c>
      <c r="D176" s="14" t="s">
        <v>409</v>
      </c>
      <c r="E176" s="10"/>
      <c r="F176" s="10" t="s">
        <v>145</v>
      </c>
      <c r="G176" s="111" t="n">
        <v>127.65</v>
      </c>
      <c r="H176" s="152" t="n">
        <v>0</v>
      </c>
      <c r="I176" s="111">
        <f>G176*H176</f>
      </c>
      <c r="J176" s="153" t="s">
        <v>134</v>
      </c>
      <c r="K176" s="146"/>
      <c r="Z176" s="111">
        <f>IF(AQ176="5",BJ176,0)</f>
      </c>
      <c r="AB176" s="111">
        <f>IF(AQ176="1",BH176,0)</f>
      </c>
      <c r="AC176" s="111">
        <f>IF(AQ176="1",BI176,0)</f>
      </c>
      <c r="AD176" s="111">
        <f>IF(AQ176="7",BH176,0)</f>
      </c>
      <c r="AE176" s="111">
        <f>IF(AQ176="7",BI176,0)</f>
      </c>
      <c r="AF176" s="111">
        <f>IF(AQ176="2",BH176,0)</f>
      </c>
      <c r="AG176" s="111">
        <f>IF(AQ176="2",BI176,0)</f>
      </c>
      <c r="AH176" s="111">
        <f>IF(AQ176="0",BJ176,0)</f>
      </c>
      <c r="AI176" s="132" t="s">
        <v>84</v>
      </c>
      <c r="AJ176" s="111">
        <f>IF(AN176=0,I176,0)</f>
      </c>
      <c r="AK176" s="111">
        <f>IF(AN176=12,I176,0)</f>
      </c>
      <c r="AL176" s="111">
        <f>IF(AN176=21,I176,0)</f>
      </c>
      <c r="AN176" s="111" t="n">
        <v>21</v>
      </c>
      <c r="AO176" s="111">
        <f>H176*0.75463664</f>
      </c>
      <c r="AP176" s="111">
        <f>H176*(1-0.75463664)</f>
      </c>
      <c r="AQ176" s="153" t="s">
        <v>130</v>
      </c>
      <c r="AV176" s="111">
        <f>AW176+AX176</f>
      </c>
      <c r="AW176" s="111">
        <f>G176*AO176</f>
      </c>
      <c r="AX176" s="111">
        <f>G176*AP176</f>
      </c>
      <c r="AY176" s="153" t="s">
        <v>398</v>
      </c>
      <c r="AZ176" s="153" t="s">
        <v>399</v>
      </c>
      <c r="BA176" s="132" t="s">
        <v>137</v>
      </c>
      <c r="BC176" s="111">
        <f>AW176+AX176</f>
      </c>
      <c r="BD176" s="111">
        <f>H176/(100-BE176)*100</f>
      </c>
      <c r="BE176" s="111" t="n">
        <v>0</v>
      </c>
      <c r="BF176" s="111">
        <f>176</f>
      </c>
      <c r="BH176" s="111">
        <f>G176*AO176</f>
      </c>
      <c r="BI176" s="111">
        <f>G176*AP176</f>
      </c>
      <c r="BJ176" s="111">
        <f>G176*H176</f>
      </c>
      <c r="BK176" s="111"/>
      <c r="BL176" s="111" t="n">
        <v>31</v>
      </c>
      <c r="BW176" s="111" t="n">
        <v>21</v>
      </c>
      <c r="BX176" s="14" t="s">
        <v>409</v>
      </c>
    </row>
    <row r="177" customHeight="true" ht="13.5">
      <c r="A177" s="159"/>
      <c r="C177" s="160" t="s">
        <v>146</v>
      </c>
      <c r="D177" s="161" t="s">
        <v>410</v>
      </c>
      <c r="E177" s="156"/>
      <c r="F177" s="156"/>
      <c r="G177" s="156"/>
      <c r="H177" s="162"/>
      <c r="I177" s="156"/>
      <c r="J177" s="156"/>
      <c r="K177" s="163"/>
    </row>
    <row r="178">
      <c r="A178" s="154"/>
      <c r="B178" s="155"/>
      <c r="C178" s="155"/>
      <c r="D178" s="156" t="s">
        <v>401</v>
      </c>
      <c r="E178" s="156" t="s">
        <v>402</v>
      </c>
      <c r="F178" s="155"/>
      <c r="G178" s="157" t="n">
        <v>32.4</v>
      </c>
      <c r="H178" s="158"/>
      <c r="I178" s="155"/>
      <c r="J178" s="155"/>
      <c r="K178" s="146"/>
    </row>
    <row r="179">
      <c r="A179" s="154"/>
      <c r="B179" s="155"/>
      <c r="C179" s="155"/>
      <c r="D179" s="156" t="s">
        <v>403</v>
      </c>
      <c r="E179" s="156" t="s">
        <v>404</v>
      </c>
      <c r="F179" s="155"/>
      <c r="G179" s="157" t="n">
        <v>80.475</v>
      </c>
      <c r="H179" s="158"/>
      <c r="I179" s="155"/>
      <c r="J179" s="155"/>
      <c r="K179" s="146"/>
    </row>
    <row r="180">
      <c r="A180" s="154"/>
      <c r="B180" s="155"/>
      <c r="C180" s="155"/>
      <c r="D180" s="156" t="s">
        <v>405</v>
      </c>
      <c r="E180" s="156" t="s">
        <v>406</v>
      </c>
      <c r="F180" s="155"/>
      <c r="G180" s="157" t="n">
        <v>14.775</v>
      </c>
      <c r="H180" s="158"/>
      <c r="I180" s="155"/>
      <c r="J180" s="155"/>
      <c r="K180" s="146"/>
    </row>
    <row r="181">
      <c r="A181" s="9" t="s">
        <v>411</v>
      </c>
      <c r="B181" s="10" t="s">
        <v>84</v>
      </c>
      <c r="C181" s="10" t="s">
        <v>412</v>
      </c>
      <c r="D181" s="14" t="s">
        <v>413</v>
      </c>
      <c r="E181" s="10"/>
      <c r="F181" s="10" t="s">
        <v>133</v>
      </c>
      <c r="G181" s="111" t="n">
        <v>132</v>
      </c>
      <c r="H181" s="152" t="n">
        <v>0</v>
      </c>
      <c r="I181" s="111">
        <f>G181*H181</f>
      </c>
      <c r="J181" s="153" t="s">
        <v>134</v>
      </c>
      <c r="K181" s="146"/>
      <c r="Z181" s="111">
        <f>IF(AQ181="5",BJ181,0)</f>
      </c>
      <c r="AB181" s="111">
        <f>IF(AQ181="1",BH181,0)</f>
      </c>
      <c r="AC181" s="111">
        <f>IF(AQ181="1",BI181,0)</f>
      </c>
      <c r="AD181" s="111">
        <f>IF(AQ181="7",BH181,0)</f>
      </c>
      <c r="AE181" s="111">
        <f>IF(AQ181="7",BI181,0)</f>
      </c>
      <c r="AF181" s="111">
        <f>IF(AQ181="2",BH181,0)</f>
      </c>
      <c r="AG181" s="111">
        <f>IF(AQ181="2",BI181,0)</f>
      </c>
      <c r="AH181" s="111">
        <f>IF(AQ181="0",BJ181,0)</f>
      </c>
      <c r="AI181" s="132" t="s">
        <v>84</v>
      </c>
      <c r="AJ181" s="111">
        <f>IF(AN181=0,I181,0)</f>
      </c>
      <c r="AK181" s="111">
        <f>IF(AN181=12,I181,0)</f>
      </c>
      <c r="AL181" s="111">
        <f>IF(AN181=21,I181,0)</f>
      </c>
      <c r="AN181" s="111" t="n">
        <v>21</v>
      </c>
      <c r="AO181" s="111">
        <f>H181*0.646746032</f>
      </c>
      <c r="AP181" s="111">
        <f>H181*(1-0.646746032)</f>
      </c>
      <c r="AQ181" s="153" t="s">
        <v>130</v>
      </c>
      <c r="AV181" s="111">
        <f>AW181+AX181</f>
      </c>
      <c r="AW181" s="111">
        <f>G181*AO181</f>
      </c>
      <c r="AX181" s="111">
        <f>G181*AP181</f>
      </c>
      <c r="AY181" s="153" t="s">
        <v>398</v>
      </c>
      <c r="AZ181" s="153" t="s">
        <v>399</v>
      </c>
      <c r="BA181" s="132" t="s">
        <v>137</v>
      </c>
      <c r="BC181" s="111">
        <f>AW181+AX181</f>
      </c>
      <c r="BD181" s="111">
        <f>H181/(100-BE181)*100</f>
      </c>
      <c r="BE181" s="111" t="n">
        <v>0</v>
      </c>
      <c r="BF181" s="111">
        <f>181</f>
      </c>
      <c r="BH181" s="111">
        <f>G181*AO181</f>
      </c>
      <c r="BI181" s="111">
        <f>G181*AP181</f>
      </c>
      <c r="BJ181" s="111">
        <f>G181*H181</f>
      </c>
      <c r="BK181" s="111"/>
      <c r="BL181" s="111" t="n">
        <v>31</v>
      </c>
      <c r="BW181" s="111" t="n">
        <v>21</v>
      </c>
      <c r="BX181" s="14" t="s">
        <v>413</v>
      </c>
    </row>
    <row r="182" customHeight="true" ht="13.5">
      <c r="A182" s="159"/>
      <c r="C182" s="160" t="s">
        <v>146</v>
      </c>
      <c r="D182" s="161" t="s">
        <v>414</v>
      </c>
      <c r="E182" s="156"/>
      <c r="F182" s="156"/>
      <c r="G182" s="156"/>
      <c r="H182" s="162"/>
      <c r="I182" s="156"/>
      <c r="J182" s="156"/>
      <c r="K182" s="163"/>
    </row>
    <row r="183">
      <c r="A183" s="154"/>
      <c r="B183" s="155"/>
      <c r="C183" s="155"/>
      <c r="D183" s="156" t="s">
        <v>415</v>
      </c>
      <c r="E183" s="156" t="s">
        <v>4</v>
      </c>
      <c r="F183" s="155"/>
      <c r="G183" s="157" t="n">
        <v>132</v>
      </c>
      <c r="H183" s="158"/>
      <c r="I183" s="155"/>
      <c r="J183" s="155"/>
      <c r="K183" s="146"/>
    </row>
    <row r="184">
      <c r="A184" s="9" t="s">
        <v>416</v>
      </c>
      <c r="B184" s="10" t="s">
        <v>84</v>
      </c>
      <c r="C184" s="10" t="s">
        <v>417</v>
      </c>
      <c r="D184" s="14" t="s">
        <v>418</v>
      </c>
      <c r="E184" s="10"/>
      <c r="F184" s="10" t="s">
        <v>145</v>
      </c>
      <c r="G184" s="111" t="n">
        <v>364.25275</v>
      </c>
      <c r="H184" s="152" t="n">
        <v>0</v>
      </c>
      <c r="I184" s="111">
        <f>G184*H184</f>
      </c>
      <c r="J184" s="153" t="s">
        <v>134</v>
      </c>
      <c r="K184" s="146"/>
      <c r="Z184" s="111">
        <f>IF(AQ184="5",BJ184,0)</f>
      </c>
      <c r="AB184" s="111">
        <f>IF(AQ184="1",BH184,0)</f>
      </c>
      <c r="AC184" s="111">
        <f>IF(AQ184="1",BI184,0)</f>
      </c>
      <c r="AD184" s="111">
        <f>IF(AQ184="7",BH184,0)</f>
      </c>
      <c r="AE184" s="111">
        <f>IF(AQ184="7",BI184,0)</f>
      </c>
      <c r="AF184" s="111">
        <f>IF(AQ184="2",BH184,0)</f>
      </c>
      <c r="AG184" s="111">
        <f>IF(AQ184="2",BI184,0)</f>
      </c>
      <c r="AH184" s="111">
        <f>IF(AQ184="0",BJ184,0)</f>
      </c>
      <c r="AI184" s="132" t="s">
        <v>84</v>
      </c>
      <c r="AJ184" s="111">
        <f>IF(AN184=0,I184,0)</f>
      </c>
      <c r="AK184" s="111">
        <f>IF(AN184=12,I184,0)</f>
      </c>
      <c r="AL184" s="111">
        <f>IF(AN184=21,I184,0)</f>
      </c>
      <c r="AN184" s="111" t="n">
        <v>21</v>
      </c>
      <c r="AO184" s="111">
        <f>H184*0.842836027</f>
      </c>
      <c r="AP184" s="111">
        <f>H184*(1-0.842836027)</f>
      </c>
      <c r="AQ184" s="153" t="s">
        <v>130</v>
      </c>
      <c r="AV184" s="111">
        <f>AW184+AX184</f>
      </c>
      <c r="AW184" s="111">
        <f>G184*AO184</f>
      </c>
      <c r="AX184" s="111">
        <f>G184*AP184</f>
      </c>
      <c r="AY184" s="153" t="s">
        <v>398</v>
      </c>
      <c r="AZ184" s="153" t="s">
        <v>399</v>
      </c>
      <c r="BA184" s="132" t="s">
        <v>137</v>
      </c>
      <c r="BC184" s="111">
        <f>AW184+AX184</f>
      </c>
      <c r="BD184" s="111">
        <f>H184/(100-BE184)*100</f>
      </c>
      <c r="BE184" s="111" t="n">
        <v>0</v>
      </c>
      <c r="BF184" s="111">
        <f>184</f>
      </c>
      <c r="BH184" s="111">
        <f>G184*AO184</f>
      </c>
      <c r="BI184" s="111">
        <f>G184*AP184</f>
      </c>
      <c r="BJ184" s="111">
        <f>G184*H184</f>
      </c>
      <c r="BK184" s="111"/>
      <c r="BL184" s="111" t="n">
        <v>31</v>
      </c>
      <c r="BW184" s="111" t="n">
        <v>21</v>
      </c>
      <c r="BX184" s="14" t="s">
        <v>418</v>
      </c>
    </row>
    <row r="185" customHeight="true" ht="13.5">
      <c r="A185" s="159"/>
      <c r="C185" s="160" t="s">
        <v>146</v>
      </c>
      <c r="D185" s="161" t="s">
        <v>419</v>
      </c>
      <c r="E185" s="156"/>
      <c r="F185" s="156"/>
      <c r="G185" s="156"/>
      <c r="H185" s="162"/>
      <c r="I185" s="156"/>
      <c r="J185" s="156"/>
      <c r="K185" s="163"/>
    </row>
    <row r="186">
      <c r="A186" s="154"/>
      <c r="B186" s="155"/>
      <c r="C186" s="155"/>
      <c r="D186" s="156" t="s">
        <v>4</v>
      </c>
      <c r="E186" s="156" t="s">
        <v>420</v>
      </c>
      <c r="F186" s="155"/>
      <c r="G186" s="157" t="n">
        <v>0</v>
      </c>
      <c r="H186" s="158"/>
      <c r="I186" s="155"/>
      <c r="J186" s="155"/>
      <c r="K186" s="146"/>
    </row>
    <row r="187">
      <c r="A187" s="154"/>
      <c r="B187" s="155"/>
      <c r="C187" s="155"/>
      <c r="D187" s="156" t="s">
        <v>4</v>
      </c>
      <c r="E187" s="156" t="s">
        <v>421</v>
      </c>
      <c r="F187" s="155"/>
      <c r="G187" s="157" t="n">
        <v>0</v>
      </c>
      <c r="H187" s="158"/>
      <c r="I187" s="155"/>
      <c r="J187" s="155"/>
      <c r="K187" s="146"/>
    </row>
    <row r="188">
      <c r="A188" s="154"/>
      <c r="B188" s="155"/>
      <c r="C188" s="155"/>
      <c r="D188" s="156" t="s">
        <v>422</v>
      </c>
      <c r="E188" s="156" t="s">
        <v>402</v>
      </c>
      <c r="F188" s="155"/>
      <c r="G188" s="157" t="n">
        <v>16.075</v>
      </c>
      <c r="H188" s="158"/>
      <c r="I188" s="155"/>
      <c r="J188" s="155"/>
      <c r="K188" s="146"/>
    </row>
    <row r="189">
      <c r="A189" s="154"/>
      <c r="B189" s="155"/>
      <c r="C189" s="155"/>
      <c r="D189" s="156" t="s">
        <v>423</v>
      </c>
      <c r="E189" s="156" t="s">
        <v>424</v>
      </c>
      <c r="F189" s="155"/>
      <c r="G189" s="157" t="n">
        <v>57.128</v>
      </c>
      <c r="H189" s="158"/>
      <c r="I189" s="155"/>
      <c r="J189" s="155"/>
      <c r="K189" s="146"/>
    </row>
    <row r="190">
      <c r="A190" s="154"/>
      <c r="B190" s="155"/>
      <c r="C190" s="155"/>
      <c r="D190" s="156" t="s">
        <v>4</v>
      </c>
      <c r="E190" s="156" t="s">
        <v>425</v>
      </c>
      <c r="F190" s="155"/>
      <c r="G190" s="157" t="n">
        <v>0</v>
      </c>
      <c r="H190" s="158"/>
      <c r="I190" s="155"/>
      <c r="J190" s="155"/>
      <c r="K190" s="146"/>
    </row>
    <row r="191">
      <c r="A191" s="154"/>
      <c r="B191" s="155"/>
      <c r="C191" s="155"/>
      <c r="D191" s="156" t="s">
        <v>426</v>
      </c>
      <c r="E191" s="156" t="s">
        <v>427</v>
      </c>
      <c r="F191" s="155"/>
      <c r="G191" s="157" t="n">
        <v>34.175</v>
      </c>
      <c r="H191" s="158"/>
      <c r="I191" s="155"/>
      <c r="J191" s="155"/>
      <c r="K191" s="146"/>
    </row>
    <row r="192">
      <c r="A192" s="154"/>
      <c r="B192" s="155"/>
      <c r="C192" s="155"/>
      <c r="D192" s="156" t="s">
        <v>428</v>
      </c>
      <c r="E192" s="156" t="s">
        <v>429</v>
      </c>
      <c r="F192" s="155"/>
      <c r="G192" s="157" t="n">
        <v>45.695</v>
      </c>
      <c r="H192" s="158"/>
      <c r="I192" s="155"/>
      <c r="J192" s="155"/>
      <c r="K192" s="146"/>
    </row>
    <row r="193">
      <c r="A193" s="154"/>
      <c r="B193" s="155"/>
      <c r="C193" s="155"/>
      <c r="D193" s="156" t="s">
        <v>430</v>
      </c>
      <c r="E193" s="156" t="s">
        <v>431</v>
      </c>
      <c r="F193" s="155"/>
      <c r="G193" s="157" t="n">
        <v>48.33</v>
      </c>
      <c r="H193" s="158"/>
      <c r="I193" s="155"/>
      <c r="J193" s="155"/>
      <c r="K193" s="146"/>
    </row>
    <row r="194">
      <c r="A194" s="154"/>
      <c r="B194" s="155"/>
      <c r="C194" s="155"/>
      <c r="D194" s="156" t="s">
        <v>432</v>
      </c>
      <c r="E194" s="156" t="s">
        <v>433</v>
      </c>
      <c r="F194" s="155"/>
      <c r="G194" s="157" t="n">
        <v>58.7085</v>
      </c>
      <c r="H194" s="158"/>
      <c r="I194" s="155"/>
      <c r="J194" s="155"/>
      <c r="K194" s="146"/>
    </row>
    <row r="195">
      <c r="A195" s="154"/>
      <c r="B195" s="155"/>
      <c r="C195" s="155"/>
      <c r="D195" s="156" t="s">
        <v>4</v>
      </c>
      <c r="E195" s="156" t="s">
        <v>434</v>
      </c>
      <c r="F195" s="155"/>
      <c r="G195" s="157" t="n">
        <v>0</v>
      </c>
      <c r="H195" s="158"/>
      <c r="I195" s="155"/>
      <c r="J195" s="155"/>
      <c r="K195" s="146"/>
    </row>
    <row r="196">
      <c r="A196" s="154"/>
      <c r="B196" s="155"/>
      <c r="C196" s="155"/>
      <c r="D196" s="156" t="s">
        <v>435</v>
      </c>
      <c r="E196" s="156" t="s">
        <v>436</v>
      </c>
      <c r="F196" s="155"/>
      <c r="G196" s="157" t="n">
        <v>8.292</v>
      </c>
      <c r="H196" s="158"/>
      <c r="I196" s="155"/>
      <c r="J196" s="155"/>
      <c r="K196" s="146"/>
    </row>
    <row r="197">
      <c r="A197" s="154"/>
      <c r="B197" s="155"/>
      <c r="C197" s="155"/>
      <c r="D197" s="156" t="s">
        <v>437</v>
      </c>
      <c r="E197" s="156" t="s">
        <v>438</v>
      </c>
      <c r="F197" s="155"/>
      <c r="G197" s="157" t="n">
        <v>-13.295</v>
      </c>
      <c r="H197" s="158"/>
      <c r="I197" s="155"/>
      <c r="J197" s="155"/>
      <c r="K197" s="146"/>
    </row>
    <row r="198">
      <c r="A198" s="154"/>
      <c r="B198" s="155"/>
      <c r="C198" s="155"/>
      <c r="D198" s="156" t="s">
        <v>439</v>
      </c>
      <c r="E198" s="156" t="s">
        <v>440</v>
      </c>
      <c r="F198" s="155"/>
      <c r="G198" s="157" t="n">
        <v>135.95925</v>
      </c>
      <c r="H198" s="158"/>
      <c r="I198" s="155"/>
      <c r="J198" s="155"/>
      <c r="K198" s="146"/>
    </row>
    <row r="199">
      <c r="A199" s="154"/>
      <c r="B199" s="155"/>
      <c r="C199" s="155"/>
      <c r="D199" s="156" t="s">
        <v>441</v>
      </c>
      <c r="E199" s="156" t="s">
        <v>442</v>
      </c>
      <c r="F199" s="155"/>
      <c r="G199" s="157" t="n">
        <v>-14.05</v>
      </c>
      <c r="H199" s="158"/>
      <c r="I199" s="155"/>
      <c r="J199" s="155"/>
      <c r="K199" s="146"/>
    </row>
    <row r="200">
      <c r="A200" s="154"/>
      <c r="B200" s="155"/>
      <c r="C200" s="155"/>
      <c r="D200" s="156" t="s">
        <v>443</v>
      </c>
      <c r="E200" s="156" t="s">
        <v>442</v>
      </c>
      <c r="F200" s="155"/>
      <c r="G200" s="157" t="n">
        <v>-12.765</v>
      </c>
      <c r="H200" s="158"/>
      <c r="I200" s="155"/>
      <c r="J200" s="155"/>
      <c r="K200" s="146"/>
    </row>
    <row r="201">
      <c r="A201" s="9" t="s">
        <v>444</v>
      </c>
      <c r="B201" s="10" t="s">
        <v>84</v>
      </c>
      <c r="C201" s="10" t="s">
        <v>445</v>
      </c>
      <c r="D201" s="14" t="s">
        <v>446</v>
      </c>
      <c r="E201" s="10"/>
      <c r="F201" s="10" t="s">
        <v>282</v>
      </c>
      <c r="G201" s="111" t="n">
        <v>66.65</v>
      </c>
      <c r="H201" s="152" t="n">
        <v>0</v>
      </c>
      <c r="I201" s="111">
        <f>G201*H201</f>
      </c>
      <c r="J201" s="153" t="s">
        <v>134</v>
      </c>
      <c r="K201" s="146"/>
      <c r="Z201" s="111">
        <f>IF(AQ201="5",BJ201,0)</f>
      </c>
      <c r="AB201" s="111">
        <f>IF(AQ201="1",BH201,0)</f>
      </c>
      <c r="AC201" s="111">
        <f>IF(AQ201="1",BI201,0)</f>
      </c>
      <c r="AD201" s="111">
        <f>IF(AQ201="7",BH201,0)</f>
      </c>
      <c r="AE201" s="111">
        <f>IF(AQ201="7",BI201,0)</f>
      </c>
      <c r="AF201" s="111">
        <f>IF(AQ201="2",BH201,0)</f>
      </c>
      <c r="AG201" s="111">
        <f>IF(AQ201="2",BI201,0)</f>
      </c>
      <c r="AH201" s="111">
        <f>IF(AQ201="0",BJ201,0)</f>
      </c>
      <c r="AI201" s="132" t="s">
        <v>84</v>
      </c>
      <c r="AJ201" s="111">
        <f>IF(AN201=0,I201,0)</f>
      </c>
      <c r="AK201" s="111">
        <f>IF(AN201=12,I201,0)</f>
      </c>
      <c r="AL201" s="111">
        <f>IF(AN201=21,I201,0)</f>
      </c>
      <c r="AN201" s="111" t="n">
        <v>21</v>
      </c>
      <c r="AO201" s="111">
        <f>H201*0.214774194</f>
      </c>
      <c r="AP201" s="111">
        <f>H201*(1-0.214774194)</f>
      </c>
      <c r="AQ201" s="153" t="s">
        <v>130</v>
      </c>
      <c r="AV201" s="111">
        <f>AW201+AX201</f>
      </c>
      <c r="AW201" s="111">
        <f>G201*AO201</f>
      </c>
      <c r="AX201" s="111">
        <f>G201*AP201</f>
      </c>
      <c r="AY201" s="153" t="s">
        <v>398</v>
      </c>
      <c r="AZ201" s="153" t="s">
        <v>399</v>
      </c>
      <c r="BA201" s="132" t="s">
        <v>137</v>
      </c>
      <c r="BC201" s="111">
        <f>AW201+AX201</f>
      </c>
      <c r="BD201" s="111">
        <f>H201/(100-BE201)*100</f>
      </c>
      <c r="BE201" s="111" t="n">
        <v>0</v>
      </c>
      <c r="BF201" s="111">
        <f>201</f>
      </c>
      <c r="BH201" s="111">
        <f>G201*AO201</f>
      </c>
      <c r="BI201" s="111">
        <f>G201*AP201</f>
      </c>
      <c r="BJ201" s="111">
        <f>G201*H201</f>
      </c>
      <c r="BK201" s="111"/>
      <c r="BL201" s="111" t="n">
        <v>31</v>
      </c>
      <c r="BW201" s="111" t="n">
        <v>21</v>
      </c>
      <c r="BX201" s="14" t="s">
        <v>446</v>
      </c>
    </row>
    <row r="202" customHeight="true" ht="13.5">
      <c r="A202" s="159"/>
      <c r="C202" s="160" t="s">
        <v>146</v>
      </c>
      <c r="D202" s="161" t="s">
        <v>447</v>
      </c>
      <c r="E202" s="156"/>
      <c r="F202" s="156"/>
      <c r="G202" s="156"/>
      <c r="H202" s="162"/>
      <c r="I202" s="156"/>
      <c r="J202" s="156"/>
      <c r="K202" s="163"/>
    </row>
    <row r="203">
      <c r="A203" s="154"/>
      <c r="B203" s="155"/>
      <c r="C203" s="155"/>
      <c r="D203" s="156" t="s">
        <v>448</v>
      </c>
      <c r="E203" s="156" t="s">
        <v>421</v>
      </c>
      <c r="F203" s="155"/>
      <c r="G203" s="157" t="n">
        <v>37.05</v>
      </c>
      <c r="H203" s="158"/>
      <c r="I203" s="155"/>
      <c r="J203" s="155"/>
      <c r="K203" s="146"/>
    </row>
    <row r="204">
      <c r="A204" s="154"/>
      <c r="B204" s="155"/>
      <c r="C204" s="155"/>
      <c r="D204" s="156" t="s">
        <v>449</v>
      </c>
      <c r="E204" s="156" t="s">
        <v>425</v>
      </c>
      <c r="F204" s="155"/>
      <c r="G204" s="157" t="n">
        <v>29.6</v>
      </c>
      <c r="H204" s="158"/>
      <c r="I204" s="155"/>
      <c r="J204" s="155"/>
      <c r="K204" s="146"/>
    </row>
    <row r="205">
      <c r="A205" s="9" t="s">
        <v>450</v>
      </c>
      <c r="B205" s="10" t="s">
        <v>84</v>
      </c>
      <c r="C205" s="10" t="s">
        <v>451</v>
      </c>
      <c r="D205" s="14" t="s">
        <v>452</v>
      </c>
      <c r="E205" s="10"/>
      <c r="F205" s="10" t="s">
        <v>133</v>
      </c>
      <c r="G205" s="111" t="n">
        <v>10</v>
      </c>
      <c r="H205" s="152" t="n">
        <v>0</v>
      </c>
      <c r="I205" s="111">
        <f>G205*H205</f>
      </c>
      <c r="J205" s="153" t="s">
        <v>134</v>
      </c>
      <c r="K205" s="146"/>
      <c r="Z205" s="111">
        <f>IF(AQ205="5",BJ205,0)</f>
      </c>
      <c r="AB205" s="111">
        <f>IF(AQ205="1",BH205,0)</f>
      </c>
      <c r="AC205" s="111">
        <f>IF(AQ205="1",BI205,0)</f>
      </c>
      <c r="AD205" s="111">
        <f>IF(AQ205="7",BH205,0)</f>
      </c>
      <c r="AE205" s="111">
        <f>IF(AQ205="7",BI205,0)</f>
      </c>
      <c r="AF205" s="111">
        <f>IF(AQ205="2",BH205,0)</f>
      </c>
      <c r="AG205" s="111">
        <f>IF(AQ205="2",BI205,0)</f>
      </c>
      <c r="AH205" s="111">
        <f>IF(AQ205="0",BJ205,0)</f>
      </c>
      <c r="AI205" s="132" t="s">
        <v>84</v>
      </c>
      <c r="AJ205" s="111">
        <f>IF(AN205=0,I205,0)</f>
      </c>
      <c r="AK205" s="111">
        <f>IF(AN205=12,I205,0)</f>
      </c>
      <c r="AL205" s="111">
        <f>IF(AN205=21,I205,0)</f>
      </c>
      <c r="AN205" s="111" t="n">
        <v>21</v>
      </c>
      <c r="AO205" s="111">
        <f>H205*0.897602564</f>
      </c>
      <c r="AP205" s="111">
        <f>H205*(1-0.897602564)</f>
      </c>
      <c r="AQ205" s="153" t="s">
        <v>130</v>
      </c>
      <c r="AV205" s="111">
        <f>AW205+AX205</f>
      </c>
      <c r="AW205" s="111">
        <f>G205*AO205</f>
      </c>
      <c r="AX205" s="111">
        <f>G205*AP205</f>
      </c>
      <c r="AY205" s="153" t="s">
        <v>398</v>
      </c>
      <c r="AZ205" s="153" t="s">
        <v>399</v>
      </c>
      <c r="BA205" s="132" t="s">
        <v>137</v>
      </c>
      <c r="BC205" s="111">
        <f>AW205+AX205</f>
      </c>
      <c r="BD205" s="111">
        <f>H205/(100-BE205)*100</f>
      </c>
      <c r="BE205" s="111" t="n">
        <v>0</v>
      </c>
      <c r="BF205" s="111">
        <f>205</f>
      </c>
      <c r="BH205" s="111">
        <f>G205*AO205</f>
      </c>
      <c r="BI205" s="111">
        <f>G205*AP205</f>
      </c>
      <c r="BJ205" s="111">
        <f>G205*H205</f>
      </c>
      <c r="BK205" s="111"/>
      <c r="BL205" s="111" t="n">
        <v>31</v>
      </c>
      <c r="BW205" s="111" t="n">
        <v>21</v>
      </c>
      <c r="BX205" s="14" t="s">
        <v>452</v>
      </c>
    </row>
    <row r="206">
      <c r="A206" s="154"/>
      <c r="B206" s="155"/>
      <c r="C206" s="155"/>
      <c r="D206" s="156" t="s">
        <v>176</v>
      </c>
      <c r="E206" s="156" t="s">
        <v>453</v>
      </c>
      <c r="F206" s="155"/>
      <c r="G206" s="157" t="n">
        <v>8</v>
      </c>
      <c r="H206" s="158"/>
      <c r="I206" s="155"/>
      <c r="J206" s="155"/>
      <c r="K206" s="146"/>
    </row>
    <row r="207">
      <c r="A207" s="154"/>
      <c r="B207" s="155"/>
      <c r="C207" s="155"/>
      <c r="D207" s="156" t="s">
        <v>140</v>
      </c>
      <c r="E207" s="156" t="s">
        <v>454</v>
      </c>
      <c r="F207" s="155"/>
      <c r="G207" s="157" t="n">
        <v>2</v>
      </c>
      <c r="H207" s="158"/>
      <c r="I207" s="155"/>
      <c r="J207" s="155"/>
      <c r="K207" s="146"/>
    </row>
    <row r="208">
      <c r="A208" s="9" t="s">
        <v>455</v>
      </c>
      <c r="B208" s="10" t="s">
        <v>84</v>
      </c>
      <c r="C208" s="10" t="s">
        <v>456</v>
      </c>
      <c r="D208" s="14" t="s">
        <v>457</v>
      </c>
      <c r="E208" s="10"/>
      <c r="F208" s="10" t="s">
        <v>133</v>
      </c>
      <c r="G208" s="111" t="n">
        <v>48</v>
      </c>
      <c r="H208" s="152" t="n">
        <v>0</v>
      </c>
      <c r="I208" s="111">
        <f>G208*H208</f>
      </c>
      <c r="J208" s="153" t="s">
        <v>134</v>
      </c>
      <c r="K208" s="146"/>
      <c r="Z208" s="111">
        <f>IF(AQ208="5",BJ208,0)</f>
      </c>
      <c r="AB208" s="111">
        <f>IF(AQ208="1",BH208,0)</f>
      </c>
      <c r="AC208" s="111">
        <f>IF(AQ208="1",BI208,0)</f>
      </c>
      <c r="AD208" s="111">
        <f>IF(AQ208="7",BH208,0)</f>
      </c>
      <c r="AE208" s="111">
        <f>IF(AQ208="7",BI208,0)</f>
      </c>
      <c r="AF208" s="111">
        <f>IF(AQ208="2",BH208,0)</f>
      </c>
      <c r="AG208" s="111">
        <f>IF(AQ208="2",BI208,0)</f>
      </c>
      <c r="AH208" s="111">
        <f>IF(AQ208="0",BJ208,0)</f>
      </c>
      <c r="AI208" s="132" t="s">
        <v>84</v>
      </c>
      <c r="AJ208" s="111">
        <f>IF(AN208=0,I208,0)</f>
      </c>
      <c r="AK208" s="111">
        <f>IF(AN208=12,I208,0)</f>
      </c>
      <c r="AL208" s="111">
        <f>IF(AN208=21,I208,0)</f>
      </c>
      <c r="AN208" s="111" t="n">
        <v>21</v>
      </c>
      <c r="AO208" s="111">
        <f>H208*0.883926531</f>
      </c>
      <c r="AP208" s="111">
        <f>H208*(1-0.883926531)</f>
      </c>
      <c r="AQ208" s="153" t="s">
        <v>130</v>
      </c>
      <c r="AV208" s="111">
        <f>AW208+AX208</f>
      </c>
      <c r="AW208" s="111">
        <f>G208*AO208</f>
      </c>
      <c r="AX208" s="111">
        <f>G208*AP208</f>
      </c>
      <c r="AY208" s="153" t="s">
        <v>398</v>
      </c>
      <c r="AZ208" s="153" t="s">
        <v>399</v>
      </c>
      <c r="BA208" s="132" t="s">
        <v>137</v>
      </c>
      <c r="BC208" s="111">
        <f>AW208+AX208</f>
      </c>
      <c r="BD208" s="111">
        <f>H208/(100-BE208)*100</f>
      </c>
      <c r="BE208" s="111" t="n">
        <v>0</v>
      </c>
      <c r="BF208" s="111">
        <f>208</f>
      </c>
      <c r="BH208" s="111">
        <f>G208*AO208</f>
      </c>
      <c r="BI208" s="111">
        <f>G208*AP208</f>
      </c>
      <c r="BJ208" s="111">
        <f>G208*H208</f>
      </c>
      <c r="BK208" s="111"/>
      <c r="BL208" s="111" t="n">
        <v>31</v>
      </c>
      <c r="BW208" s="111" t="n">
        <v>21</v>
      </c>
      <c r="BX208" s="14" t="s">
        <v>457</v>
      </c>
    </row>
    <row r="209">
      <c r="A209" s="154"/>
      <c r="B209" s="155"/>
      <c r="C209" s="155"/>
      <c r="D209" s="156" t="s">
        <v>279</v>
      </c>
      <c r="E209" s="156" t="s">
        <v>458</v>
      </c>
      <c r="F209" s="155"/>
      <c r="G209" s="157" t="n">
        <v>24</v>
      </c>
      <c r="H209" s="158"/>
      <c r="I209" s="155"/>
      <c r="J209" s="155"/>
      <c r="K209" s="146"/>
    </row>
    <row r="210">
      <c r="A210" s="154"/>
      <c r="B210" s="155"/>
      <c r="C210" s="155"/>
      <c r="D210" s="156" t="s">
        <v>279</v>
      </c>
      <c r="E210" s="156" t="s">
        <v>459</v>
      </c>
      <c r="F210" s="155"/>
      <c r="G210" s="157" t="n">
        <v>24</v>
      </c>
      <c r="H210" s="158"/>
      <c r="I210" s="155"/>
      <c r="J210" s="155"/>
      <c r="K210" s="146"/>
    </row>
    <row r="211">
      <c r="A211" s="9" t="s">
        <v>460</v>
      </c>
      <c r="B211" s="10" t="s">
        <v>84</v>
      </c>
      <c r="C211" s="10" t="s">
        <v>461</v>
      </c>
      <c r="D211" s="14" t="s">
        <v>462</v>
      </c>
      <c r="E211" s="10"/>
      <c r="F211" s="10" t="s">
        <v>133</v>
      </c>
      <c r="G211" s="111" t="n">
        <v>30</v>
      </c>
      <c r="H211" s="152" t="n">
        <v>0</v>
      </c>
      <c r="I211" s="111">
        <f>G211*H211</f>
      </c>
      <c r="J211" s="153" t="s">
        <v>134</v>
      </c>
      <c r="K211" s="146"/>
      <c r="Z211" s="111">
        <f>IF(AQ211="5",BJ211,0)</f>
      </c>
      <c r="AB211" s="111">
        <f>IF(AQ211="1",BH211,0)</f>
      </c>
      <c r="AC211" s="111">
        <f>IF(AQ211="1",BI211,0)</f>
      </c>
      <c r="AD211" s="111">
        <f>IF(AQ211="7",BH211,0)</f>
      </c>
      <c r="AE211" s="111">
        <f>IF(AQ211="7",BI211,0)</f>
      </c>
      <c r="AF211" s="111">
        <f>IF(AQ211="2",BH211,0)</f>
      </c>
      <c r="AG211" s="111">
        <f>IF(AQ211="2",BI211,0)</f>
      </c>
      <c r="AH211" s="111">
        <f>IF(AQ211="0",BJ211,0)</f>
      </c>
      <c r="AI211" s="132" t="s">
        <v>84</v>
      </c>
      <c r="AJ211" s="111">
        <f>IF(AN211=0,I211,0)</f>
      </c>
      <c r="AK211" s="111">
        <f>IF(AN211=12,I211,0)</f>
      </c>
      <c r="AL211" s="111">
        <f>IF(AN211=21,I211,0)</f>
      </c>
      <c r="AN211" s="111" t="n">
        <v>21</v>
      </c>
      <c r="AO211" s="111">
        <f>H211*0.86007085</f>
      </c>
      <c r="AP211" s="111">
        <f>H211*(1-0.86007085)</f>
      </c>
      <c r="AQ211" s="153" t="s">
        <v>130</v>
      </c>
      <c r="AV211" s="111">
        <f>AW211+AX211</f>
      </c>
      <c r="AW211" s="111">
        <f>G211*AO211</f>
      </c>
      <c r="AX211" s="111">
        <f>G211*AP211</f>
      </c>
      <c r="AY211" s="153" t="s">
        <v>398</v>
      </c>
      <c r="AZ211" s="153" t="s">
        <v>399</v>
      </c>
      <c r="BA211" s="132" t="s">
        <v>137</v>
      </c>
      <c r="BC211" s="111">
        <f>AW211+AX211</f>
      </c>
      <c r="BD211" s="111">
        <f>H211/(100-BE211)*100</f>
      </c>
      <c r="BE211" s="111" t="n">
        <v>0</v>
      </c>
      <c r="BF211" s="111">
        <f>211</f>
      </c>
      <c r="BH211" s="111">
        <f>G211*AO211</f>
      </c>
      <c r="BI211" s="111">
        <f>G211*AP211</f>
      </c>
      <c r="BJ211" s="111">
        <f>G211*H211</f>
      </c>
      <c r="BK211" s="111"/>
      <c r="BL211" s="111" t="n">
        <v>31</v>
      </c>
      <c r="BW211" s="111" t="n">
        <v>21</v>
      </c>
      <c r="BX211" s="14" t="s">
        <v>462</v>
      </c>
    </row>
    <row r="212">
      <c r="A212" s="154"/>
      <c r="B212" s="155"/>
      <c r="C212" s="155"/>
      <c r="D212" s="156" t="s">
        <v>463</v>
      </c>
      <c r="E212" s="156" t="s">
        <v>464</v>
      </c>
      <c r="F212" s="155"/>
      <c r="G212" s="157" t="n">
        <v>14</v>
      </c>
      <c r="H212" s="158"/>
      <c r="I212" s="155"/>
      <c r="J212" s="155"/>
      <c r="K212" s="146"/>
    </row>
    <row r="213">
      <c r="A213" s="154"/>
      <c r="B213" s="155"/>
      <c r="C213" s="155"/>
      <c r="D213" s="156" t="s">
        <v>202</v>
      </c>
      <c r="E213" s="156" t="s">
        <v>465</v>
      </c>
      <c r="F213" s="155"/>
      <c r="G213" s="157" t="n">
        <v>16</v>
      </c>
      <c r="H213" s="158"/>
      <c r="I213" s="155"/>
      <c r="J213" s="155"/>
      <c r="K213" s="146"/>
    </row>
    <row r="214">
      <c r="A214" s="9" t="s">
        <v>466</v>
      </c>
      <c r="B214" s="10" t="s">
        <v>84</v>
      </c>
      <c r="C214" s="10" t="s">
        <v>467</v>
      </c>
      <c r="D214" s="14" t="s">
        <v>468</v>
      </c>
      <c r="E214" s="10"/>
      <c r="F214" s="10" t="s">
        <v>133</v>
      </c>
      <c r="G214" s="111" t="n">
        <v>23</v>
      </c>
      <c r="H214" s="152" t="n">
        <v>0</v>
      </c>
      <c r="I214" s="111">
        <f>G214*H214</f>
      </c>
      <c r="J214" s="153" t="s">
        <v>134</v>
      </c>
      <c r="K214" s="146"/>
      <c r="Z214" s="111">
        <f>IF(AQ214="5",BJ214,0)</f>
      </c>
      <c r="AB214" s="111">
        <f>IF(AQ214="1",BH214,0)</f>
      </c>
      <c r="AC214" s="111">
        <f>IF(AQ214="1",BI214,0)</f>
      </c>
      <c r="AD214" s="111">
        <f>IF(AQ214="7",BH214,0)</f>
      </c>
      <c r="AE214" s="111">
        <f>IF(AQ214="7",BI214,0)</f>
      </c>
      <c r="AF214" s="111">
        <f>IF(AQ214="2",BH214,0)</f>
      </c>
      <c r="AG214" s="111">
        <f>IF(AQ214="2",BI214,0)</f>
      </c>
      <c r="AH214" s="111">
        <f>IF(AQ214="0",BJ214,0)</f>
      </c>
      <c r="AI214" s="132" t="s">
        <v>84</v>
      </c>
      <c r="AJ214" s="111">
        <f>IF(AN214=0,I214,0)</f>
      </c>
      <c r="AK214" s="111">
        <f>IF(AN214=12,I214,0)</f>
      </c>
      <c r="AL214" s="111">
        <f>IF(AN214=21,I214,0)</f>
      </c>
      <c r="AN214" s="111" t="n">
        <v>21</v>
      </c>
      <c r="AO214" s="111">
        <f>H214*0.842592701</f>
      </c>
      <c r="AP214" s="111">
        <f>H214*(1-0.842592701)</f>
      </c>
      <c r="AQ214" s="153" t="s">
        <v>130</v>
      </c>
      <c r="AV214" s="111">
        <f>AW214+AX214</f>
      </c>
      <c r="AW214" s="111">
        <f>G214*AO214</f>
      </c>
      <c r="AX214" s="111">
        <f>G214*AP214</f>
      </c>
      <c r="AY214" s="153" t="s">
        <v>398</v>
      </c>
      <c r="AZ214" s="153" t="s">
        <v>399</v>
      </c>
      <c r="BA214" s="132" t="s">
        <v>137</v>
      </c>
      <c r="BC214" s="111">
        <f>AW214+AX214</f>
      </c>
      <c r="BD214" s="111">
        <f>H214/(100-BE214)*100</f>
      </c>
      <c r="BE214" s="111" t="n">
        <v>0</v>
      </c>
      <c r="BF214" s="111">
        <f>214</f>
      </c>
      <c r="BH214" s="111">
        <f>G214*AO214</f>
      </c>
      <c r="BI214" s="111">
        <f>G214*AP214</f>
      </c>
      <c r="BJ214" s="111">
        <f>G214*H214</f>
      </c>
      <c r="BK214" s="111"/>
      <c r="BL214" s="111" t="n">
        <v>31</v>
      </c>
      <c r="BW214" s="111" t="n">
        <v>21</v>
      </c>
      <c r="BX214" s="14" t="s">
        <v>468</v>
      </c>
    </row>
    <row r="215">
      <c r="A215" s="154"/>
      <c r="B215" s="155"/>
      <c r="C215" s="155"/>
      <c r="D215" s="156" t="s">
        <v>469</v>
      </c>
      <c r="E215" s="156" t="s">
        <v>470</v>
      </c>
      <c r="F215" s="155"/>
      <c r="G215" s="157" t="n">
        <v>21</v>
      </c>
      <c r="H215" s="158"/>
      <c r="I215" s="155"/>
      <c r="J215" s="155"/>
      <c r="K215" s="146"/>
    </row>
    <row r="216">
      <c r="A216" s="154"/>
      <c r="B216" s="155"/>
      <c r="C216" s="155"/>
      <c r="D216" s="156" t="s">
        <v>140</v>
      </c>
      <c r="E216" s="156" t="s">
        <v>471</v>
      </c>
      <c r="F216" s="155"/>
      <c r="G216" s="157" t="n">
        <v>2</v>
      </c>
      <c r="H216" s="158"/>
      <c r="I216" s="155"/>
      <c r="J216" s="155"/>
      <c r="K216" s="146"/>
    </row>
    <row r="217">
      <c r="A217" s="9" t="s">
        <v>472</v>
      </c>
      <c r="B217" s="10" t="s">
        <v>84</v>
      </c>
      <c r="C217" s="10" t="s">
        <v>473</v>
      </c>
      <c r="D217" s="14" t="s">
        <v>474</v>
      </c>
      <c r="E217" s="10"/>
      <c r="F217" s="10" t="s">
        <v>133</v>
      </c>
      <c r="G217" s="111" t="n">
        <v>4</v>
      </c>
      <c r="H217" s="152" t="n">
        <v>0</v>
      </c>
      <c r="I217" s="111">
        <f>G217*H217</f>
      </c>
      <c r="J217" s="153" t="s">
        <v>134</v>
      </c>
      <c r="K217" s="146"/>
      <c r="Z217" s="111">
        <f>IF(AQ217="5",BJ217,0)</f>
      </c>
      <c r="AB217" s="111">
        <f>IF(AQ217="1",BH217,0)</f>
      </c>
      <c r="AC217" s="111">
        <f>IF(AQ217="1",BI217,0)</f>
      </c>
      <c r="AD217" s="111">
        <f>IF(AQ217="7",BH217,0)</f>
      </c>
      <c r="AE217" s="111">
        <f>IF(AQ217="7",BI217,0)</f>
      </c>
      <c r="AF217" s="111">
        <f>IF(AQ217="2",BH217,0)</f>
      </c>
      <c r="AG217" s="111">
        <f>IF(AQ217="2",BI217,0)</f>
      </c>
      <c r="AH217" s="111">
        <f>IF(AQ217="0",BJ217,0)</f>
      </c>
      <c r="AI217" s="132" t="s">
        <v>84</v>
      </c>
      <c r="AJ217" s="111">
        <f>IF(AN217=0,I217,0)</f>
      </c>
      <c r="AK217" s="111">
        <f>IF(AN217=12,I217,0)</f>
      </c>
      <c r="AL217" s="111">
        <f>IF(AN217=21,I217,0)</f>
      </c>
      <c r="AN217" s="111" t="n">
        <v>21</v>
      </c>
      <c r="AO217" s="111">
        <f>H217*0.908882883</f>
      </c>
      <c r="AP217" s="111">
        <f>H217*(1-0.908882883)</f>
      </c>
      <c r="AQ217" s="153" t="s">
        <v>130</v>
      </c>
      <c r="AV217" s="111">
        <f>AW217+AX217</f>
      </c>
      <c r="AW217" s="111">
        <f>G217*AO217</f>
      </c>
      <c r="AX217" s="111">
        <f>G217*AP217</f>
      </c>
      <c r="AY217" s="153" t="s">
        <v>398</v>
      </c>
      <c r="AZ217" s="153" t="s">
        <v>399</v>
      </c>
      <c r="BA217" s="132" t="s">
        <v>137</v>
      </c>
      <c r="BC217" s="111">
        <f>AW217+AX217</f>
      </c>
      <c r="BD217" s="111">
        <f>H217/(100-BE217)*100</f>
      </c>
      <c r="BE217" s="111" t="n">
        <v>0</v>
      </c>
      <c r="BF217" s="111">
        <f>217</f>
      </c>
      <c r="BH217" s="111">
        <f>G217*AO217</f>
      </c>
      <c r="BI217" s="111">
        <f>G217*AP217</f>
      </c>
      <c r="BJ217" s="111">
        <f>G217*H217</f>
      </c>
      <c r="BK217" s="111"/>
      <c r="BL217" s="111" t="n">
        <v>31</v>
      </c>
      <c r="BW217" s="111" t="n">
        <v>21</v>
      </c>
      <c r="BX217" s="14" t="s">
        <v>474</v>
      </c>
    </row>
    <row r="218">
      <c r="A218" s="154"/>
      <c r="B218" s="155"/>
      <c r="C218" s="155"/>
      <c r="D218" s="156" t="s">
        <v>149</v>
      </c>
      <c r="E218" s="156" t="s">
        <v>475</v>
      </c>
      <c r="F218" s="155"/>
      <c r="G218" s="157" t="n">
        <v>4</v>
      </c>
      <c r="H218" s="158"/>
      <c r="I218" s="155"/>
      <c r="J218" s="155"/>
      <c r="K218" s="146"/>
    </row>
    <row r="219">
      <c r="A219" s="9" t="s">
        <v>148</v>
      </c>
      <c r="B219" s="10" t="s">
        <v>84</v>
      </c>
      <c r="C219" s="10" t="s">
        <v>476</v>
      </c>
      <c r="D219" s="14" t="s">
        <v>477</v>
      </c>
      <c r="E219" s="10"/>
      <c r="F219" s="10" t="s">
        <v>133</v>
      </c>
      <c r="G219" s="111" t="n">
        <v>5</v>
      </c>
      <c r="H219" s="152" t="n">
        <v>0</v>
      </c>
      <c r="I219" s="111">
        <f>G219*H219</f>
      </c>
      <c r="J219" s="153" t="s">
        <v>134</v>
      </c>
      <c r="K219" s="146"/>
      <c r="Z219" s="111">
        <f>IF(AQ219="5",BJ219,0)</f>
      </c>
      <c r="AB219" s="111">
        <f>IF(AQ219="1",BH219,0)</f>
      </c>
      <c r="AC219" s="111">
        <f>IF(AQ219="1",BI219,0)</f>
      </c>
      <c r="AD219" s="111">
        <f>IF(AQ219="7",BH219,0)</f>
      </c>
      <c r="AE219" s="111">
        <f>IF(AQ219="7",BI219,0)</f>
      </c>
      <c r="AF219" s="111">
        <f>IF(AQ219="2",BH219,0)</f>
      </c>
      <c r="AG219" s="111">
        <f>IF(AQ219="2",BI219,0)</f>
      </c>
      <c r="AH219" s="111">
        <f>IF(AQ219="0",BJ219,0)</f>
      </c>
      <c r="AI219" s="132" t="s">
        <v>84</v>
      </c>
      <c r="AJ219" s="111">
        <f>IF(AN219=0,I219,0)</f>
      </c>
      <c r="AK219" s="111">
        <f>IF(AN219=12,I219,0)</f>
      </c>
      <c r="AL219" s="111">
        <f>IF(AN219=21,I219,0)</f>
      </c>
      <c r="AN219" s="111" t="n">
        <v>21</v>
      </c>
      <c r="AO219" s="111">
        <f>H219*0.803426796</f>
      </c>
      <c r="AP219" s="111">
        <f>H219*(1-0.803426796)</f>
      </c>
      <c r="AQ219" s="153" t="s">
        <v>130</v>
      </c>
      <c r="AV219" s="111">
        <f>AW219+AX219</f>
      </c>
      <c r="AW219" s="111">
        <f>G219*AO219</f>
      </c>
      <c r="AX219" s="111">
        <f>G219*AP219</f>
      </c>
      <c r="AY219" s="153" t="s">
        <v>398</v>
      </c>
      <c r="AZ219" s="153" t="s">
        <v>399</v>
      </c>
      <c r="BA219" s="132" t="s">
        <v>137</v>
      </c>
      <c r="BC219" s="111">
        <f>AW219+AX219</f>
      </c>
      <c r="BD219" s="111">
        <f>H219/(100-BE219)*100</f>
      </c>
      <c r="BE219" s="111" t="n">
        <v>0</v>
      </c>
      <c r="BF219" s="111">
        <f>219</f>
      </c>
      <c r="BH219" s="111">
        <f>G219*AO219</f>
      </c>
      <c r="BI219" s="111">
        <f>G219*AP219</f>
      </c>
      <c r="BJ219" s="111">
        <f>G219*H219</f>
      </c>
      <c r="BK219" s="111"/>
      <c r="BL219" s="111" t="n">
        <v>31</v>
      </c>
      <c r="BW219" s="111" t="n">
        <v>21</v>
      </c>
      <c r="BX219" s="14" t="s">
        <v>477</v>
      </c>
    </row>
    <row r="220">
      <c r="A220" s="154"/>
      <c r="B220" s="155"/>
      <c r="C220" s="155"/>
      <c r="D220" s="156" t="s">
        <v>138</v>
      </c>
      <c r="E220" s="156" t="s">
        <v>478</v>
      </c>
      <c r="F220" s="155"/>
      <c r="G220" s="157" t="n">
        <v>3</v>
      </c>
      <c r="H220" s="158"/>
      <c r="I220" s="155"/>
      <c r="J220" s="155"/>
      <c r="K220" s="146"/>
    </row>
    <row r="221">
      <c r="A221" s="154"/>
      <c r="B221" s="155"/>
      <c r="C221" s="155"/>
      <c r="D221" s="156" t="s">
        <v>140</v>
      </c>
      <c r="E221" s="156" t="s">
        <v>479</v>
      </c>
      <c r="F221" s="155"/>
      <c r="G221" s="157" t="n">
        <v>2</v>
      </c>
      <c r="H221" s="158"/>
      <c r="I221" s="155"/>
      <c r="J221" s="155"/>
      <c r="K221" s="146"/>
    </row>
    <row r="222">
      <c r="A222" s="9" t="s">
        <v>480</v>
      </c>
      <c r="B222" s="10" t="s">
        <v>84</v>
      </c>
      <c r="C222" s="10" t="s">
        <v>481</v>
      </c>
      <c r="D222" s="14" t="s">
        <v>482</v>
      </c>
      <c r="E222" s="10"/>
      <c r="F222" s="10" t="s">
        <v>133</v>
      </c>
      <c r="G222" s="111" t="n">
        <v>4</v>
      </c>
      <c r="H222" s="152" t="n">
        <v>0</v>
      </c>
      <c r="I222" s="111">
        <f>G222*H222</f>
      </c>
      <c r="J222" s="153" t="s">
        <v>134</v>
      </c>
      <c r="K222" s="146"/>
      <c r="Z222" s="111">
        <f>IF(AQ222="5",BJ222,0)</f>
      </c>
      <c r="AB222" s="111">
        <f>IF(AQ222="1",BH222,0)</f>
      </c>
      <c r="AC222" s="111">
        <f>IF(AQ222="1",BI222,0)</f>
      </c>
      <c r="AD222" s="111">
        <f>IF(AQ222="7",BH222,0)</f>
      </c>
      <c r="AE222" s="111">
        <f>IF(AQ222="7",BI222,0)</f>
      </c>
      <c r="AF222" s="111">
        <f>IF(AQ222="2",BH222,0)</f>
      </c>
      <c r="AG222" s="111">
        <f>IF(AQ222="2",BI222,0)</f>
      </c>
      <c r="AH222" s="111">
        <f>IF(AQ222="0",BJ222,0)</f>
      </c>
      <c r="AI222" s="132" t="s">
        <v>84</v>
      </c>
      <c r="AJ222" s="111">
        <f>IF(AN222=0,I222,0)</f>
      </c>
      <c r="AK222" s="111">
        <f>IF(AN222=12,I222,0)</f>
      </c>
      <c r="AL222" s="111">
        <f>IF(AN222=21,I222,0)</f>
      </c>
      <c r="AN222" s="111" t="n">
        <v>21</v>
      </c>
      <c r="AO222" s="111">
        <f>H222*0.90713834</f>
      </c>
      <c r="AP222" s="111">
        <f>H222*(1-0.90713834)</f>
      </c>
      <c r="AQ222" s="153" t="s">
        <v>130</v>
      </c>
      <c r="AV222" s="111">
        <f>AW222+AX222</f>
      </c>
      <c r="AW222" s="111">
        <f>G222*AO222</f>
      </c>
      <c r="AX222" s="111">
        <f>G222*AP222</f>
      </c>
      <c r="AY222" s="153" t="s">
        <v>398</v>
      </c>
      <c r="AZ222" s="153" t="s">
        <v>399</v>
      </c>
      <c r="BA222" s="132" t="s">
        <v>137</v>
      </c>
      <c r="BC222" s="111">
        <f>AW222+AX222</f>
      </c>
      <c r="BD222" s="111">
        <f>H222/(100-BE222)*100</f>
      </c>
      <c r="BE222" s="111" t="n">
        <v>0</v>
      </c>
      <c r="BF222" s="111">
        <f>222</f>
      </c>
      <c r="BH222" s="111">
        <f>G222*AO222</f>
      </c>
      <c r="BI222" s="111">
        <f>G222*AP222</f>
      </c>
      <c r="BJ222" s="111">
        <f>G222*H222</f>
      </c>
      <c r="BK222" s="111"/>
      <c r="BL222" s="111" t="n">
        <v>31</v>
      </c>
      <c r="BW222" s="111" t="n">
        <v>21</v>
      </c>
      <c r="BX222" s="14" t="s">
        <v>482</v>
      </c>
    </row>
    <row r="223">
      <c r="A223" s="154"/>
      <c r="B223" s="155"/>
      <c r="C223" s="155"/>
      <c r="D223" s="156" t="s">
        <v>149</v>
      </c>
      <c r="E223" s="156" t="s">
        <v>483</v>
      </c>
      <c r="F223" s="155"/>
      <c r="G223" s="157" t="n">
        <v>4</v>
      </c>
      <c r="H223" s="158"/>
      <c r="I223" s="155"/>
      <c r="J223" s="155"/>
      <c r="K223" s="146"/>
    </row>
    <row r="224">
      <c r="A224" s="9" t="s">
        <v>484</v>
      </c>
      <c r="B224" s="10" t="s">
        <v>84</v>
      </c>
      <c r="C224" s="10" t="s">
        <v>485</v>
      </c>
      <c r="D224" s="14" t="s">
        <v>486</v>
      </c>
      <c r="E224" s="10"/>
      <c r="F224" s="10" t="s">
        <v>133</v>
      </c>
      <c r="G224" s="111" t="n">
        <v>2</v>
      </c>
      <c r="H224" s="152" t="n">
        <v>0</v>
      </c>
      <c r="I224" s="111">
        <f>G224*H224</f>
      </c>
      <c r="J224" s="153" t="s">
        <v>134</v>
      </c>
      <c r="K224" s="146"/>
      <c r="Z224" s="111">
        <f>IF(AQ224="5",BJ224,0)</f>
      </c>
      <c r="AB224" s="111">
        <f>IF(AQ224="1",BH224,0)</f>
      </c>
      <c r="AC224" s="111">
        <f>IF(AQ224="1",BI224,0)</f>
      </c>
      <c r="AD224" s="111">
        <f>IF(AQ224="7",BH224,0)</f>
      </c>
      <c r="AE224" s="111">
        <f>IF(AQ224="7",BI224,0)</f>
      </c>
      <c r="AF224" s="111">
        <f>IF(AQ224="2",BH224,0)</f>
      </c>
      <c r="AG224" s="111">
        <f>IF(AQ224="2",BI224,0)</f>
      </c>
      <c r="AH224" s="111">
        <f>IF(AQ224="0",BJ224,0)</f>
      </c>
      <c r="AI224" s="132" t="s">
        <v>84</v>
      </c>
      <c r="AJ224" s="111">
        <f>IF(AN224=0,I224,0)</f>
      </c>
      <c r="AK224" s="111">
        <f>IF(AN224=12,I224,0)</f>
      </c>
      <c r="AL224" s="111">
        <f>IF(AN224=21,I224,0)</f>
      </c>
      <c r="AN224" s="111" t="n">
        <v>21</v>
      </c>
      <c r="AO224" s="111">
        <f>H224*0.855883845</f>
      </c>
      <c r="AP224" s="111">
        <f>H224*(1-0.855883845)</f>
      </c>
      <c r="AQ224" s="153" t="s">
        <v>130</v>
      </c>
      <c r="AV224" s="111">
        <f>AW224+AX224</f>
      </c>
      <c r="AW224" s="111">
        <f>G224*AO224</f>
      </c>
      <c r="AX224" s="111">
        <f>G224*AP224</f>
      </c>
      <c r="AY224" s="153" t="s">
        <v>398</v>
      </c>
      <c r="AZ224" s="153" t="s">
        <v>399</v>
      </c>
      <c r="BA224" s="132" t="s">
        <v>137</v>
      </c>
      <c r="BC224" s="111">
        <f>AW224+AX224</f>
      </c>
      <c r="BD224" s="111">
        <f>H224/(100-BE224)*100</f>
      </c>
      <c r="BE224" s="111" t="n">
        <v>0</v>
      </c>
      <c r="BF224" s="111">
        <f>224</f>
      </c>
      <c r="BH224" s="111">
        <f>G224*AO224</f>
      </c>
      <c r="BI224" s="111">
        <f>G224*AP224</f>
      </c>
      <c r="BJ224" s="111">
        <f>G224*H224</f>
      </c>
      <c r="BK224" s="111"/>
      <c r="BL224" s="111" t="n">
        <v>31</v>
      </c>
      <c r="BW224" s="111" t="n">
        <v>21</v>
      </c>
      <c r="BX224" s="14" t="s">
        <v>486</v>
      </c>
    </row>
    <row r="225">
      <c r="A225" s="154"/>
      <c r="B225" s="155"/>
      <c r="C225" s="155"/>
      <c r="D225" s="156" t="s">
        <v>140</v>
      </c>
      <c r="E225" s="156" t="s">
        <v>487</v>
      </c>
      <c r="F225" s="155"/>
      <c r="G225" s="157" t="n">
        <v>2</v>
      </c>
      <c r="H225" s="158"/>
      <c r="I225" s="155"/>
      <c r="J225" s="155"/>
      <c r="K225" s="146"/>
    </row>
    <row r="226">
      <c r="A226" s="9" t="s">
        <v>488</v>
      </c>
      <c r="B226" s="10" t="s">
        <v>84</v>
      </c>
      <c r="C226" s="10" t="s">
        <v>489</v>
      </c>
      <c r="D226" s="14" t="s">
        <v>490</v>
      </c>
      <c r="E226" s="10"/>
      <c r="F226" s="10" t="s">
        <v>145</v>
      </c>
      <c r="G226" s="111" t="n">
        <v>16.288</v>
      </c>
      <c r="H226" s="152" t="n">
        <v>0</v>
      </c>
      <c r="I226" s="111">
        <f>G226*H226</f>
      </c>
      <c r="J226" s="153" t="s">
        <v>134</v>
      </c>
      <c r="K226" s="146"/>
      <c r="Z226" s="111">
        <f>IF(AQ226="5",BJ226,0)</f>
      </c>
      <c r="AB226" s="111">
        <f>IF(AQ226="1",BH226,0)</f>
      </c>
      <c r="AC226" s="111">
        <f>IF(AQ226="1",BI226,0)</f>
      </c>
      <c r="AD226" s="111">
        <f>IF(AQ226="7",BH226,0)</f>
      </c>
      <c r="AE226" s="111">
        <f>IF(AQ226="7",BI226,0)</f>
      </c>
      <c r="AF226" s="111">
        <f>IF(AQ226="2",BH226,0)</f>
      </c>
      <c r="AG226" s="111">
        <f>IF(AQ226="2",BI226,0)</f>
      </c>
      <c r="AH226" s="111">
        <f>IF(AQ226="0",BJ226,0)</f>
      </c>
      <c r="AI226" s="132" t="s">
        <v>84</v>
      </c>
      <c r="AJ226" s="111">
        <f>IF(AN226=0,I226,0)</f>
      </c>
      <c r="AK226" s="111">
        <f>IF(AN226=12,I226,0)</f>
      </c>
      <c r="AL226" s="111">
        <f>IF(AN226=21,I226,0)</f>
      </c>
      <c r="AN226" s="111" t="n">
        <v>21</v>
      </c>
      <c r="AO226" s="111">
        <f>H226*0.84064692</f>
      </c>
      <c r="AP226" s="111">
        <f>H226*(1-0.84064692)</f>
      </c>
      <c r="AQ226" s="153" t="s">
        <v>130</v>
      </c>
      <c r="AV226" s="111">
        <f>AW226+AX226</f>
      </c>
      <c r="AW226" s="111">
        <f>G226*AO226</f>
      </c>
      <c r="AX226" s="111">
        <f>G226*AP226</f>
      </c>
      <c r="AY226" s="153" t="s">
        <v>398</v>
      </c>
      <c r="AZ226" s="153" t="s">
        <v>399</v>
      </c>
      <c r="BA226" s="132" t="s">
        <v>137</v>
      </c>
      <c r="BC226" s="111">
        <f>AW226+AX226</f>
      </c>
      <c r="BD226" s="111">
        <f>H226/(100-BE226)*100</f>
      </c>
      <c r="BE226" s="111" t="n">
        <v>0</v>
      </c>
      <c r="BF226" s="111">
        <f>226</f>
      </c>
      <c r="BH226" s="111">
        <f>G226*AO226</f>
      </c>
      <c r="BI226" s="111">
        <f>G226*AP226</f>
      </c>
      <c r="BJ226" s="111">
        <f>G226*H226</f>
      </c>
      <c r="BK226" s="111"/>
      <c r="BL226" s="111" t="n">
        <v>31</v>
      </c>
      <c r="BW226" s="111" t="n">
        <v>21</v>
      </c>
      <c r="BX226" s="14" t="s">
        <v>490</v>
      </c>
    </row>
    <row r="227" customHeight="true" ht="13.5">
      <c r="A227" s="159"/>
      <c r="C227" s="160" t="s">
        <v>146</v>
      </c>
      <c r="D227" s="161" t="s">
        <v>491</v>
      </c>
      <c r="E227" s="156"/>
      <c r="F227" s="156"/>
      <c r="G227" s="156"/>
      <c r="H227" s="162"/>
      <c r="I227" s="156"/>
      <c r="J227" s="156"/>
      <c r="K227" s="163"/>
    </row>
    <row r="228">
      <c r="A228" s="154"/>
      <c r="B228" s="155"/>
      <c r="C228" s="155"/>
      <c r="D228" s="156" t="s">
        <v>492</v>
      </c>
      <c r="E228" s="156" t="s">
        <v>493</v>
      </c>
      <c r="F228" s="155"/>
      <c r="G228" s="157" t="n">
        <v>16.288</v>
      </c>
      <c r="H228" s="158"/>
      <c r="I228" s="155"/>
      <c r="J228" s="155"/>
      <c r="K228" s="146"/>
    </row>
    <row r="229">
      <c r="A229" s="9" t="s">
        <v>494</v>
      </c>
      <c r="B229" s="10" t="s">
        <v>84</v>
      </c>
      <c r="C229" s="10" t="s">
        <v>495</v>
      </c>
      <c r="D229" s="14" t="s">
        <v>496</v>
      </c>
      <c r="E229" s="10"/>
      <c r="F229" s="10" t="s">
        <v>282</v>
      </c>
      <c r="G229" s="111" t="n">
        <v>21.65</v>
      </c>
      <c r="H229" s="152" t="n">
        <v>0</v>
      </c>
      <c r="I229" s="111">
        <f>G229*H229</f>
      </c>
      <c r="J229" s="153" t="s">
        <v>134</v>
      </c>
      <c r="K229" s="146"/>
      <c r="Z229" s="111">
        <f>IF(AQ229="5",BJ229,0)</f>
      </c>
      <c r="AB229" s="111">
        <f>IF(AQ229="1",BH229,0)</f>
      </c>
      <c r="AC229" s="111">
        <f>IF(AQ229="1",BI229,0)</f>
      </c>
      <c r="AD229" s="111">
        <f>IF(AQ229="7",BH229,0)</f>
      </c>
      <c r="AE229" s="111">
        <f>IF(AQ229="7",BI229,0)</f>
      </c>
      <c r="AF229" s="111">
        <f>IF(AQ229="2",BH229,0)</f>
      </c>
      <c r="AG229" s="111">
        <f>IF(AQ229="2",BI229,0)</f>
      </c>
      <c r="AH229" s="111">
        <f>IF(AQ229="0",BJ229,0)</f>
      </c>
      <c r="AI229" s="132" t="s">
        <v>84</v>
      </c>
      <c r="AJ229" s="111">
        <f>IF(AN229=0,I229,0)</f>
      </c>
      <c r="AK229" s="111">
        <f>IF(AN229=12,I229,0)</f>
      </c>
      <c r="AL229" s="111">
        <f>IF(AN229=21,I229,0)</f>
      </c>
      <c r="AN229" s="111" t="n">
        <v>21</v>
      </c>
      <c r="AO229" s="111">
        <f>H229*0.214774194</f>
      </c>
      <c r="AP229" s="111">
        <f>H229*(1-0.214774194)</f>
      </c>
      <c r="AQ229" s="153" t="s">
        <v>130</v>
      </c>
      <c r="AV229" s="111">
        <f>AW229+AX229</f>
      </c>
      <c r="AW229" s="111">
        <f>G229*AO229</f>
      </c>
      <c r="AX229" s="111">
        <f>G229*AP229</f>
      </c>
      <c r="AY229" s="153" t="s">
        <v>398</v>
      </c>
      <c r="AZ229" s="153" t="s">
        <v>399</v>
      </c>
      <c r="BA229" s="132" t="s">
        <v>137</v>
      </c>
      <c r="BC229" s="111">
        <f>AW229+AX229</f>
      </c>
      <c r="BD229" s="111">
        <f>H229/(100-BE229)*100</f>
      </c>
      <c r="BE229" s="111" t="n">
        <v>0</v>
      </c>
      <c r="BF229" s="111">
        <f>229</f>
      </c>
      <c r="BH229" s="111">
        <f>G229*AO229</f>
      </c>
      <c r="BI229" s="111">
        <f>G229*AP229</f>
      </c>
      <c r="BJ229" s="111">
        <f>G229*H229</f>
      </c>
      <c r="BK229" s="111"/>
      <c r="BL229" s="111" t="n">
        <v>31</v>
      </c>
      <c r="BW229" s="111" t="n">
        <v>21</v>
      </c>
      <c r="BX229" s="14" t="s">
        <v>496</v>
      </c>
    </row>
    <row r="230">
      <c r="A230" s="154"/>
      <c r="B230" s="155"/>
      <c r="C230" s="155"/>
      <c r="D230" s="156" t="s">
        <v>497</v>
      </c>
      <c r="E230" s="156" t="s">
        <v>493</v>
      </c>
      <c r="F230" s="155"/>
      <c r="G230" s="157" t="n">
        <v>21.65</v>
      </c>
      <c r="H230" s="158"/>
      <c r="I230" s="155"/>
      <c r="J230" s="155"/>
      <c r="K230" s="146"/>
    </row>
    <row r="231">
      <c r="A231" s="9" t="s">
        <v>498</v>
      </c>
      <c r="B231" s="10" t="s">
        <v>84</v>
      </c>
      <c r="C231" s="10" t="s">
        <v>499</v>
      </c>
      <c r="D231" s="14" t="s">
        <v>500</v>
      </c>
      <c r="E231" s="10"/>
      <c r="F231" s="10" t="s">
        <v>133</v>
      </c>
      <c r="G231" s="111" t="n">
        <v>9</v>
      </c>
      <c r="H231" s="152" t="n">
        <v>0</v>
      </c>
      <c r="I231" s="111">
        <f>G231*H231</f>
      </c>
      <c r="J231" s="153" t="s">
        <v>134</v>
      </c>
      <c r="K231" s="146"/>
      <c r="Z231" s="111">
        <f>IF(AQ231="5",BJ231,0)</f>
      </c>
      <c r="AB231" s="111">
        <f>IF(AQ231="1",BH231,0)</f>
      </c>
      <c r="AC231" s="111">
        <f>IF(AQ231="1",BI231,0)</f>
      </c>
      <c r="AD231" s="111">
        <f>IF(AQ231="7",BH231,0)</f>
      </c>
      <c r="AE231" s="111">
        <f>IF(AQ231="7",BI231,0)</f>
      </c>
      <c r="AF231" s="111">
        <f>IF(AQ231="2",BH231,0)</f>
      </c>
      <c r="AG231" s="111">
        <f>IF(AQ231="2",BI231,0)</f>
      </c>
      <c r="AH231" s="111">
        <f>IF(AQ231="0",BJ231,0)</f>
      </c>
      <c r="AI231" s="132" t="s">
        <v>84</v>
      </c>
      <c r="AJ231" s="111">
        <f>IF(AN231=0,I231,0)</f>
      </c>
      <c r="AK231" s="111">
        <f>IF(AN231=12,I231,0)</f>
      </c>
      <c r="AL231" s="111">
        <f>IF(AN231=21,I231,0)</f>
      </c>
      <c r="AN231" s="111" t="n">
        <v>21</v>
      </c>
      <c r="AO231" s="111">
        <f>H231*0.3501962</f>
      </c>
      <c r="AP231" s="111">
        <f>H231*(1-0.3501962)</f>
      </c>
      <c r="AQ231" s="153" t="s">
        <v>130</v>
      </c>
      <c r="AV231" s="111">
        <f>AW231+AX231</f>
      </c>
      <c r="AW231" s="111">
        <f>G231*AO231</f>
      </c>
      <c r="AX231" s="111">
        <f>G231*AP231</f>
      </c>
      <c r="AY231" s="153" t="s">
        <v>398</v>
      </c>
      <c r="AZ231" s="153" t="s">
        <v>399</v>
      </c>
      <c r="BA231" s="132" t="s">
        <v>137</v>
      </c>
      <c r="BC231" s="111">
        <f>AW231+AX231</f>
      </c>
      <c r="BD231" s="111">
        <f>H231/(100-BE231)*100</f>
      </c>
      <c r="BE231" s="111" t="n">
        <v>0</v>
      </c>
      <c r="BF231" s="111">
        <f>231</f>
      </c>
      <c r="BH231" s="111">
        <f>G231*AO231</f>
      </c>
      <c r="BI231" s="111">
        <f>G231*AP231</f>
      </c>
      <c r="BJ231" s="111">
        <f>G231*H231</f>
      </c>
      <c r="BK231" s="111"/>
      <c r="BL231" s="111" t="n">
        <v>31</v>
      </c>
      <c r="BW231" s="111" t="n">
        <v>21</v>
      </c>
      <c r="BX231" s="14" t="s">
        <v>500</v>
      </c>
    </row>
    <row r="232" customHeight="true" ht="13.5">
      <c r="A232" s="159"/>
      <c r="C232" s="160" t="s">
        <v>146</v>
      </c>
      <c r="D232" s="161" t="s">
        <v>501</v>
      </c>
      <c r="E232" s="156"/>
      <c r="F232" s="156"/>
      <c r="G232" s="156"/>
      <c r="H232" s="162"/>
      <c r="I232" s="156"/>
      <c r="J232" s="156"/>
      <c r="K232" s="163"/>
    </row>
    <row r="233">
      <c r="A233" s="154"/>
      <c r="B233" s="155"/>
      <c r="C233" s="155"/>
      <c r="D233" s="156" t="s">
        <v>156</v>
      </c>
      <c r="E233" s="156" t="s">
        <v>502</v>
      </c>
      <c r="F233" s="155"/>
      <c r="G233" s="157" t="n">
        <v>5</v>
      </c>
      <c r="H233" s="158"/>
      <c r="I233" s="155"/>
      <c r="J233" s="155"/>
      <c r="K233" s="146"/>
    </row>
    <row r="234">
      <c r="A234" s="154"/>
      <c r="B234" s="155"/>
      <c r="C234" s="155"/>
      <c r="D234" s="156" t="s">
        <v>149</v>
      </c>
      <c r="E234" s="156" t="s">
        <v>503</v>
      </c>
      <c r="F234" s="155"/>
      <c r="G234" s="157" t="n">
        <v>4</v>
      </c>
      <c r="H234" s="158"/>
      <c r="I234" s="155"/>
      <c r="J234" s="155"/>
      <c r="K234" s="146"/>
    </row>
    <row r="235">
      <c r="A235" s="9" t="s">
        <v>504</v>
      </c>
      <c r="B235" s="10" t="s">
        <v>84</v>
      </c>
      <c r="C235" s="10" t="s">
        <v>505</v>
      </c>
      <c r="D235" s="14" t="s">
        <v>506</v>
      </c>
      <c r="E235" s="10"/>
      <c r="F235" s="10" t="s">
        <v>133</v>
      </c>
      <c r="G235" s="111" t="n">
        <v>9</v>
      </c>
      <c r="H235" s="152" t="n">
        <v>0</v>
      </c>
      <c r="I235" s="111">
        <f>G235*H235</f>
      </c>
      <c r="J235" s="153" t="s">
        <v>134</v>
      </c>
      <c r="K235" s="146"/>
      <c r="Z235" s="111">
        <f>IF(AQ235="5",BJ235,0)</f>
      </c>
      <c r="AB235" s="111">
        <f>IF(AQ235="1",BH235,0)</f>
      </c>
      <c r="AC235" s="111">
        <f>IF(AQ235="1",BI235,0)</f>
      </c>
      <c r="AD235" s="111">
        <f>IF(AQ235="7",BH235,0)</f>
      </c>
      <c r="AE235" s="111">
        <f>IF(AQ235="7",BI235,0)</f>
      </c>
      <c r="AF235" s="111">
        <f>IF(AQ235="2",BH235,0)</f>
      </c>
      <c r="AG235" s="111">
        <f>IF(AQ235="2",BI235,0)</f>
      </c>
      <c r="AH235" s="111">
        <f>IF(AQ235="0",BJ235,0)</f>
      </c>
      <c r="AI235" s="132" t="s">
        <v>84</v>
      </c>
      <c r="AJ235" s="111">
        <f>IF(AN235=0,I235,0)</f>
      </c>
      <c r="AK235" s="111">
        <f>IF(AN235=12,I235,0)</f>
      </c>
      <c r="AL235" s="111">
        <f>IF(AN235=21,I235,0)</f>
      </c>
      <c r="AN235" s="111" t="n">
        <v>21</v>
      </c>
      <c r="AO235" s="111">
        <f>H235*1</f>
      </c>
      <c r="AP235" s="111">
        <f>H235*(1-1)</f>
      </c>
      <c r="AQ235" s="153" t="s">
        <v>130</v>
      </c>
      <c r="AV235" s="111">
        <f>AW235+AX235</f>
      </c>
      <c r="AW235" s="111">
        <f>G235*AO235</f>
      </c>
      <c r="AX235" s="111">
        <f>G235*AP235</f>
      </c>
      <c r="AY235" s="153" t="s">
        <v>398</v>
      </c>
      <c r="AZ235" s="153" t="s">
        <v>399</v>
      </c>
      <c r="BA235" s="132" t="s">
        <v>137</v>
      </c>
      <c r="BC235" s="111">
        <f>AW235+AX235</f>
      </c>
      <c r="BD235" s="111">
        <f>H235/(100-BE235)*100</f>
      </c>
      <c r="BE235" s="111" t="n">
        <v>0</v>
      </c>
      <c r="BF235" s="111">
        <f>235</f>
      </c>
      <c r="BH235" s="111">
        <f>G235*AO235</f>
      </c>
      <c r="BI235" s="111">
        <f>G235*AP235</f>
      </c>
      <c r="BJ235" s="111">
        <f>G235*H235</f>
      </c>
      <c r="BK235" s="111"/>
      <c r="BL235" s="111" t="n">
        <v>31</v>
      </c>
      <c r="BW235" s="111" t="n">
        <v>21</v>
      </c>
      <c r="BX235" s="14" t="s">
        <v>506</v>
      </c>
    </row>
    <row r="236">
      <c r="A236" s="154"/>
      <c r="B236" s="155"/>
      <c r="C236" s="155"/>
      <c r="D236" s="156" t="s">
        <v>156</v>
      </c>
      <c r="E236" s="156" t="s">
        <v>507</v>
      </c>
      <c r="F236" s="155"/>
      <c r="G236" s="157" t="n">
        <v>5</v>
      </c>
      <c r="H236" s="158"/>
      <c r="I236" s="155"/>
      <c r="J236" s="155"/>
      <c r="K236" s="146"/>
    </row>
    <row r="237">
      <c r="A237" s="154"/>
      <c r="B237" s="155"/>
      <c r="C237" s="155"/>
      <c r="D237" s="156" t="s">
        <v>149</v>
      </c>
      <c r="E237" s="156" t="s">
        <v>508</v>
      </c>
      <c r="F237" s="155"/>
      <c r="G237" s="157" t="n">
        <v>4</v>
      </c>
      <c r="H237" s="158"/>
      <c r="I237" s="155"/>
      <c r="J237" s="155"/>
      <c r="K237" s="146"/>
    </row>
    <row r="238">
      <c r="A238" s="9" t="s">
        <v>509</v>
      </c>
      <c r="B238" s="10" t="s">
        <v>84</v>
      </c>
      <c r="C238" s="10" t="s">
        <v>510</v>
      </c>
      <c r="D238" s="14" t="s">
        <v>511</v>
      </c>
      <c r="E238" s="10"/>
      <c r="F238" s="10" t="s">
        <v>133</v>
      </c>
      <c r="G238" s="111" t="n">
        <v>2</v>
      </c>
      <c r="H238" s="152" t="n">
        <v>0</v>
      </c>
      <c r="I238" s="111">
        <f>G238*H238</f>
      </c>
      <c r="J238" s="153" t="s">
        <v>134</v>
      </c>
      <c r="K238" s="146"/>
      <c r="Z238" s="111">
        <f>IF(AQ238="5",BJ238,0)</f>
      </c>
      <c r="AB238" s="111">
        <f>IF(AQ238="1",BH238,0)</f>
      </c>
      <c r="AC238" s="111">
        <f>IF(AQ238="1",BI238,0)</f>
      </c>
      <c r="AD238" s="111">
        <f>IF(AQ238="7",BH238,0)</f>
      </c>
      <c r="AE238" s="111">
        <f>IF(AQ238="7",BI238,0)</f>
      </c>
      <c r="AF238" s="111">
        <f>IF(AQ238="2",BH238,0)</f>
      </c>
      <c r="AG238" s="111">
        <f>IF(AQ238="2",BI238,0)</f>
      </c>
      <c r="AH238" s="111">
        <f>IF(AQ238="0",BJ238,0)</f>
      </c>
      <c r="AI238" s="132" t="s">
        <v>84</v>
      </c>
      <c r="AJ238" s="111">
        <f>IF(AN238=0,I238,0)</f>
      </c>
      <c r="AK238" s="111">
        <f>IF(AN238=12,I238,0)</f>
      </c>
      <c r="AL238" s="111">
        <f>IF(AN238=21,I238,0)</f>
      </c>
      <c r="AN238" s="111" t="n">
        <v>21</v>
      </c>
      <c r="AO238" s="111">
        <f>H238*0.023311149</f>
      </c>
      <c r="AP238" s="111">
        <f>H238*(1-0.023311149)</f>
      </c>
      <c r="AQ238" s="153" t="s">
        <v>140</v>
      </c>
      <c r="AV238" s="111">
        <f>AW238+AX238</f>
      </c>
      <c r="AW238" s="111">
        <f>G238*AO238</f>
      </c>
      <c r="AX238" s="111">
        <f>G238*AP238</f>
      </c>
      <c r="AY238" s="153" t="s">
        <v>398</v>
      </c>
      <c r="AZ238" s="153" t="s">
        <v>399</v>
      </c>
      <c r="BA238" s="132" t="s">
        <v>137</v>
      </c>
      <c r="BC238" s="111">
        <f>AW238+AX238</f>
      </c>
      <c r="BD238" s="111">
        <f>H238/(100-BE238)*100</f>
      </c>
      <c r="BE238" s="111" t="n">
        <v>0</v>
      </c>
      <c r="BF238" s="111">
        <f>238</f>
      </c>
      <c r="BH238" s="111">
        <f>G238*AO238</f>
      </c>
      <c r="BI238" s="111">
        <f>G238*AP238</f>
      </c>
      <c r="BJ238" s="111">
        <f>G238*H238</f>
      </c>
      <c r="BK238" s="111"/>
      <c r="BL238" s="111" t="n">
        <v>31</v>
      </c>
      <c r="BW238" s="111" t="n">
        <v>21</v>
      </c>
      <c r="BX238" s="14" t="s">
        <v>511</v>
      </c>
    </row>
    <row r="239" customHeight="true" ht="13.5">
      <c r="A239" s="159"/>
      <c r="C239" s="160" t="s">
        <v>146</v>
      </c>
      <c r="D239" s="161" t="s">
        <v>512</v>
      </c>
      <c r="E239" s="156"/>
      <c r="F239" s="156"/>
      <c r="G239" s="156"/>
      <c r="H239" s="162"/>
      <c r="I239" s="156"/>
      <c r="J239" s="156"/>
      <c r="K239" s="163"/>
    </row>
    <row r="240">
      <c r="A240" s="154"/>
      <c r="B240" s="155"/>
      <c r="C240" s="155"/>
      <c r="D240" s="156" t="s">
        <v>513</v>
      </c>
      <c r="E240" s="156" t="s">
        <v>514</v>
      </c>
      <c r="F240" s="155"/>
      <c r="G240" s="157" t="n">
        <v>2</v>
      </c>
      <c r="H240" s="158"/>
      <c r="I240" s="155"/>
      <c r="J240" s="155"/>
      <c r="K240" s="146"/>
    </row>
    <row r="241">
      <c r="A241" s="9" t="s">
        <v>515</v>
      </c>
      <c r="B241" s="10" t="s">
        <v>84</v>
      </c>
      <c r="C241" s="10" t="s">
        <v>516</v>
      </c>
      <c r="D241" s="14" t="s">
        <v>517</v>
      </c>
      <c r="E241" s="10"/>
      <c r="F241" s="10" t="s">
        <v>133</v>
      </c>
      <c r="G241" s="111" t="n">
        <v>13</v>
      </c>
      <c r="H241" s="152" t="n">
        <v>0</v>
      </c>
      <c r="I241" s="111">
        <f>G241*H241</f>
      </c>
      <c r="J241" s="153" t="s">
        <v>134</v>
      </c>
      <c r="K241" s="146"/>
      <c r="Z241" s="111">
        <f>IF(AQ241="5",BJ241,0)</f>
      </c>
      <c r="AB241" s="111">
        <f>IF(AQ241="1",BH241,0)</f>
      </c>
      <c r="AC241" s="111">
        <f>IF(AQ241="1",BI241,0)</f>
      </c>
      <c r="AD241" s="111">
        <f>IF(AQ241="7",BH241,0)</f>
      </c>
      <c r="AE241" s="111">
        <f>IF(AQ241="7",BI241,0)</f>
      </c>
      <c r="AF241" s="111">
        <f>IF(AQ241="2",BH241,0)</f>
      </c>
      <c r="AG241" s="111">
        <f>IF(AQ241="2",BI241,0)</f>
      </c>
      <c r="AH241" s="111">
        <f>IF(AQ241="0",BJ241,0)</f>
      </c>
      <c r="AI241" s="132" t="s">
        <v>84</v>
      </c>
      <c r="AJ241" s="111">
        <f>IF(AN241=0,I241,0)</f>
      </c>
      <c r="AK241" s="111">
        <f>IF(AN241=12,I241,0)</f>
      </c>
      <c r="AL241" s="111">
        <f>IF(AN241=21,I241,0)</f>
      </c>
      <c r="AN241" s="111" t="n">
        <v>21</v>
      </c>
      <c r="AO241" s="111">
        <f>H241*0.029520898</f>
      </c>
      <c r="AP241" s="111">
        <f>H241*(1-0.029520898)</f>
      </c>
      <c r="AQ241" s="153" t="s">
        <v>140</v>
      </c>
      <c r="AV241" s="111">
        <f>AW241+AX241</f>
      </c>
      <c r="AW241" s="111">
        <f>G241*AO241</f>
      </c>
      <c r="AX241" s="111">
        <f>G241*AP241</f>
      </c>
      <c r="AY241" s="153" t="s">
        <v>398</v>
      </c>
      <c r="AZ241" s="153" t="s">
        <v>399</v>
      </c>
      <c r="BA241" s="132" t="s">
        <v>137</v>
      </c>
      <c r="BC241" s="111">
        <f>AW241+AX241</f>
      </c>
      <c r="BD241" s="111">
        <f>H241/(100-BE241)*100</f>
      </c>
      <c r="BE241" s="111" t="n">
        <v>0</v>
      </c>
      <c r="BF241" s="111">
        <f>241</f>
      </c>
      <c r="BH241" s="111">
        <f>G241*AO241</f>
      </c>
      <c r="BI241" s="111">
        <f>G241*AP241</f>
      </c>
      <c r="BJ241" s="111">
        <f>G241*H241</f>
      </c>
      <c r="BK241" s="111"/>
      <c r="BL241" s="111" t="n">
        <v>31</v>
      </c>
      <c r="BW241" s="111" t="n">
        <v>21</v>
      </c>
      <c r="BX241" s="14" t="s">
        <v>517</v>
      </c>
    </row>
    <row r="242" customHeight="true" ht="13.5">
      <c r="A242" s="159"/>
      <c r="C242" s="160" t="s">
        <v>146</v>
      </c>
      <c r="D242" s="161" t="s">
        <v>512</v>
      </c>
      <c r="E242" s="156"/>
      <c r="F242" s="156"/>
      <c r="G242" s="156"/>
      <c r="H242" s="162"/>
      <c r="I242" s="156"/>
      <c r="J242" s="156"/>
      <c r="K242" s="163"/>
    </row>
    <row r="243">
      <c r="A243" s="154"/>
      <c r="B243" s="155"/>
      <c r="C243" s="155"/>
      <c r="D243" s="156" t="s">
        <v>518</v>
      </c>
      <c r="E243" s="156" t="s">
        <v>519</v>
      </c>
      <c r="F243" s="155"/>
      <c r="G243" s="157" t="n">
        <v>4</v>
      </c>
      <c r="H243" s="158"/>
      <c r="I243" s="155"/>
      <c r="J243" s="155"/>
      <c r="K243" s="146"/>
    </row>
    <row r="244">
      <c r="A244" s="154"/>
      <c r="B244" s="155"/>
      <c r="C244" s="155"/>
      <c r="D244" s="156" t="s">
        <v>520</v>
      </c>
      <c r="E244" s="156" t="s">
        <v>521</v>
      </c>
      <c r="F244" s="155"/>
      <c r="G244" s="157" t="n">
        <v>6</v>
      </c>
      <c r="H244" s="158"/>
      <c r="I244" s="155"/>
      <c r="J244" s="155"/>
      <c r="K244" s="146"/>
    </row>
    <row r="245">
      <c r="A245" s="154"/>
      <c r="B245" s="155"/>
      <c r="C245" s="155"/>
      <c r="D245" s="156" t="s">
        <v>522</v>
      </c>
      <c r="E245" s="156" t="s">
        <v>523</v>
      </c>
      <c r="F245" s="155"/>
      <c r="G245" s="157" t="n">
        <v>3</v>
      </c>
      <c r="H245" s="158"/>
      <c r="I245" s="155"/>
      <c r="J245" s="155"/>
      <c r="K245" s="146"/>
    </row>
    <row r="246">
      <c r="A246" s="147" t="s">
        <v>4</v>
      </c>
      <c r="B246" s="148" t="s">
        <v>84</v>
      </c>
      <c r="C246" s="148" t="s">
        <v>360</v>
      </c>
      <c r="D246" s="149" t="s">
        <v>524</v>
      </c>
      <c r="E246" s="148"/>
      <c r="F246" s="150" t="s">
        <v>79</v>
      </c>
      <c r="G246" s="150" t="s">
        <v>79</v>
      </c>
      <c r="H246" s="151" t="s">
        <v>79</v>
      </c>
      <c r="I246" s="117">
        <f>SUM(I247:I259)</f>
      </c>
      <c r="J246" s="132" t="s">
        <v>4</v>
      </c>
      <c r="K246" s="146"/>
      <c r="AI246" s="132" t="s">
        <v>84</v>
      </c>
      <c r="AS246" s="117">
        <f>SUM(AJ247:AJ259)</f>
      </c>
      <c r="AT246" s="117">
        <f>SUM(AK247:AK259)</f>
      </c>
      <c r="AU246" s="117">
        <f>SUM(AL247:AL259)</f>
      </c>
    </row>
    <row r="247">
      <c r="A247" s="9" t="s">
        <v>525</v>
      </c>
      <c r="B247" s="10" t="s">
        <v>84</v>
      </c>
      <c r="C247" s="10" t="s">
        <v>526</v>
      </c>
      <c r="D247" s="14" t="s">
        <v>527</v>
      </c>
      <c r="E247" s="10"/>
      <c r="F247" s="10" t="s">
        <v>145</v>
      </c>
      <c r="G247" s="111" t="n">
        <v>187.2</v>
      </c>
      <c r="H247" s="152" t="n">
        <v>0</v>
      </c>
      <c r="I247" s="111">
        <f>G247*H247</f>
      </c>
      <c r="J247" s="153" t="s">
        <v>134</v>
      </c>
      <c r="K247" s="146"/>
      <c r="Z247" s="111">
        <f>IF(AQ247="5",BJ247,0)</f>
      </c>
      <c r="AB247" s="111">
        <f>IF(AQ247="1",BH247,0)</f>
      </c>
      <c r="AC247" s="111">
        <f>IF(AQ247="1",BI247,0)</f>
      </c>
      <c r="AD247" s="111">
        <f>IF(AQ247="7",BH247,0)</f>
      </c>
      <c r="AE247" s="111">
        <f>IF(AQ247="7",BI247,0)</f>
      </c>
      <c r="AF247" s="111">
        <f>IF(AQ247="2",BH247,0)</f>
      </c>
      <c r="AG247" s="111">
        <f>IF(AQ247="2",BI247,0)</f>
      </c>
      <c r="AH247" s="111">
        <f>IF(AQ247="0",BJ247,0)</f>
      </c>
      <c r="AI247" s="132" t="s">
        <v>84</v>
      </c>
      <c r="AJ247" s="111">
        <f>IF(AN247=0,I247,0)</f>
      </c>
      <c r="AK247" s="111">
        <f>IF(AN247=12,I247,0)</f>
      </c>
      <c r="AL247" s="111">
        <f>IF(AN247=21,I247,0)</f>
      </c>
      <c r="AN247" s="111" t="n">
        <v>21</v>
      </c>
      <c r="AO247" s="111">
        <f>H247*0.344589426</f>
      </c>
      <c r="AP247" s="111">
        <f>H247*(1-0.344589426)</f>
      </c>
      <c r="AQ247" s="153" t="s">
        <v>130</v>
      </c>
      <c r="AV247" s="111">
        <f>AW247+AX247</f>
      </c>
      <c r="AW247" s="111">
        <f>G247*AO247</f>
      </c>
      <c r="AX247" s="111">
        <f>G247*AP247</f>
      </c>
      <c r="AY247" s="153" t="s">
        <v>528</v>
      </c>
      <c r="AZ247" s="153" t="s">
        <v>399</v>
      </c>
      <c r="BA247" s="132" t="s">
        <v>137</v>
      </c>
      <c r="BC247" s="111">
        <f>AW247+AX247</f>
      </c>
      <c r="BD247" s="111">
        <f>H247/(100-BE247)*100</f>
      </c>
      <c r="BE247" s="111" t="n">
        <v>0</v>
      </c>
      <c r="BF247" s="111">
        <f>247</f>
      </c>
      <c r="BH247" s="111">
        <f>G247*AO247</f>
      </c>
      <c r="BI247" s="111">
        <f>G247*AP247</f>
      </c>
      <c r="BJ247" s="111">
        <f>G247*H247</f>
      </c>
      <c r="BK247" s="111"/>
      <c r="BL247" s="111" t="n">
        <v>33</v>
      </c>
      <c r="BW247" s="111" t="n">
        <v>21</v>
      </c>
      <c r="BX247" s="14" t="s">
        <v>527</v>
      </c>
    </row>
    <row r="248">
      <c r="A248" s="154"/>
      <c r="B248" s="155"/>
      <c r="C248" s="155"/>
      <c r="D248" s="156" t="s">
        <v>529</v>
      </c>
      <c r="E248" s="156" t="s">
        <v>530</v>
      </c>
      <c r="F248" s="155"/>
      <c r="G248" s="157" t="n">
        <v>187.2</v>
      </c>
      <c r="H248" s="158"/>
      <c r="I248" s="155"/>
      <c r="J248" s="155"/>
      <c r="K248" s="146"/>
    </row>
    <row r="249">
      <c r="A249" s="9" t="s">
        <v>531</v>
      </c>
      <c r="B249" s="10" t="s">
        <v>84</v>
      </c>
      <c r="C249" s="10" t="s">
        <v>532</v>
      </c>
      <c r="D249" s="14" t="s">
        <v>533</v>
      </c>
      <c r="E249" s="10"/>
      <c r="F249" s="10" t="s">
        <v>145</v>
      </c>
      <c r="G249" s="111" t="n">
        <v>187.2</v>
      </c>
      <c r="H249" s="152" t="n">
        <v>0</v>
      </c>
      <c r="I249" s="111">
        <f>G249*H249</f>
      </c>
      <c r="J249" s="153" t="s">
        <v>134</v>
      </c>
      <c r="K249" s="146"/>
      <c r="Z249" s="111">
        <f>IF(AQ249="5",BJ249,0)</f>
      </c>
      <c r="AB249" s="111">
        <f>IF(AQ249="1",BH249,0)</f>
      </c>
      <c r="AC249" s="111">
        <f>IF(AQ249="1",BI249,0)</f>
      </c>
      <c r="AD249" s="111">
        <f>IF(AQ249="7",BH249,0)</f>
      </c>
      <c r="AE249" s="111">
        <f>IF(AQ249="7",BI249,0)</f>
      </c>
      <c r="AF249" s="111">
        <f>IF(AQ249="2",BH249,0)</f>
      </c>
      <c r="AG249" s="111">
        <f>IF(AQ249="2",BI249,0)</f>
      </c>
      <c r="AH249" s="111">
        <f>IF(AQ249="0",BJ249,0)</f>
      </c>
      <c r="AI249" s="132" t="s">
        <v>84</v>
      </c>
      <c r="AJ249" s="111">
        <f>IF(AN249=0,I249,0)</f>
      </c>
      <c r="AK249" s="111">
        <f>IF(AN249=12,I249,0)</f>
      </c>
      <c r="AL249" s="111">
        <f>IF(AN249=21,I249,0)</f>
      </c>
      <c r="AN249" s="111" t="n">
        <v>21</v>
      </c>
      <c r="AO249" s="111">
        <f>H249*0.012403846</f>
      </c>
      <c r="AP249" s="111">
        <f>H249*(1-0.012403846)</f>
      </c>
      <c r="AQ249" s="153" t="s">
        <v>130</v>
      </c>
      <c r="AV249" s="111">
        <f>AW249+AX249</f>
      </c>
      <c r="AW249" s="111">
        <f>G249*AO249</f>
      </c>
      <c r="AX249" s="111">
        <f>G249*AP249</f>
      </c>
      <c r="AY249" s="153" t="s">
        <v>528</v>
      </c>
      <c r="AZ249" s="153" t="s">
        <v>399</v>
      </c>
      <c r="BA249" s="132" t="s">
        <v>137</v>
      </c>
      <c r="BC249" s="111">
        <f>AW249+AX249</f>
      </c>
      <c r="BD249" s="111">
        <f>H249/(100-BE249)*100</f>
      </c>
      <c r="BE249" s="111" t="n">
        <v>0</v>
      </c>
      <c r="BF249" s="111">
        <f>249</f>
      </c>
      <c r="BH249" s="111">
        <f>G249*AO249</f>
      </c>
      <c r="BI249" s="111">
        <f>G249*AP249</f>
      </c>
      <c r="BJ249" s="111">
        <f>G249*H249</f>
      </c>
      <c r="BK249" s="111"/>
      <c r="BL249" s="111" t="n">
        <v>33</v>
      </c>
      <c r="BW249" s="111" t="n">
        <v>21</v>
      </c>
      <c r="BX249" s="14" t="s">
        <v>533</v>
      </c>
    </row>
    <row r="250">
      <c r="A250" s="154"/>
      <c r="B250" s="155"/>
      <c r="C250" s="155"/>
      <c r="D250" s="156" t="s">
        <v>529</v>
      </c>
      <c r="E250" s="156" t="s">
        <v>530</v>
      </c>
      <c r="F250" s="155"/>
      <c r="G250" s="157" t="n">
        <v>187.2</v>
      </c>
      <c r="H250" s="158"/>
      <c r="I250" s="155"/>
      <c r="J250" s="155"/>
      <c r="K250" s="146"/>
    </row>
    <row r="251">
      <c r="A251" s="9" t="s">
        <v>534</v>
      </c>
      <c r="B251" s="10" t="s">
        <v>84</v>
      </c>
      <c r="C251" s="10" t="s">
        <v>535</v>
      </c>
      <c r="D251" s="14" t="s">
        <v>536</v>
      </c>
      <c r="E251" s="10"/>
      <c r="F251" s="10" t="s">
        <v>229</v>
      </c>
      <c r="G251" s="111" t="n">
        <v>1.8</v>
      </c>
      <c r="H251" s="152" t="n">
        <v>0</v>
      </c>
      <c r="I251" s="111">
        <f>G251*H251</f>
      </c>
      <c r="J251" s="153" t="s">
        <v>134</v>
      </c>
      <c r="K251" s="146"/>
      <c r="Z251" s="111">
        <f>IF(AQ251="5",BJ251,0)</f>
      </c>
      <c r="AB251" s="111">
        <f>IF(AQ251="1",BH251,0)</f>
      </c>
      <c r="AC251" s="111">
        <f>IF(AQ251="1",BI251,0)</f>
      </c>
      <c r="AD251" s="111">
        <f>IF(AQ251="7",BH251,0)</f>
      </c>
      <c r="AE251" s="111">
        <f>IF(AQ251="7",BI251,0)</f>
      </c>
      <c r="AF251" s="111">
        <f>IF(AQ251="2",BH251,0)</f>
      </c>
      <c r="AG251" s="111">
        <f>IF(AQ251="2",BI251,0)</f>
      </c>
      <c r="AH251" s="111">
        <f>IF(AQ251="0",BJ251,0)</f>
      </c>
      <c r="AI251" s="132" t="s">
        <v>84</v>
      </c>
      <c r="AJ251" s="111">
        <f>IF(AN251=0,I251,0)</f>
      </c>
      <c r="AK251" s="111">
        <f>IF(AN251=12,I251,0)</f>
      </c>
      <c r="AL251" s="111">
        <f>IF(AN251=21,I251,0)</f>
      </c>
      <c r="AN251" s="111" t="n">
        <v>21</v>
      </c>
      <c r="AO251" s="111">
        <f>H251*0.710204208</f>
      </c>
      <c r="AP251" s="111">
        <f>H251*(1-0.710204208)</f>
      </c>
      <c r="AQ251" s="153" t="s">
        <v>130</v>
      </c>
      <c r="AV251" s="111">
        <f>AW251+AX251</f>
      </c>
      <c r="AW251" s="111">
        <f>G251*AO251</f>
      </c>
      <c r="AX251" s="111">
        <f>G251*AP251</f>
      </c>
      <c r="AY251" s="153" t="s">
        <v>528</v>
      </c>
      <c r="AZ251" s="153" t="s">
        <v>399</v>
      </c>
      <c r="BA251" s="132" t="s">
        <v>137</v>
      </c>
      <c r="BC251" s="111">
        <f>AW251+AX251</f>
      </c>
      <c r="BD251" s="111">
        <f>H251/(100-BE251)*100</f>
      </c>
      <c r="BE251" s="111" t="n">
        <v>0</v>
      </c>
      <c r="BF251" s="111">
        <f>251</f>
      </c>
      <c r="BH251" s="111">
        <f>G251*AO251</f>
      </c>
      <c r="BI251" s="111">
        <f>G251*AP251</f>
      </c>
      <c r="BJ251" s="111">
        <f>G251*H251</f>
      </c>
      <c r="BK251" s="111"/>
      <c r="BL251" s="111" t="n">
        <v>33</v>
      </c>
      <c r="BW251" s="111" t="n">
        <v>21</v>
      </c>
      <c r="BX251" s="14" t="s">
        <v>536</v>
      </c>
    </row>
    <row r="252">
      <c r="A252" s="154"/>
      <c r="B252" s="155"/>
      <c r="C252" s="155"/>
      <c r="D252" s="156" t="s">
        <v>537</v>
      </c>
      <c r="E252" s="156" t="s">
        <v>538</v>
      </c>
      <c r="F252" s="155"/>
      <c r="G252" s="157" t="n">
        <v>1.8</v>
      </c>
      <c r="H252" s="158"/>
      <c r="I252" s="155"/>
      <c r="J252" s="155"/>
      <c r="K252" s="146"/>
    </row>
    <row r="253">
      <c r="A253" s="9" t="s">
        <v>539</v>
      </c>
      <c r="B253" s="10" t="s">
        <v>84</v>
      </c>
      <c r="C253" s="10" t="s">
        <v>540</v>
      </c>
      <c r="D253" s="14" t="s">
        <v>541</v>
      </c>
      <c r="E253" s="10"/>
      <c r="F253" s="10" t="s">
        <v>159</v>
      </c>
      <c r="G253" s="111" t="n">
        <v>14.976</v>
      </c>
      <c r="H253" s="152" t="n">
        <v>0</v>
      </c>
      <c r="I253" s="111">
        <f>G253*H253</f>
      </c>
      <c r="J253" s="153" t="s">
        <v>134</v>
      </c>
      <c r="K253" s="146"/>
      <c r="Z253" s="111">
        <f>IF(AQ253="5",BJ253,0)</f>
      </c>
      <c r="AB253" s="111">
        <f>IF(AQ253="1",BH253,0)</f>
      </c>
      <c r="AC253" s="111">
        <f>IF(AQ253="1",BI253,0)</f>
      </c>
      <c r="AD253" s="111">
        <f>IF(AQ253="7",BH253,0)</f>
      </c>
      <c r="AE253" s="111">
        <f>IF(AQ253="7",BI253,0)</f>
      </c>
      <c r="AF253" s="111">
        <f>IF(AQ253="2",BH253,0)</f>
      </c>
      <c r="AG253" s="111">
        <f>IF(AQ253="2",BI253,0)</f>
      </c>
      <c r="AH253" s="111">
        <f>IF(AQ253="0",BJ253,0)</f>
      </c>
      <c r="AI253" s="132" t="s">
        <v>84</v>
      </c>
      <c r="AJ253" s="111">
        <f>IF(AN253=0,I253,0)</f>
      </c>
      <c r="AK253" s="111">
        <f>IF(AN253=12,I253,0)</f>
      </c>
      <c r="AL253" s="111">
        <f>IF(AN253=21,I253,0)</f>
      </c>
      <c r="AN253" s="111" t="n">
        <v>21</v>
      </c>
      <c r="AO253" s="111">
        <f>H253*0.786302698</f>
      </c>
      <c r="AP253" s="111">
        <f>H253*(1-0.786302698)</f>
      </c>
      <c r="AQ253" s="153" t="s">
        <v>130</v>
      </c>
      <c r="AV253" s="111">
        <f>AW253+AX253</f>
      </c>
      <c r="AW253" s="111">
        <f>G253*AO253</f>
      </c>
      <c r="AX253" s="111">
        <f>G253*AP253</f>
      </c>
      <c r="AY253" s="153" t="s">
        <v>528</v>
      </c>
      <c r="AZ253" s="153" t="s">
        <v>399</v>
      </c>
      <c r="BA253" s="132" t="s">
        <v>137</v>
      </c>
      <c r="BC253" s="111">
        <f>AW253+AX253</f>
      </c>
      <c r="BD253" s="111">
        <f>H253/(100-BE253)*100</f>
      </c>
      <c r="BE253" s="111" t="n">
        <v>0</v>
      </c>
      <c r="BF253" s="111">
        <f>253</f>
      </c>
      <c r="BH253" s="111">
        <f>G253*AO253</f>
      </c>
      <c r="BI253" s="111">
        <f>G253*AP253</f>
      </c>
      <c r="BJ253" s="111">
        <f>G253*H253</f>
      </c>
      <c r="BK253" s="111"/>
      <c r="BL253" s="111" t="n">
        <v>33</v>
      </c>
      <c r="BW253" s="111" t="n">
        <v>21</v>
      </c>
      <c r="BX253" s="14" t="s">
        <v>541</v>
      </c>
    </row>
    <row r="254">
      <c r="A254" s="154"/>
      <c r="B254" s="155"/>
      <c r="C254" s="155"/>
      <c r="D254" s="156" t="s">
        <v>542</v>
      </c>
      <c r="E254" s="156" t="s">
        <v>530</v>
      </c>
      <c r="F254" s="155"/>
      <c r="G254" s="157" t="n">
        <v>14.976</v>
      </c>
      <c r="H254" s="158"/>
      <c r="I254" s="155"/>
      <c r="J254" s="155"/>
      <c r="K254" s="146"/>
    </row>
    <row r="255">
      <c r="A255" s="9" t="s">
        <v>543</v>
      </c>
      <c r="B255" s="10" t="s">
        <v>84</v>
      </c>
      <c r="C255" s="10" t="s">
        <v>544</v>
      </c>
      <c r="D255" s="14" t="s">
        <v>545</v>
      </c>
      <c r="E255" s="10"/>
      <c r="F255" s="10" t="s">
        <v>145</v>
      </c>
      <c r="G255" s="111" t="n">
        <v>187.2</v>
      </c>
      <c r="H255" s="152" t="n">
        <v>0</v>
      </c>
      <c r="I255" s="111">
        <f>G255*H255</f>
      </c>
      <c r="J255" s="153" t="s">
        <v>134</v>
      </c>
      <c r="K255" s="146"/>
      <c r="Z255" s="111">
        <f>IF(AQ255="5",BJ255,0)</f>
      </c>
      <c r="AB255" s="111">
        <f>IF(AQ255="1",BH255,0)</f>
      </c>
      <c r="AC255" s="111">
        <f>IF(AQ255="1",BI255,0)</f>
      </c>
      <c r="AD255" s="111">
        <f>IF(AQ255="7",BH255,0)</f>
      </c>
      <c r="AE255" s="111">
        <f>IF(AQ255="7",BI255,0)</f>
      </c>
      <c r="AF255" s="111">
        <f>IF(AQ255="2",BH255,0)</f>
      </c>
      <c r="AG255" s="111">
        <f>IF(AQ255="2",BI255,0)</f>
      </c>
      <c r="AH255" s="111">
        <f>IF(AQ255="0",BJ255,0)</f>
      </c>
      <c r="AI255" s="132" t="s">
        <v>84</v>
      </c>
      <c r="AJ255" s="111">
        <f>IF(AN255=0,I255,0)</f>
      </c>
      <c r="AK255" s="111">
        <f>IF(AN255=12,I255,0)</f>
      </c>
      <c r="AL255" s="111">
        <f>IF(AN255=21,I255,0)</f>
      </c>
      <c r="AN255" s="111" t="n">
        <v>21</v>
      </c>
      <c r="AO255" s="111">
        <f>H255*0.093228346</f>
      </c>
      <c r="AP255" s="111">
        <f>H255*(1-0.093228346)</f>
      </c>
      <c r="AQ255" s="153" t="s">
        <v>130</v>
      </c>
      <c r="AV255" s="111">
        <f>AW255+AX255</f>
      </c>
      <c r="AW255" s="111">
        <f>G255*AO255</f>
      </c>
      <c r="AX255" s="111">
        <f>G255*AP255</f>
      </c>
      <c r="AY255" s="153" t="s">
        <v>528</v>
      </c>
      <c r="AZ255" s="153" t="s">
        <v>399</v>
      </c>
      <c r="BA255" s="132" t="s">
        <v>137</v>
      </c>
      <c r="BC255" s="111">
        <f>AW255+AX255</f>
      </c>
      <c r="BD255" s="111">
        <f>H255/(100-BE255)*100</f>
      </c>
      <c r="BE255" s="111" t="n">
        <v>0</v>
      </c>
      <c r="BF255" s="111">
        <f>255</f>
      </c>
      <c r="BH255" s="111">
        <f>G255*AO255</f>
      </c>
      <c r="BI255" s="111">
        <f>G255*AP255</f>
      </c>
      <c r="BJ255" s="111">
        <f>G255*H255</f>
      </c>
      <c r="BK255" s="111"/>
      <c r="BL255" s="111" t="n">
        <v>33</v>
      </c>
      <c r="BW255" s="111" t="n">
        <v>21</v>
      </c>
      <c r="BX255" s="14" t="s">
        <v>545</v>
      </c>
    </row>
    <row r="256">
      <c r="A256" s="154"/>
      <c r="B256" s="155"/>
      <c r="C256" s="155"/>
      <c r="D256" s="156" t="s">
        <v>529</v>
      </c>
      <c r="E256" s="156" t="s">
        <v>530</v>
      </c>
      <c r="F256" s="155"/>
      <c r="G256" s="157" t="n">
        <v>187.2</v>
      </c>
      <c r="H256" s="158"/>
      <c r="I256" s="155"/>
      <c r="J256" s="155"/>
      <c r="K256" s="146"/>
    </row>
    <row r="257">
      <c r="A257" s="9" t="s">
        <v>546</v>
      </c>
      <c r="B257" s="10" t="s">
        <v>84</v>
      </c>
      <c r="C257" s="10" t="s">
        <v>547</v>
      </c>
      <c r="D257" s="14" t="s">
        <v>548</v>
      </c>
      <c r="E257" s="10"/>
      <c r="F257" s="10" t="s">
        <v>145</v>
      </c>
      <c r="G257" s="111" t="n">
        <v>187.2</v>
      </c>
      <c r="H257" s="152" t="n">
        <v>0</v>
      </c>
      <c r="I257" s="111">
        <f>G257*H257</f>
      </c>
      <c r="J257" s="153" t="s">
        <v>134</v>
      </c>
      <c r="K257" s="146"/>
      <c r="Z257" s="111">
        <f>IF(AQ257="5",BJ257,0)</f>
      </c>
      <c r="AB257" s="111">
        <f>IF(AQ257="1",BH257,0)</f>
      </c>
      <c r="AC257" s="111">
        <f>IF(AQ257="1",BI257,0)</f>
      </c>
      <c r="AD257" s="111">
        <f>IF(AQ257="7",BH257,0)</f>
      </c>
      <c r="AE257" s="111">
        <f>IF(AQ257="7",BI257,0)</f>
      </c>
      <c r="AF257" s="111">
        <f>IF(AQ257="2",BH257,0)</f>
      </c>
      <c r="AG257" s="111">
        <f>IF(AQ257="2",BI257,0)</f>
      </c>
      <c r="AH257" s="111">
        <f>IF(AQ257="0",BJ257,0)</f>
      </c>
      <c r="AI257" s="132" t="s">
        <v>84</v>
      </c>
      <c r="AJ257" s="111">
        <f>IF(AN257=0,I257,0)</f>
      </c>
      <c r="AK257" s="111">
        <f>IF(AN257=12,I257,0)</f>
      </c>
      <c r="AL257" s="111">
        <f>IF(AN257=21,I257,0)</f>
      </c>
      <c r="AN257" s="111" t="n">
        <v>21</v>
      </c>
      <c r="AO257" s="111">
        <f>H257*0.037262457</f>
      </c>
      <c r="AP257" s="111">
        <f>H257*(1-0.037262457)</f>
      </c>
      <c r="AQ257" s="153" t="s">
        <v>130</v>
      </c>
      <c r="AV257" s="111">
        <f>AW257+AX257</f>
      </c>
      <c r="AW257" s="111">
        <f>G257*AO257</f>
      </c>
      <c r="AX257" s="111">
        <f>G257*AP257</f>
      </c>
      <c r="AY257" s="153" t="s">
        <v>528</v>
      </c>
      <c r="AZ257" s="153" t="s">
        <v>399</v>
      </c>
      <c r="BA257" s="132" t="s">
        <v>137</v>
      </c>
      <c r="BC257" s="111">
        <f>AW257+AX257</f>
      </c>
      <c r="BD257" s="111">
        <f>H257/(100-BE257)*100</f>
      </c>
      <c r="BE257" s="111" t="n">
        <v>0</v>
      </c>
      <c r="BF257" s="111">
        <f>257</f>
      </c>
      <c r="BH257" s="111">
        <f>G257*AO257</f>
      </c>
      <c r="BI257" s="111">
        <f>G257*AP257</f>
      </c>
      <c r="BJ257" s="111">
        <f>G257*H257</f>
      </c>
      <c r="BK257" s="111"/>
      <c r="BL257" s="111" t="n">
        <v>33</v>
      </c>
      <c r="BW257" s="111" t="n">
        <v>21</v>
      </c>
      <c r="BX257" s="14" t="s">
        <v>548</v>
      </c>
    </row>
    <row r="258">
      <c r="A258" s="154"/>
      <c r="B258" s="155"/>
      <c r="C258" s="155"/>
      <c r="D258" s="156" t="s">
        <v>529</v>
      </c>
      <c r="E258" s="156" t="s">
        <v>530</v>
      </c>
      <c r="F258" s="155"/>
      <c r="G258" s="157" t="n">
        <v>187.2</v>
      </c>
      <c r="H258" s="158"/>
      <c r="I258" s="155"/>
      <c r="J258" s="155"/>
      <c r="K258" s="146"/>
    </row>
    <row r="259">
      <c r="A259" s="9" t="s">
        <v>549</v>
      </c>
      <c r="B259" s="10" t="s">
        <v>84</v>
      </c>
      <c r="C259" s="10" t="s">
        <v>550</v>
      </c>
      <c r="D259" s="14" t="s">
        <v>551</v>
      </c>
      <c r="E259" s="10"/>
      <c r="F259" s="10" t="s">
        <v>282</v>
      </c>
      <c r="G259" s="111" t="n">
        <v>67.2</v>
      </c>
      <c r="H259" s="152" t="n">
        <v>0</v>
      </c>
      <c r="I259" s="111">
        <f>G259*H259</f>
      </c>
      <c r="J259" s="153" t="s">
        <v>134</v>
      </c>
      <c r="K259" s="146"/>
      <c r="Z259" s="111">
        <f>IF(AQ259="5",BJ259,0)</f>
      </c>
      <c r="AB259" s="111">
        <f>IF(AQ259="1",BH259,0)</f>
      </c>
      <c r="AC259" s="111">
        <f>IF(AQ259="1",BI259,0)</f>
      </c>
      <c r="AD259" s="111">
        <f>IF(AQ259="7",BH259,0)</f>
      </c>
      <c r="AE259" s="111">
        <f>IF(AQ259="7",BI259,0)</f>
      </c>
      <c r="AF259" s="111">
        <f>IF(AQ259="2",BH259,0)</f>
      </c>
      <c r="AG259" s="111">
        <f>IF(AQ259="2",BI259,0)</f>
      </c>
      <c r="AH259" s="111">
        <f>IF(AQ259="0",BJ259,0)</f>
      </c>
      <c r="AI259" s="132" t="s">
        <v>84</v>
      </c>
      <c r="AJ259" s="111">
        <f>IF(AN259=0,I259,0)</f>
      </c>
      <c r="AK259" s="111">
        <f>IF(AN259=12,I259,0)</f>
      </c>
      <c r="AL259" s="111">
        <f>IF(AN259=21,I259,0)</f>
      </c>
      <c r="AN259" s="111" t="n">
        <v>21</v>
      </c>
      <c r="AO259" s="111">
        <f>H259*0.314730219</f>
      </c>
      <c r="AP259" s="111">
        <f>H259*(1-0.314730219)</f>
      </c>
      <c r="AQ259" s="153" t="s">
        <v>130</v>
      </c>
      <c r="AV259" s="111">
        <f>AW259+AX259</f>
      </c>
      <c r="AW259" s="111">
        <f>G259*AO259</f>
      </c>
      <c r="AX259" s="111">
        <f>G259*AP259</f>
      </c>
      <c r="AY259" s="153" t="s">
        <v>528</v>
      </c>
      <c r="AZ259" s="153" t="s">
        <v>399</v>
      </c>
      <c r="BA259" s="132" t="s">
        <v>137</v>
      </c>
      <c r="BC259" s="111">
        <f>AW259+AX259</f>
      </c>
      <c r="BD259" s="111">
        <f>H259/(100-BE259)*100</f>
      </c>
      <c r="BE259" s="111" t="n">
        <v>0</v>
      </c>
      <c r="BF259" s="111">
        <f>259</f>
      </c>
      <c r="BH259" s="111">
        <f>G259*AO259</f>
      </c>
      <c r="BI259" s="111">
        <f>G259*AP259</f>
      </c>
      <c r="BJ259" s="111">
        <f>G259*H259</f>
      </c>
      <c r="BK259" s="111"/>
      <c r="BL259" s="111" t="n">
        <v>33</v>
      </c>
      <c r="BW259" s="111" t="n">
        <v>21</v>
      </c>
      <c r="BX259" s="14" t="s">
        <v>551</v>
      </c>
    </row>
    <row r="260" customHeight="true" ht="13.5">
      <c r="A260" s="159"/>
      <c r="C260" s="160" t="s">
        <v>146</v>
      </c>
      <c r="D260" s="161" t="s">
        <v>552</v>
      </c>
      <c r="E260" s="156"/>
      <c r="F260" s="156"/>
      <c r="G260" s="156"/>
      <c r="H260" s="162"/>
      <c r="I260" s="156"/>
      <c r="J260" s="156"/>
      <c r="K260" s="163"/>
    </row>
    <row r="261">
      <c r="A261" s="154"/>
      <c r="B261" s="155"/>
      <c r="C261" s="155"/>
      <c r="D261" s="156" t="s">
        <v>553</v>
      </c>
      <c r="E261" s="156" t="s">
        <v>554</v>
      </c>
      <c r="F261" s="155"/>
      <c r="G261" s="157" t="n">
        <v>67.2</v>
      </c>
      <c r="H261" s="158"/>
      <c r="I261" s="155"/>
      <c r="J261" s="155"/>
      <c r="K261" s="146"/>
    </row>
    <row r="262">
      <c r="A262" s="147" t="s">
        <v>4</v>
      </c>
      <c r="B262" s="148" t="s">
        <v>84</v>
      </c>
      <c r="C262" s="148" t="s">
        <v>366</v>
      </c>
      <c r="D262" s="149" t="s">
        <v>555</v>
      </c>
      <c r="E262" s="148"/>
      <c r="F262" s="150" t="s">
        <v>79</v>
      </c>
      <c r="G262" s="150" t="s">
        <v>79</v>
      </c>
      <c r="H262" s="151" t="s">
        <v>79</v>
      </c>
      <c r="I262" s="117">
        <f>SUM(I263:I359)</f>
      </c>
      <c r="J262" s="132" t="s">
        <v>4</v>
      </c>
      <c r="K262" s="146"/>
      <c r="AI262" s="132" t="s">
        <v>84</v>
      </c>
      <c r="AS262" s="117">
        <f>SUM(AJ263:AJ359)</f>
      </c>
      <c r="AT262" s="117">
        <f>SUM(AK263:AK359)</f>
      </c>
      <c r="AU262" s="117">
        <f>SUM(AL263:AL359)</f>
      </c>
    </row>
    <row r="263">
      <c r="A263" s="9" t="s">
        <v>556</v>
      </c>
      <c r="B263" s="10" t="s">
        <v>84</v>
      </c>
      <c r="C263" s="10" t="s">
        <v>557</v>
      </c>
      <c r="D263" s="14" t="s">
        <v>558</v>
      </c>
      <c r="E263" s="10"/>
      <c r="F263" s="10" t="s">
        <v>145</v>
      </c>
      <c r="G263" s="111" t="n">
        <v>82.0635</v>
      </c>
      <c r="H263" s="152" t="n">
        <v>0</v>
      </c>
      <c r="I263" s="111">
        <f>G263*H263</f>
      </c>
      <c r="J263" s="153" t="s">
        <v>134</v>
      </c>
      <c r="K263" s="146"/>
      <c r="Z263" s="111">
        <f>IF(AQ263="5",BJ263,0)</f>
      </c>
      <c r="AB263" s="111">
        <f>IF(AQ263="1",BH263,0)</f>
      </c>
      <c r="AC263" s="111">
        <f>IF(AQ263="1",BI263,0)</f>
      </c>
      <c r="AD263" s="111">
        <f>IF(AQ263="7",BH263,0)</f>
      </c>
      <c r="AE263" s="111">
        <f>IF(AQ263="7",BI263,0)</f>
      </c>
      <c r="AF263" s="111">
        <f>IF(AQ263="2",BH263,0)</f>
      </c>
      <c r="AG263" s="111">
        <f>IF(AQ263="2",BI263,0)</f>
      </c>
      <c r="AH263" s="111">
        <f>IF(AQ263="0",BJ263,0)</f>
      </c>
      <c r="AI263" s="132" t="s">
        <v>84</v>
      </c>
      <c r="AJ263" s="111">
        <f>IF(AN263=0,I263,0)</f>
      </c>
      <c r="AK263" s="111">
        <f>IF(AN263=12,I263,0)</f>
      </c>
      <c r="AL263" s="111">
        <f>IF(AN263=21,I263,0)</f>
      </c>
      <c r="AN263" s="111" t="n">
        <v>21</v>
      </c>
      <c r="AO263" s="111">
        <f>H263*0.790117755</f>
      </c>
      <c r="AP263" s="111">
        <f>H263*(1-0.790117755)</f>
      </c>
      <c r="AQ263" s="153" t="s">
        <v>130</v>
      </c>
      <c r="AV263" s="111">
        <f>AW263+AX263</f>
      </c>
      <c r="AW263" s="111">
        <f>G263*AO263</f>
      </c>
      <c r="AX263" s="111">
        <f>G263*AP263</f>
      </c>
      <c r="AY263" s="153" t="s">
        <v>559</v>
      </c>
      <c r="AZ263" s="153" t="s">
        <v>399</v>
      </c>
      <c r="BA263" s="132" t="s">
        <v>137</v>
      </c>
      <c r="BC263" s="111">
        <f>AW263+AX263</f>
      </c>
      <c r="BD263" s="111">
        <f>H263/(100-BE263)*100</f>
      </c>
      <c r="BE263" s="111" t="n">
        <v>0</v>
      </c>
      <c r="BF263" s="111">
        <f>263</f>
      </c>
      <c r="BH263" s="111">
        <f>G263*AO263</f>
      </c>
      <c r="BI263" s="111">
        <f>G263*AP263</f>
      </c>
      <c r="BJ263" s="111">
        <f>G263*H263</f>
      </c>
      <c r="BK263" s="111"/>
      <c r="BL263" s="111" t="n">
        <v>34</v>
      </c>
      <c r="BW263" s="111" t="n">
        <v>21</v>
      </c>
      <c r="BX263" s="14" t="s">
        <v>558</v>
      </c>
    </row>
    <row r="264" customHeight="true" ht="13.5">
      <c r="A264" s="159"/>
      <c r="C264" s="160" t="s">
        <v>146</v>
      </c>
      <c r="D264" s="161" t="s">
        <v>560</v>
      </c>
      <c r="E264" s="156"/>
      <c r="F264" s="156"/>
      <c r="G264" s="156"/>
      <c r="H264" s="162"/>
      <c r="I264" s="156"/>
      <c r="J264" s="156"/>
      <c r="K264" s="163"/>
    </row>
    <row r="265">
      <c r="A265" s="154"/>
      <c r="B265" s="155"/>
      <c r="C265" s="155"/>
      <c r="D265" s="156" t="s">
        <v>561</v>
      </c>
      <c r="E265" s="156" t="s">
        <v>562</v>
      </c>
      <c r="F265" s="155"/>
      <c r="G265" s="157" t="n">
        <v>11.2575</v>
      </c>
      <c r="H265" s="158"/>
      <c r="I265" s="155"/>
      <c r="J265" s="155"/>
      <c r="K265" s="146"/>
    </row>
    <row r="266">
      <c r="A266" s="154"/>
      <c r="B266" s="155"/>
      <c r="C266" s="155"/>
      <c r="D266" s="156" t="s">
        <v>563</v>
      </c>
      <c r="E266" s="156" t="s">
        <v>564</v>
      </c>
      <c r="F266" s="155"/>
      <c r="G266" s="157" t="n">
        <v>29.794</v>
      </c>
      <c r="H266" s="158"/>
      <c r="I266" s="155"/>
      <c r="J266" s="155"/>
      <c r="K266" s="146"/>
    </row>
    <row r="267">
      <c r="A267" s="154"/>
      <c r="B267" s="155"/>
      <c r="C267" s="155"/>
      <c r="D267" s="156" t="s">
        <v>565</v>
      </c>
      <c r="E267" s="156" t="s">
        <v>566</v>
      </c>
      <c r="F267" s="155"/>
      <c r="G267" s="157" t="n">
        <v>5.415</v>
      </c>
      <c r="H267" s="158"/>
      <c r="I267" s="155"/>
      <c r="J267" s="155"/>
      <c r="K267" s="146"/>
    </row>
    <row r="268">
      <c r="A268" s="154"/>
      <c r="B268" s="155"/>
      <c r="C268" s="155"/>
      <c r="D268" s="156" t="s">
        <v>567</v>
      </c>
      <c r="E268" s="156" t="s">
        <v>425</v>
      </c>
      <c r="F268" s="155"/>
      <c r="G268" s="157" t="n">
        <v>35.597</v>
      </c>
      <c r="H268" s="158"/>
      <c r="I268" s="155"/>
      <c r="J268" s="155"/>
      <c r="K268" s="146"/>
    </row>
    <row r="269">
      <c r="A269" s="9" t="s">
        <v>568</v>
      </c>
      <c r="B269" s="10" t="s">
        <v>84</v>
      </c>
      <c r="C269" s="10" t="s">
        <v>569</v>
      </c>
      <c r="D269" s="14" t="s">
        <v>570</v>
      </c>
      <c r="E269" s="10"/>
      <c r="F269" s="10" t="s">
        <v>145</v>
      </c>
      <c r="G269" s="111" t="n">
        <v>61.6775</v>
      </c>
      <c r="H269" s="152" t="n">
        <v>0</v>
      </c>
      <c r="I269" s="111">
        <f>G269*H269</f>
      </c>
      <c r="J269" s="153" t="s">
        <v>134</v>
      </c>
      <c r="K269" s="146"/>
      <c r="Z269" s="111">
        <f>IF(AQ269="5",BJ269,0)</f>
      </c>
      <c r="AB269" s="111">
        <f>IF(AQ269="1",BH269,0)</f>
      </c>
      <c r="AC269" s="111">
        <f>IF(AQ269="1",BI269,0)</f>
      </c>
      <c r="AD269" s="111">
        <f>IF(AQ269="7",BH269,0)</f>
      </c>
      <c r="AE269" s="111">
        <f>IF(AQ269="7",BI269,0)</f>
      </c>
      <c r="AF269" s="111">
        <f>IF(AQ269="2",BH269,0)</f>
      </c>
      <c r="AG269" s="111">
        <f>IF(AQ269="2",BI269,0)</f>
      </c>
      <c r="AH269" s="111">
        <f>IF(AQ269="0",BJ269,0)</f>
      </c>
      <c r="AI269" s="132" t="s">
        <v>84</v>
      </c>
      <c r="AJ269" s="111">
        <f>IF(AN269=0,I269,0)</f>
      </c>
      <c r="AK269" s="111">
        <f>IF(AN269=12,I269,0)</f>
      </c>
      <c r="AL269" s="111">
        <f>IF(AN269=21,I269,0)</f>
      </c>
      <c r="AN269" s="111" t="n">
        <v>21</v>
      </c>
      <c r="AO269" s="111">
        <f>H269*0.718080913</f>
      </c>
      <c r="AP269" s="111">
        <f>H269*(1-0.718080913)</f>
      </c>
      <c r="AQ269" s="153" t="s">
        <v>130</v>
      </c>
      <c r="AV269" s="111">
        <f>AW269+AX269</f>
      </c>
      <c r="AW269" s="111">
        <f>G269*AO269</f>
      </c>
      <c r="AX269" s="111">
        <f>G269*AP269</f>
      </c>
      <c r="AY269" s="153" t="s">
        <v>559</v>
      </c>
      <c r="AZ269" s="153" t="s">
        <v>399</v>
      </c>
      <c r="BA269" s="132" t="s">
        <v>137</v>
      </c>
      <c r="BC269" s="111">
        <f>AW269+AX269</f>
      </c>
      <c r="BD269" s="111">
        <f>H269/(100-BE269)*100</f>
      </c>
      <c r="BE269" s="111" t="n">
        <v>0</v>
      </c>
      <c r="BF269" s="111">
        <f>269</f>
      </c>
      <c r="BH269" s="111">
        <f>G269*AO269</f>
      </c>
      <c r="BI269" s="111">
        <f>G269*AP269</f>
      </c>
      <c r="BJ269" s="111">
        <f>G269*H269</f>
      </c>
      <c r="BK269" s="111"/>
      <c r="BL269" s="111" t="n">
        <v>34</v>
      </c>
      <c r="BW269" s="111" t="n">
        <v>21</v>
      </c>
      <c r="BX269" s="14" t="s">
        <v>570</v>
      </c>
    </row>
    <row r="270">
      <c r="A270" s="154"/>
      <c r="B270" s="155"/>
      <c r="C270" s="155"/>
      <c r="D270" s="156" t="s">
        <v>571</v>
      </c>
      <c r="E270" s="156" t="s">
        <v>572</v>
      </c>
      <c r="F270" s="155"/>
      <c r="G270" s="157" t="n">
        <v>24.8295</v>
      </c>
      <c r="H270" s="158"/>
      <c r="I270" s="155"/>
      <c r="J270" s="155"/>
      <c r="K270" s="146"/>
    </row>
    <row r="271">
      <c r="A271" s="154"/>
      <c r="B271" s="155"/>
      <c r="C271" s="155"/>
      <c r="D271" s="156" t="s">
        <v>573</v>
      </c>
      <c r="E271" s="156" t="s">
        <v>574</v>
      </c>
      <c r="F271" s="155"/>
      <c r="G271" s="157" t="n">
        <v>29.801</v>
      </c>
      <c r="H271" s="158"/>
      <c r="I271" s="155"/>
      <c r="J271" s="155"/>
      <c r="K271" s="146"/>
    </row>
    <row r="272">
      <c r="A272" s="154"/>
      <c r="B272" s="155"/>
      <c r="C272" s="155"/>
      <c r="D272" s="156" t="s">
        <v>575</v>
      </c>
      <c r="E272" s="156" t="s">
        <v>425</v>
      </c>
      <c r="F272" s="155"/>
      <c r="G272" s="157" t="n">
        <v>7.047</v>
      </c>
      <c r="H272" s="158"/>
      <c r="I272" s="155"/>
      <c r="J272" s="155"/>
      <c r="K272" s="146"/>
    </row>
    <row r="273">
      <c r="A273" s="9" t="s">
        <v>576</v>
      </c>
      <c r="B273" s="10" t="s">
        <v>84</v>
      </c>
      <c r="C273" s="10" t="s">
        <v>495</v>
      </c>
      <c r="D273" s="14" t="s">
        <v>577</v>
      </c>
      <c r="E273" s="10"/>
      <c r="F273" s="10" t="s">
        <v>282</v>
      </c>
      <c r="G273" s="111" t="n">
        <v>105.98</v>
      </c>
      <c r="H273" s="152" t="n">
        <v>0</v>
      </c>
      <c r="I273" s="111">
        <f>G273*H273</f>
      </c>
      <c r="J273" s="153" t="s">
        <v>134</v>
      </c>
      <c r="K273" s="146"/>
      <c r="Z273" s="111">
        <f>IF(AQ273="5",BJ273,0)</f>
      </c>
      <c r="AB273" s="111">
        <f>IF(AQ273="1",BH273,0)</f>
      </c>
      <c r="AC273" s="111">
        <f>IF(AQ273="1",BI273,0)</f>
      </c>
      <c r="AD273" s="111">
        <f>IF(AQ273="7",BH273,0)</f>
      </c>
      <c r="AE273" s="111">
        <f>IF(AQ273="7",BI273,0)</f>
      </c>
      <c r="AF273" s="111">
        <f>IF(AQ273="2",BH273,0)</f>
      </c>
      <c r="AG273" s="111">
        <f>IF(AQ273="2",BI273,0)</f>
      </c>
      <c r="AH273" s="111">
        <f>IF(AQ273="0",BJ273,0)</f>
      </c>
      <c r="AI273" s="132" t="s">
        <v>84</v>
      </c>
      <c r="AJ273" s="111">
        <f>IF(AN273=0,I273,0)</f>
      </c>
      <c r="AK273" s="111">
        <f>IF(AN273=12,I273,0)</f>
      </c>
      <c r="AL273" s="111">
        <f>IF(AN273=21,I273,0)</f>
      </c>
      <c r="AN273" s="111" t="n">
        <v>21</v>
      </c>
      <c r="AO273" s="111">
        <f>H273*0.214774194</f>
      </c>
      <c r="AP273" s="111">
        <f>H273*(1-0.214774194)</f>
      </c>
      <c r="AQ273" s="153" t="s">
        <v>130</v>
      </c>
      <c r="AV273" s="111">
        <f>AW273+AX273</f>
      </c>
      <c r="AW273" s="111">
        <f>G273*AO273</f>
      </c>
      <c r="AX273" s="111">
        <f>G273*AP273</f>
      </c>
      <c r="AY273" s="153" t="s">
        <v>559</v>
      </c>
      <c r="AZ273" s="153" t="s">
        <v>399</v>
      </c>
      <c r="BA273" s="132" t="s">
        <v>137</v>
      </c>
      <c r="BC273" s="111">
        <f>AW273+AX273</f>
      </c>
      <c r="BD273" s="111">
        <f>H273/(100-BE273)*100</f>
      </c>
      <c r="BE273" s="111" t="n">
        <v>0</v>
      </c>
      <c r="BF273" s="111">
        <f>273</f>
      </c>
      <c r="BH273" s="111">
        <f>G273*AO273</f>
      </c>
      <c r="BI273" s="111">
        <f>G273*AP273</f>
      </c>
      <c r="BJ273" s="111">
        <f>G273*H273</f>
      </c>
      <c r="BK273" s="111"/>
      <c r="BL273" s="111" t="n">
        <v>34</v>
      </c>
      <c r="BW273" s="111" t="n">
        <v>21</v>
      </c>
      <c r="BX273" s="14" t="s">
        <v>577</v>
      </c>
    </row>
    <row r="274">
      <c r="A274" s="154"/>
      <c r="B274" s="155"/>
      <c r="C274" s="155"/>
      <c r="D274" s="156" t="s">
        <v>578</v>
      </c>
      <c r="E274" s="156" t="s">
        <v>421</v>
      </c>
      <c r="F274" s="155"/>
      <c r="G274" s="157" t="n">
        <v>62.7</v>
      </c>
      <c r="H274" s="158"/>
      <c r="I274" s="155"/>
      <c r="J274" s="155"/>
      <c r="K274" s="146"/>
    </row>
    <row r="275">
      <c r="A275" s="154"/>
      <c r="B275" s="155"/>
      <c r="C275" s="155"/>
      <c r="D275" s="156" t="s">
        <v>449</v>
      </c>
      <c r="E275" s="156" t="s">
        <v>425</v>
      </c>
      <c r="F275" s="155"/>
      <c r="G275" s="157" t="n">
        <v>29.6</v>
      </c>
      <c r="H275" s="158"/>
      <c r="I275" s="155"/>
      <c r="J275" s="155"/>
      <c r="K275" s="146"/>
    </row>
    <row r="276">
      <c r="A276" s="154"/>
      <c r="B276" s="155"/>
      <c r="C276" s="155"/>
      <c r="D276" s="156" t="s">
        <v>579</v>
      </c>
      <c r="E276" s="156" t="s">
        <v>580</v>
      </c>
      <c r="F276" s="155"/>
      <c r="G276" s="157" t="n">
        <v>13.68</v>
      </c>
      <c r="H276" s="158"/>
      <c r="I276" s="155"/>
      <c r="J276" s="155"/>
      <c r="K276" s="146"/>
    </row>
    <row r="277">
      <c r="A277" s="9" t="s">
        <v>581</v>
      </c>
      <c r="B277" s="10" t="s">
        <v>84</v>
      </c>
      <c r="C277" s="10" t="s">
        <v>582</v>
      </c>
      <c r="D277" s="14" t="s">
        <v>583</v>
      </c>
      <c r="E277" s="10"/>
      <c r="F277" s="10" t="s">
        <v>145</v>
      </c>
      <c r="G277" s="111" t="n">
        <v>6.06</v>
      </c>
      <c r="H277" s="152" t="n">
        <v>0</v>
      </c>
      <c r="I277" s="111">
        <f>G277*H277</f>
      </c>
      <c r="J277" s="153" t="s">
        <v>134</v>
      </c>
      <c r="K277" s="146"/>
      <c r="Z277" s="111">
        <f>IF(AQ277="5",BJ277,0)</f>
      </c>
      <c r="AB277" s="111">
        <f>IF(AQ277="1",BH277,0)</f>
      </c>
      <c r="AC277" s="111">
        <f>IF(AQ277="1",BI277,0)</f>
      </c>
      <c r="AD277" s="111">
        <f>IF(AQ277="7",BH277,0)</f>
      </c>
      <c r="AE277" s="111">
        <f>IF(AQ277="7",BI277,0)</f>
      </c>
      <c r="AF277" s="111">
        <f>IF(AQ277="2",BH277,0)</f>
      </c>
      <c r="AG277" s="111">
        <f>IF(AQ277="2",BI277,0)</f>
      </c>
      <c r="AH277" s="111">
        <f>IF(AQ277="0",BJ277,0)</f>
      </c>
      <c r="AI277" s="132" t="s">
        <v>84</v>
      </c>
      <c r="AJ277" s="111">
        <f>IF(AN277=0,I277,0)</f>
      </c>
      <c r="AK277" s="111">
        <f>IF(AN277=12,I277,0)</f>
      </c>
      <c r="AL277" s="111">
        <f>IF(AN277=21,I277,0)</f>
      </c>
      <c r="AN277" s="111" t="n">
        <v>21</v>
      </c>
      <c r="AO277" s="111">
        <f>H277*0.571257334</f>
      </c>
      <c r="AP277" s="111">
        <f>H277*(1-0.571257334)</f>
      </c>
      <c r="AQ277" s="153" t="s">
        <v>130</v>
      </c>
      <c r="AV277" s="111">
        <f>AW277+AX277</f>
      </c>
      <c r="AW277" s="111">
        <f>G277*AO277</f>
      </c>
      <c r="AX277" s="111">
        <f>G277*AP277</f>
      </c>
      <c r="AY277" s="153" t="s">
        <v>559</v>
      </c>
      <c r="AZ277" s="153" t="s">
        <v>399</v>
      </c>
      <c r="BA277" s="132" t="s">
        <v>137</v>
      </c>
      <c r="BC277" s="111">
        <f>AW277+AX277</f>
      </c>
      <c r="BD277" s="111">
        <f>H277/(100-BE277)*100</f>
      </c>
      <c r="BE277" s="111" t="n">
        <v>0</v>
      </c>
      <c r="BF277" s="111">
        <f>277</f>
      </c>
      <c r="BH277" s="111">
        <f>G277*AO277</f>
      </c>
      <c r="BI277" s="111">
        <f>G277*AP277</f>
      </c>
      <c r="BJ277" s="111">
        <f>G277*H277</f>
      </c>
      <c r="BK277" s="111"/>
      <c r="BL277" s="111" t="n">
        <v>34</v>
      </c>
      <c r="BW277" s="111" t="n">
        <v>21</v>
      </c>
      <c r="BX277" s="14" t="s">
        <v>583</v>
      </c>
    </row>
    <row r="278" customHeight="true" ht="13.5">
      <c r="A278" s="159"/>
      <c r="C278" s="160" t="s">
        <v>146</v>
      </c>
      <c r="D278" s="161" t="s">
        <v>584</v>
      </c>
      <c r="E278" s="156"/>
      <c r="F278" s="156"/>
      <c r="G278" s="156"/>
      <c r="H278" s="162"/>
      <c r="I278" s="156"/>
      <c r="J278" s="156"/>
      <c r="K278" s="163"/>
    </row>
    <row r="279">
      <c r="A279" s="154"/>
      <c r="B279" s="155"/>
      <c r="C279" s="155"/>
      <c r="D279" s="156" t="s">
        <v>585</v>
      </c>
      <c r="E279" s="156" t="s">
        <v>586</v>
      </c>
      <c r="F279" s="155"/>
      <c r="G279" s="157" t="n">
        <v>3</v>
      </c>
      <c r="H279" s="158"/>
      <c r="I279" s="155"/>
      <c r="J279" s="155"/>
      <c r="K279" s="146"/>
    </row>
    <row r="280">
      <c r="A280" s="154"/>
      <c r="B280" s="155"/>
      <c r="C280" s="155"/>
      <c r="D280" s="156" t="s">
        <v>587</v>
      </c>
      <c r="E280" s="156" t="s">
        <v>588</v>
      </c>
      <c r="F280" s="155"/>
      <c r="G280" s="157" t="n">
        <v>3.06</v>
      </c>
      <c r="H280" s="158"/>
      <c r="I280" s="155"/>
      <c r="J280" s="155"/>
      <c r="K280" s="146"/>
    </row>
    <row r="281">
      <c r="A281" s="9" t="s">
        <v>589</v>
      </c>
      <c r="B281" s="10" t="s">
        <v>84</v>
      </c>
      <c r="C281" s="10" t="s">
        <v>590</v>
      </c>
      <c r="D281" s="14" t="s">
        <v>591</v>
      </c>
      <c r="E281" s="10"/>
      <c r="F281" s="10" t="s">
        <v>145</v>
      </c>
      <c r="G281" s="111" t="n">
        <v>17.1075</v>
      </c>
      <c r="H281" s="152" t="n">
        <v>0</v>
      </c>
      <c r="I281" s="111">
        <f>G281*H281</f>
      </c>
      <c r="J281" s="153" t="s">
        <v>134</v>
      </c>
      <c r="K281" s="146"/>
      <c r="Z281" s="111">
        <f>IF(AQ281="5",BJ281,0)</f>
      </c>
      <c r="AB281" s="111">
        <f>IF(AQ281="1",BH281,0)</f>
      </c>
      <c r="AC281" s="111">
        <f>IF(AQ281="1",BI281,0)</f>
      </c>
      <c r="AD281" s="111">
        <f>IF(AQ281="7",BH281,0)</f>
      </c>
      <c r="AE281" s="111">
        <f>IF(AQ281="7",BI281,0)</f>
      </c>
      <c r="AF281" s="111">
        <f>IF(AQ281="2",BH281,0)</f>
      </c>
      <c r="AG281" s="111">
        <f>IF(AQ281="2",BI281,0)</f>
      </c>
      <c r="AH281" s="111">
        <f>IF(AQ281="0",BJ281,0)</f>
      </c>
      <c r="AI281" s="132" t="s">
        <v>84</v>
      </c>
      <c r="AJ281" s="111">
        <f>IF(AN281=0,I281,0)</f>
      </c>
      <c r="AK281" s="111">
        <f>IF(AN281=12,I281,0)</f>
      </c>
      <c r="AL281" s="111">
        <f>IF(AN281=21,I281,0)</f>
      </c>
      <c r="AN281" s="111" t="n">
        <v>21</v>
      </c>
      <c r="AO281" s="111">
        <f>H281*0.499030291</f>
      </c>
      <c r="AP281" s="111">
        <f>H281*(1-0.499030291)</f>
      </c>
      <c r="AQ281" s="153" t="s">
        <v>130</v>
      </c>
      <c r="AV281" s="111">
        <f>AW281+AX281</f>
      </c>
      <c r="AW281" s="111">
        <f>G281*AO281</f>
      </c>
      <c r="AX281" s="111">
        <f>G281*AP281</f>
      </c>
      <c r="AY281" s="153" t="s">
        <v>559</v>
      </c>
      <c r="AZ281" s="153" t="s">
        <v>399</v>
      </c>
      <c r="BA281" s="132" t="s">
        <v>137</v>
      </c>
      <c r="BC281" s="111">
        <f>AW281+AX281</f>
      </c>
      <c r="BD281" s="111">
        <f>H281/(100-BE281)*100</f>
      </c>
      <c r="BE281" s="111" t="n">
        <v>0</v>
      </c>
      <c r="BF281" s="111">
        <f>281</f>
      </c>
      <c r="BH281" s="111">
        <f>G281*AO281</f>
      </c>
      <c r="BI281" s="111">
        <f>G281*AP281</f>
      </c>
      <c r="BJ281" s="111">
        <f>G281*H281</f>
      </c>
      <c r="BK281" s="111"/>
      <c r="BL281" s="111" t="n">
        <v>34</v>
      </c>
      <c r="BW281" s="111" t="n">
        <v>21</v>
      </c>
      <c r="BX281" s="14" t="s">
        <v>591</v>
      </c>
    </row>
    <row r="282" customHeight="true" ht="13.5">
      <c r="A282" s="159"/>
      <c r="C282" s="160" t="s">
        <v>146</v>
      </c>
      <c r="D282" s="161" t="s">
        <v>592</v>
      </c>
      <c r="E282" s="156"/>
      <c r="F282" s="156"/>
      <c r="G282" s="156"/>
      <c r="H282" s="162"/>
      <c r="I282" s="156"/>
      <c r="J282" s="156"/>
      <c r="K282" s="163"/>
    </row>
    <row r="283">
      <c r="A283" s="154"/>
      <c r="B283" s="155"/>
      <c r="C283" s="155"/>
      <c r="D283" s="156" t="s">
        <v>593</v>
      </c>
      <c r="E283" s="156" t="s">
        <v>594</v>
      </c>
      <c r="F283" s="155"/>
      <c r="G283" s="157" t="n">
        <v>13.0375</v>
      </c>
      <c r="H283" s="158"/>
      <c r="I283" s="155"/>
      <c r="J283" s="155"/>
      <c r="K283" s="146"/>
    </row>
    <row r="284">
      <c r="A284" s="154"/>
      <c r="B284" s="155"/>
      <c r="C284" s="155"/>
      <c r="D284" s="156" t="s">
        <v>595</v>
      </c>
      <c r="E284" s="156" t="s">
        <v>596</v>
      </c>
      <c r="F284" s="155"/>
      <c r="G284" s="157" t="n">
        <v>4.07</v>
      </c>
      <c r="H284" s="158"/>
      <c r="I284" s="155"/>
      <c r="J284" s="155"/>
      <c r="K284" s="146"/>
    </row>
    <row r="285">
      <c r="A285" s="9" t="s">
        <v>597</v>
      </c>
      <c r="B285" s="10" t="s">
        <v>84</v>
      </c>
      <c r="C285" s="10" t="s">
        <v>598</v>
      </c>
      <c r="D285" s="14" t="s">
        <v>599</v>
      </c>
      <c r="E285" s="10"/>
      <c r="F285" s="10" t="s">
        <v>282</v>
      </c>
      <c r="G285" s="111" t="n">
        <v>27.335</v>
      </c>
      <c r="H285" s="152" t="n">
        <v>0</v>
      </c>
      <c r="I285" s="111">
        <f>G285*H285</f>
      </c>
      <c r="J285" s="153" t="s">
        <v>134</v>
      </c>
      <c r="K285" s="146"/>
      <c r="Z285" s="111">
        <f>IF(AQ285="5",BJ285,0)</f>
      </c>
      <c r="AB285" s="111">
        <f>IF(AQ285="1",BH285,0)</f>
      </c>
      <c r="AC285" s="111">
        <f>IF(AQ285="1",BI285,0)</f>
      </c>
      <c r="AD285" s="111">
        <f>IF(AQ285="7",BH285,0)</f>
      </c>
      <c r="AE285" s="111">
        <f>IF(AQ285="7",BI285,0)</f>
      </c>
      <c r="AF285" s="111">
        <f>IF(AQ285="2",BH285,0)</f>
      </c>
      <c r="AG285" s="111">
        <f>IF(AQ285="2",BI285,0)</f>
      </c>
      <c r="AH285" s="111">
        <f>IF(AQ285="0",BJ285,0)</f>
      </c>
      <c r="AI285" s="132" t="s">
        <v>84</v>
      </c>
      <c r="AJ285" s="111">
        <f>IF(AN285=0,I285,0)</f>
      </c>
      <c r="AK285" s="111">
        <f>IF(AN285=12,I285,0)</f>
      </c>
      <c r="AL285" s="111">
        <f>IF(AN285=21,I285,0)</f>
      </c>
      <c r="AN285" s="111" t="n">
        <v>21</v>
      </c>
      <c r="AO285" s="111">
        <f>H285*0.207584149</f>
      </c>
      <c r="AP285" s="111">
        <f>H285*(1-0.207584149)</f>
      </c>
      <c r="AQ285" s="153" t="s">
        <v>130</v>
      </c>
      <c r="AV285" s="111">
        <f>AW285+AX285</f>
      </c>
      <c r="AW285" s="111">
        <f>G285*AO285</f>
      </c>
      <c r="AX285" s="111">
        <f>G285*AP285</f>
      </c>
      <c r="AY285" s="153" t="s">
        <v>559</v>
      </c>
      <c r="AZ285" s="153" t="s">
        <v>399</v>
      </c>
      <c r="BA285" s="132" t="s">
        <v>137</v>
      </c>
      <c r="BC285" s="111">
        <f>AW285+AX285</f>
      </c>
      <c r="BD285" s="111">
        <f>H285/(100-BE285)*100</f>
      </c>
      <c r="BE285" s="111" t="n">
        <v>0</v>
      </c>
      <c r="BF285" s="111">
        <f>285</f>
      </c>
      <c r="BH285" s="111">
        <f>G285*AO285</f>
      </c>
      <c r="BI285" s="111">
        <f>G285*AP285</f>
      </c>
      <c r="BJ285" s="111">
        <f>G285*H285</f>
      </c>
      <c r="BK285" s="111"/>
      <c r="BL285" s="111" t="n">
        <v>34</v>
      </c>
      <c r="BW285" s="111" t="n">
        <v>21</v>
      </c>
      <c r="BX285" s="14" t="s">
        <v>599</v>
      </c>
    </row>
    <row r="286" customHeight="true" ht="13.5">
      <c r="A286" s="159"/>
      <c r="C286" s="160" t="s">
        <v>146</v>
      </c>
      <c r="D286" s="161" t="s">
        <v>600</v>
      </c>
      <c r="E286" s="156"/>
      <c r="F286" s="156"/>
      <c r="G286" s="156"/>
      <c r="H286" s="162"/>
      <c r="I286" s="156"/>
      <c r="J286" s="156"/>
      <c r="K286" s="163"/>
    </row>
    <row r="287">
      <c r="A287" s="154"/>
      <c r="B287" s="155"/>
      <c r="C287" s="155"/>
      <c r="D287" s="156" t="s">
        <v>601</v>
      </c>
      <c r="E287" s="156" t="s">
        <v>602</v>
      </c>
      <c r="F287" s="155"/>
      <c r="G287" s="157" t="n">
        <v>7.4</v>
      </c>
      <c r="H287" s="158"/>
      <c r="I287" s="155"/>
      <c r="J287" s="155"/>
      <c r="K287" s="146"/>
    </row>
    <row r="288">
      <c r="A288" s="154"/>
      <c r="B288" s="155"/>
      <c r="C288" s="155"/>
      <c r="D288" s="156" t="s">
        <v>603</v>
      </c>
      <c r="E288" s="156" t="s">
        <v>604</v>
      </c>
      <c r="F288" s="155"/>
      <c r="G288" s="157" t="n">
        <v>3.775</v>
      </c>
      <c r="H288" s="158"/>
      <c r="I288" s="155"/>
      <c r="J288" s="155"/>
      <c r="K288" s="146"/>
    </row>
    <row r="289">
      <c r="A289" s="154"/>
      <c r="B289" s="155"/>
      <c r="C289" s="155"/>
      <c r="D289" s="156" t="s">
        <v>605</v>
      </c>
      <c r="E289" s="156" t="s">
        <v>606</v>
      </c>
      <c r="F289" s="155"/>
      <c r="G289" s="157" t="n">
        <v>16.16</v>
      </c>
      <c r="H289" s="158"/>
      <c r="I289" s="155"/>
      <c r="J289" s="155"/>
      <c r="K289" s="146"/>
    </row>
    <row r="290">
      <c r="A290" s="9" t="s">
        <v>607</v>
      </c>
      <c r="B290" s="10" t="s">
        <v>84</v>
      </c>
      <c r="C290" s="10" t="s">
        <v>608</v>
      </c>
      <c r="D290" s="14" t="s">
        <v>609</v>
      </c>
      <c r="E290" s="10"/>
      <c r="F290" s="10" t="s">
        <v>282</v>
      </c>
      <c r="G290" s="111" t="n">
        <v>21.7</v>
      </c>
      <c r="H290" s="152" t="n">
        <v>0</v>
      </c>
      <c r="I290" s="111">
        <f>G290*H290</f>
      </c>
      <c r="J290" s="153" t="s">
        <v>134</v>
      </c>
      <c r="K290" s="146"/>
      <c r="Z290" s="111">
        <f>IF(AQ290="5",BJ290,0)</f>
      </c>
      <c r="AB290" s="111">
        <f>IF(AQ290="1",BH290,0)</f>
      </c>
      <c r="AC290" s="111">
        <f>IF(AQ290="1",BI290,0)</f>
      </c>
      <c r="AD290" s="111">
        <f>IF(AQ290="7",BH290,0)</f>
      </c>
      <c r="AE290" s="111">
        <f>IF(AQ290="7",BI290,0)</f>
      </c>
      <c r="AF290" s="111">
        <f>IF(AQ290="2",BH290,0)</f>
      </c>
      <c r="AG290" s="111">
        <f>IF(AQ290="2",BI290,0)</f>
      </c>
      <c r="AH290" s="111">
        <f>IF(AQ290="0",BJ290,0)</f>
      </c>
      <c r="AI290" s="132" t="s">
        <v>84</v>
      </c>
      <c r="AJ290" s="111">
        <f>IF(AN290=0,I290,0)</f>
      </c>
      <c r="AK290" s="111">
        <f>IF(AN290=12,I290,0)</f>
      </c>
      <c r="AL290" s="111">
        <f>IF(AN290=21,I290,0)</f>
      </c>
      <c r="AN290" s="111" t="n">
        <v>21</v>
      </c>
      <c r="AO290" s="111">
        <f>H290*0.207584124</f>
      </c>
      <c r="AP290" s="111">
        <f>H290*(1-0.207584124)</f>
      </c>
      <c r="AQ290" s="153" t="s">
        <v>130</v>
      </c>
      <c r="AV290" s="111">
        <f>AW290+AX290</f>
      </c>
      <c r="AW290" s="111">
        <f>G290*AO290</f>
      </c>
      <c r="AX290" s="111">
        <f>G290*AP290</f>
      </c>
      <c r="AY290" s="153" t="s">
        <v>559</v>
      </c>
      <c r="AZ290" s="153" t="s">
        <v>399</v>
      </c>
      <c r="BA290" s="132" t="s">
        <v>137</v>
      </c>
      <c r="BC290" s="111">
        <f>AW290+AX290</f>
      </c>
      <c r="BD290" s="111">
        <f>H290/(100-BE290)*100</f>
      </c>
      <c r="BE290" s="111" t="n">
        <v>0</v>
      </c>
      <c r="BF290" s="111">
        <f>290</f>
      </c>
      <c r="BH290" s="111">
        <f>G290*AO290</f>
      </c>
      <c r="BI290" s="111">
        <f>G290*AP290</f>
      </c>
      <c r="BJ290" s="111">
        <f>G290*H290</f>
      </c>
      <c r="BK290" s="111"/>
      <c r="BL290" s="111" t="n">
        <v>34</v>
      </c>
      <c r="BW290" s="111" t="n">
        <v>21</v>
      </c>
      <c r="BX290" s="14" t="s">
        <v>609</v>
      </c>
    </row>
    <row r="291" customHeight="true" ht="13.5">
      <c r="A291" s="159"/>
      <c r="C291" s="160" t="s">
        <v>146</v>
      </c>
      <c r="D291" s="161" t="s">
        <v>610</v>
      </c>
      <c r="E291" s="156"/>
      <c r="F291" s="156"/>
      <c r="G291" s="156"/>
      <c r="H291" s="162"/>
      <c r="I291" s="156"/>
      <c r="J291" s="156"/>
      <c r="K291" s="163"/>
    </row>
    <row r="292">
      <c r="A292" s="154"/>
      <c r="B292" s="155"/>
      <c r="C292" s="155"/>
      <c r="D292" s="156" t="s">
        <v>611</v>
      </c>
      <c r="E292" s="156" t="s">
        <v>612</v>
      </c>
      <c r="F292" s="155"/>
      <c r="G292" s="157" t="n">
        <v>21.7</v>
      </c>
      <c r="H292" s="158"/>
      <c r="I292" s="155"/>
      <c r="J292" s="155"/>
      <c r="K292" s="146"/>
    </row>
    <row r="293">
      <c r="A293" s="9" t="s">
        <v>613</v>
      </c>
      <c r="B293" s="10" t="s">
        <v>84</v>
      </c>
      <c r="C293" s="10" t="s">
        <v>614</v>
      </c>
      <c r="D293" s="14" t="s">
        <v>615</v>
      </c>
      <c r="E293" s="10"/>
      <c r="F293" s="10" t="s">
        <v>282</v>
      </c>
      <c r="G293" s="111" t="n">
        <v>30</v>
      </c>
      <c r="H293" s="152" t="n">
        <v>0</v>
      </c>
      <c r="I293" s="111">
        <f>G293*H293</f>
      </c>
      <c r="J293" s="153" t="s">
        <v>134</v>
      </c>
      <c r="K293" s="146"/>
      <c r="Z293" s="111">
        <f>IF(AQ293="5",BJ293,0)</f>
      </c>
      <c r="AB293" s="111">
        <f>IF(AQ293="1",BH293,0)</f>
      </c>
      <c r="AC293" s="111">
        <f>IF(AQ293="1",BI293,0)</f>
      </c>
      <c r="AD293" s="111">
        <f>IF(AQ293="7",BH293,0)</f>
      </c>
      <c r="AE293" s="111">
        <f>IF(AQ293="7",BI293,0)</f>
      </c>
      <c r="AF293" s="111">
        <f>IF(AQ293="2",BH293,0)</f>
      </c>
      <c r="AG293" s="111">
        <f>IF(AQ293="2",BI293,0)</f>
      </c>
      <c r="AH293" s="111">
        <f>IF(AQ293="0",BJ293,0)</f>
      </c>
      <c r="AI293" s="132" t="s">
        <v>84</v>
      </c>
      <c r="AJ293" s="111">
        <f>IF(AN293=0,I293,0)</f>
      </c>
      <c r="AK293" s="111">
        <f>IF(AN293=12,I293,0)</f>
      </c>
      <c r="AL293" s="111">
        <f>IF(AN293=21,I293,0)</f>
      </c>
      <c r="AN293" s="111" t="n">
        <v>21</v>
      </c>
      <c r="AO293" s="111">
        <f>H293*0.181942263</f>
      </c>
      <c r="AP293" s="111">
        <f>H293*(1-0.181942263)</f>
      </c>
      <c r="AQ293" s="153" t="s">
        <v>130</v>
      </c>
      <c r="AV293" s="111">
        <f>AW293+AX293</f>
      </c>
      <c r="AW293" s="111">
        <f>G293*AO293</f>
      </c>
      <c r="AX293" s="111">
        <f>G293*AP293</f>
      </c>
      <c r="AY293" s="153" t="s">
        <v>559</v>
      </c>
      <c r="AZ293" s="153" t="s">
        <v>399</v>
      </c>
      <c r="BA293" s="132" t="s">
        <v>137</v>
      </c>
      <c r="BC293" s="111">
        <f>AW293+AX293</f>
      </c>
      <c r="BD293" s="111">
        <f>H293/(100-BE293)*100</f>
      </c>
      <c r="BE293" s="111" t="n">
        <v>0</v>
      </c>
      <c r="BF293" s="111">
        <f>293</f>
      </c>
      <c r="BH293" s="111">
        <f>G293*AO293</f>
      </c>
      <c r="BI293" s="111">
        <f>G293*AP293</f>
      </c>
      <c r="BJ293" s="111">
        <f>G293*H293</f>
      </c>
      <c r="BK293" s="111"/>
      <c r="BL293" s="111" t="n">
        <v>34</v>
      </c>
      <c r="BW293" s="111" t="n">
        <v>21</v>
      </c>
      <c r="BX293" s="14" t="s">
        <v>615</v>
      </c>
    </row>
    <row r="294" customHeight="true" ht="13.5">
      <c r="A294" s="159"/>
      <c r="C294" s="160" t="s">
        <v>146</v>
      </c>
      <c r="D294" s="161" t="s">
        <v>616</v>
      </c>
      <c r="E294" s="156"/>
      <c r="F294" s="156"/>
      <c r="G294" s="156"/>
      <c r="H294" s="162"/>
      <c r="I294" s="156"/>
      <c r="J294" s="156"/>
      <c r="K294" s="163"/>
    </row>
    <row r="295">
      <c r="A295" s="154"/>
      <c r="B295" s="155"/>
      <c r="C295" s="155"/>
      <c r="D295" s="156" t="s">
        <v>617</v>
      </c>
      <c r="E295" s="156" t="s">
        <v>618</v>
      </c>
      <c r="F295" s="155"/>
      <c r="G295" s="157" t="n">
        <v>8.55</v>
      </c>
      <c r="H295" s="158"/>
      <c r="I295" s="155"/>
      <c r="J295" s="155"/>
      <c r="K295" s="146"/>
    </row>
    <row r="296">
      <c r="A296" s="154"/>
      <c r="B296" s="155"/>
      <c r="C296" s="155"/>
      <c r="D296" s="156" t="s">
        <v>619</v>
      </c>
      <c r="E296" s="156" t="s">
        <v>620</v>
      </c>
      <c r="F296" s="155"/>
      <c r="G296" s="157" t="n">
        <v>17.75</v>
      </c>
      <c r="H296" s="158"/>
      <c r="I296" s="155"/>
      <c r="J296" s="155"/>
      <c r="K296" s="146"/>
    </row>
    <row r="297">
      <c r="A297" s="154"/>
      <c r="B297" s="155"/>
      <c r="C297" s="155"/>
      <c r="D297" s="156" t="s">
        <v>621</v>
      </c>
      <c r="E297" s="156" t="s">
        <v>622</v>
      </c>
      <c r="F297" s="155"/>
      <c r="G297" s="157" t="n">
        <v>3.7</v>
      </c>
      <c r="H297" s="158"/>
      <c r="I297" s="155"/>
      <c r="J297" s="155"/>
      <c r="K297" s="146"/>
    </row>
    <row r="298">
      <c r="A298" s="9" t="s">
        <v>623</v>
      </c>
      <c r="B298" s="10" t="s">
        <v>84</v>
      </c>
      <c r="C298" s="10" t="s">
        <v>624</v>
      </c>
      <c r="D298" s="14" t="s">
        <v>625</v>
      </c>
      <c r="E298" s="10"/>
      <c r="F298" s="10" t="s">
        <v>145</v>
      </c>
      <c r="G298" s="111" t="n">
        <v>106.5475</v>
      </c>
      <c r="H298" s="152" t="n">
        <v>0</v>
      </c>
      <c r="I298" s="111">
        <f>G298*H298</f>
      </c>
      <c r="J298" s="153" t="s">
        <v>134</v>
      </c>
      <c r="K298" s="146"/>
      <c r="Z298" s="111">
        <f>IF(AQ298="5",BJ298,0)</f>
      </c>
      <c r="AB298" s="111">
        <f>IF(AQ298="1",BH298,0)</f>
      </c>
      <c r="AC298" s="111">
        <f>IF(AQ298="1",BI298,0)</f>
      </c>
      <c r="AD298" s="111">
        <f>IF(AQ298="7",BH298,0)</f>
      </c>
      <c r="AE298" s="111">
        <f>IF(AQ298="7",BI298,0)</f>
      </c>
      <c r="AF298" s="111">
        <f>IF(AQ298="2",BH298,0)</f>
      </c>
      <c r="AG298" s="111">
        <f>IF(AQ298="2",BI298,0)</f>
      </c>
      <c r="AH298" s="111">
        <f>IF(AQ298="0",BJ298,0)</f>
      </c>
      <c r="AI298" s="132" t="s">
        <v>84</v>
      </c>
      <c r="AJ298" s="111">
        <f>IF(AN298=0,I298,0)</f>
      </c>
      <c r="AK298" s="111">
        <f>IF(AN298=12,I298,0)</f>
      </c>
      <c r="AL298" s="111">
        <f>IF(AN298=21,I298,0)</f>
      </c>
      <c r="AN298" s="111" t="n">
        <v>21</v>
      </c>
      <c r="AO298" s="111">
        <f>H298*0.690452792</f>
      </c>
      <c r="AP298" s="111">
        <f>H298*(1-0.690452792)</f>
      </c>
      <c r="AQ298" s="153" t="s">
        <v>130</v>
      </c>
      <c r="AV298" s="111">
        <f>AW298+AX298</f>
      </c>
      <c r="AW298" s="111">
        <f>G298*AO298</f>
      </c>
      <c r="AX298" s="111">
        <f>G298*AP298</f>
      </c>
      <c r="AY298" s="153" t="s">
        <v>559</v>
      </c>
      <c r="AZ298" s="153" t="s">
        <v>399</v>
      </c>
      <c r="BA298" s="132" t="s">
        <v>137</v>
      </c>
      <c r="BC298" s="111">
        <f>AW298+AX298</f>
      </c>
      <c r="BD298" s="111">
        <f>H298/(100-BE298)*100</f>
      </c>
      <c r="BE298" s="111" t="n">
        <v>0</v>
      </c>
      <c r="BF298" s="111">
        <f>298</f>
      </c>
      <c r="BH298" s="111">
        <f>G298*AO298</f>
      </c>
      <c r="BI298" s="111">
        <f>G298*AP298</f>
      </c>
      <c r="BJ298" s="111">
        <f>G298*H298</f>
      </c>
      <c r="BK298" s="111"/>
      <c r="BL298" s="111" t="n">
        <v>34</v>
      </c>
      <c r="BW298" s="111" t="n">
        <v>21</v>
      </c>
      <c r="BX298" s="14" t="s">
        <v>625</v>
      </c>
    </row>
    <row r="299" customHeight="true" ht="13.5">
      <c r="A299" s="159"/>
      <c r="C299" s="160" t="s">
        <v>146</v>
      </c>
      <c r="D299" s="161" t="s">
        <v>626</v>
      </c>
      <c r="E299" s="156"/>
      <c r="F299" s="156"/>
      <c r="G299" s="156"/>
      <c r="H299" s="162"/>
      <c r="I299" s="156"/>
      <c r="J299" s="156"/>
      <c r="K299" s="163"/>
    </row>
    <row r="300">
      <c r="A300" s="154"/>
      <c r="B300" s="155"/>
      <c r="C300" s="155"/>
      <c r="D300" s="156" t="s">
        <v>585</v>
      </c>
      <c r="E300" s="156" t="s">
        <v>627</v>
      </c>
      <c r="F300" s="155"/>
      <c r="G300" s="157" t="n">
        <v>3</v>
      </c>
      <c r="H300" s="158"/>
      <c r="I300" s="155"/>
      <c r="J300" s="155"/>
      <c r="K300" s="146"/>
    </row>
    <row r="301">
      <c r="A301" s="154"/>
      <c r="B301" s="155"/>
      <c r="C301" s="155"/>
      <c r="D301" s="156" t="s">
        <v>587</v>
      </c>
      <c r="E301" s="156" t="s">
        <v>628</v>
      </c>
      <c r="F301" s="155"/>
      <c r="G301" s="157" t="n">
        <v>3.06</v>
      </c>
      <c r="H301" s="158"/>
      <c r="I301" s="155"/>
      <c r="J301" s="155"/>
      <c r="K301" s="146"/>
    </row>
    <row r="302">
      <c r="A302" s="154"/>
      <c r="B302" s="155"/>
      <c r="C302" s="155"/>
      <c r="D302" s="156" t="s">
        <v>593</v>
      </c>
      <c r="E302" s="156" t="s">
        <v>629</v>
      </c>
      <c r="F302" s="155"/>
      <c r="G302" s="157" t="n">
        <v>13.0375</v>
      </c>
      <c r="H302" s="158"/>
      <c r="I302" s="155"/>
      <c r="J302" s="155"/>
      <c r="K302" s="146"/>
    </row>
    <row r="303">
      <c r="A303" s="154"/>
      <c r="B303" s="155"/>
      <c r="C303" s="155"/>
      <c r="D303" s="156" t="s">
        <v>595</v>
      </c>
      <c r="E303" s="156" t="s">
        <v>630</v>
      </c>
      <c r="F303" s="155"/>
      <c r="G303" s="157" t="n">
        <v>4.07</v>
      </c>
      <c r="H303" s="158"/>
      <c r="I303" s="155"/>
      <c r="J303" s="155"/>
      <c r="K303" s="146"/>
    </row>
    <row r="304">
      <c r="A304" s="154"/>
      <c r="B304" s="155"/>
      <c r="C304" s="155"/>
      <c r="D304" s="156" t="s">
        <v>631</v>
      </c>
      <c r="E304" s="156" t="s">
        <v>632</v>
      </c>
      <c r="F304" s="155"/>
      <c r="G304" s="157" t="n">
        <v>83.38</v>
      </c>
      <c r="H304" s="158"/>
      <c r="I304" s="155"/>
      <c r="J304" s="155"/>
      <c r="K304" s="146"/>
    </row>
    <row r="305">
      <c r="A305" s="9" t="s">
        <v>633</v>
      </c>
      <c r="B305" s="10" t="s">
        <v>84</v>
      </c>
      <c r="C305" s="10" t="s">
        <v>634</v>
      </c>
      <c r="D305" s="14" t="s">
        <v>635</v>
      </c>
      <c r="E305" s="10"/>
      <c r="F305" s="10" t="s">
        <v>145</v>
      </c>
      <c r="G305" s="111" t="n">
        <v>23.1675</v>
      </c>
      <c r="H305" s="152" t="n">
        <v>0</v>
      </c>
      <c r="I305" s="111">
        <f>G305*H305</f>
      </c>
      <c r="J305" s="153" t="s">
        <v>134</v>
      </c>
      <c r="K305" s="146"/>
      <c r="Z305" s="111">
        <f>IF(AQ305="5",BJ305,0)</f>
      </c>
      <c r="AB305" s="111">
        <f>IF(AQ305="1",BH305,0)</f>
      </c>
      <c r="AC305" s="111">
        <f>IF(AQ305="1",BI305,0)</f>
      </c>
      <c r="AD305" s="111">
        <f>IF(AQ305="7",BH305,0)</f>
      </c>
      <c r="AE305" s="111">
        <f>IF(AQ305="7",BI305,0)</f>
      </c>
      <c r="AF305" s="111">
        <f>IF(AQ305="2",BH305,0)</f>
      </c>
      <c r="AG305" s="111">
        <f>IF(AQ305="2",BI305,0)</f>
      </c>
      <c r="AH305" s="111">
        <f>IF(AQ305="0",BJ305,0)</f>
      </c>
      <c r="AI305" s="132" t="s">
        <v>84</v>
      </c>
      <c r="AJ305" s="111">
        <f>IF(AN305=0,I305,0)</f>
      </c>
      <c r="AK305" s="111">
        <f>IF(AN305=12,I305,0)</f>
      </c>
      <c r="AL305" s="111">
        <f>IF(AN305=21,I305,0)</f>
      </c>
      <c r="AN305" s="111" t="n">
        <v>21</v>
      </c>
      <c r="AO305" s="111">
        <f>H305*0</f>
      </c>
      <c r="AP305" s="111">
        <f>H305*(1-0)</f>
      </c>
      <c r="AQ305" s="153" t="s">
        <v>130</v>
      </c>
      <c r="AV305" s="111">
        <f>AW305+AX305</f>
      </c>
      <c r="AW305" s="111">
        <f>G305*AO305</f>
      </c>
      <c r="AX305" s="111">
        <f>G305*AP305</f>
      </c>
      <c r="AY305" s="153" t="s">
        <v>559</v>
      </c>
      <c r="AZ305" s="153" t="s">
        <v>399</v>
      </c>
      <c r="BA305" s="132" t="s">
        <v>137</v>
      </c>
      <c r="BC305" s="111">
        <f>AW305+AX305</f>
      </c>
      <c r="BD305" s="111">
        <f>H305/(100-BE305)*100</f>
      </c>
      <c r="BE305" s="111" t="n">
        <v>0</v>
      </c>
      <c r="BF305" s="111">
        <f>305</f>
      </c>
      <c r="BH305" s="111">
        <f>G305*AO305</f>
      </c>
      <c r="BI305" s="111">
        <f>G305*AP305</f>
      </c>
      <c r="BJ305" s="111">
        <f>G305*H305</f>
      </c>
      <c r="BK305" s="111"/>
      <c r="BL305" s="111" t="n">
        <v>34</v>
      </c>
      <c r="BW305" s="111" t="n">
        <v>21</v>
      </c>
      <c r="BX305" s="14" t="s">
        <v>635</v>
      </c>
    </row>
    <row r="306" customHeight="true" ht="13.5">
      <c r="A306" s="159"/>
      <c r="C306" s="160" t="s">
        <v>146</v>
      </c>
      <c r="D306" s="161" t="s">
        <v>636</v>
      </c>
      <c r="E306" s="156"/>
      <c r="F306" s="156"/>
      <c r="G306" s="156"/>
      <c r="H306" s="162"/>
      <c r="I306" s="156"/>
      <c r="J306" s="156"/>
      <c r="K306" s="163"/>
    </row>
    <row r="307">
      <c r="A307" s="154"/>
      <c r="B307" s="155"/>
      <c r="C307" s="155"/>
      <c r="D307" s="156" t="s">
        <v>585</v>
      </c>
      <c r="E307" s="156" t="s">
        <v>586</v>
      </c>
      <c r="F307" s="155"/>
      <c r="G307" s="157" t="n">
        <v>3</v>
      </c>
      <c r="H307" s="158"/>
      <c r="I307" s="155"/>
      <c r="J307" s="155"/>
      <c r="K307" s="146"/>
    </row>
    <row r="308">
      <c r="A308" s="154"/>
      <c r="B308" s="155"/>
      <c r="C308" s="155"/>
      <c r="D308" s="156" t="s">
        <v>587</v>
      </c>
      <c r="E308" s="156" t="s">
        <v>588</v>
      </c>
      <c r="F308" s="155"/>
      <c r="G308" s="157" t="n">
        <v>3.06</v>
      </c>
      <c r="H308" s="158"/>
      <c r="I308" s="155"/>
      <c r="J308" s="155"/>
      <c r="K308" s="146"/>
    </row>
    <row r="309">
      <c r="A309" s="154"/>
      <c r="B309" s="155"/>
      <c r="C309" s="155"/>
      <c r="D309" s="156" t="s">
        <v>593</v>
      </c>
      <c r="E309" s="156" t="s">
        <v>594</v>
      </c>
      <c r="F309" s="155"/>
      <c r="G309" s="157" t="n">
        <v>13.0375</v>
      </c>
      <c r="H309" s="158"/>
      <c r="I309" s="155"/>
      <c r="J309" s="155"/>
      <c r="K309" s="146"/>
    </row>
    <row r="310">
      <c r="A310" s="154"/>
      <c r="B310" s="155"/>
      <c r="C310" s="155"/>
      <c r="D310" s="156" t="s">
        <v>595</v>
      </c>
      <c r="E310" s="156" t="s">
        <v>596</v>
      </c>
      <c r="F310" s="155"/>
      <c r="G310" s="157" t="n">
        <v>4.07</v>
      </c>
      <c r="H310" s="158"/>
      <c r="I310" s="155"/>
      <c r="J310" s="155"/>
      <c r="K310" s="146"/>
    </row>
    <row r="311">
      <c r="A311" s="9" t="s">
        <v>637</v>
      </c>
      <c r="B311" s="10" t="s">
        <v>84</v>
      </c>
      <c r="C311" s="10" t="s">
        <v>638</v>
      </c>
      <c r="D311" s="14" t="s">
        <v>639</v>
      </c>
      <c r="E311" s="10"/>
      <c r="F311" s="10" t="s">
        <v>133</v>
      </c>
      <c r="G311" s="111" t="n">
        <v>10</v>
      </c>
      <c r="H311" s="152" t="n">
        <v>0</v>
      </c>
      <c r="I311" s="111">
        <f>G311*H311</f>
      </c>
      <c r="J311" s="153" t="s">
        <v>134</v>
      </c>
      <c r="K311" s="146"/>
      <c r="Z311" s="111">
        <f>IF(AQ311="5",BJ311,0)</f>
      </c>
      <c r="AB311" s="111">
        <f>IF(AQ311="1",BH311,0)</f>
      </c>
      <c r="AC311" s="111">
        <f>IF(AQ311="1",BI311,0)</f>
      </c>
      <c r="AD311" s="111">
        <f>IF(AQ311="7",BH311,0)</f>
      </c>
      <c r="AE311" s="111">
        <f>IF(AQ311="7",BI311,0)</f>
      </c>
      <c r="AF311" s="111">
        <f>IF(AQ311="2",BH311,0)</f>
      </c>
      <c r="AG311" s="111">
        <f>IF(AQ311="2",BI311,0)</f>
      </c>
      <c r="AH311" s="111">
        <f>IF(AQ311="0",BJ311,0)</f>
      </c>
      <c r="AI311" s="132" t="s">
        <v>84</v>
      </c>
      <c r="AJ311" s="111">
        <f>IF(AN311=0,I311,0)</f>
      </c>
      <c r="AK311" s="111">
        <f>IF(AN311=12,I311,0)</f>
      </c>
      <c r="AL311" s="111">
        <f>IF(AN311=21,I311,0)</f>
      </c>
      <c r="AN311" s="111" t="n">
        <v>21</v>
      </c>
      <c r="AO311" s="111">
        <f>H311*0.018833333</f>
      </c>
      <c r="AP311" s="111">
        <f>H311*(1-0.018833333)</f>
      </c>
      <c r="AQ311" s="153" t="s">
        <v>130</v>
      </c>
      <c r="AV311" s="111">
        <f>AW311+AX311</f>
      </c>
      <c r="AW311" s="111">
        <f>G311*AO311</f>
      </c>
      <c r="AX311" s="111">
        <f>G311*AP311</f>
      </c>
      <c r="AY311" s="153" t="s">
        <v>559</v>
      </c>
      <c r="AZ311" s="153" t="s">
        <v>399</v>
      </c>
      <c r="BA311" s="132" t="s">
        <v>137</v>
      </c>
      <c r="BC311" s="111">
        <f>AW311+AX311</f>
      </c>
      <c r="BD311" s="111">
        <f>H311/(100-BE311)*100</f>
      </c>
      <c r="BE311" s="111" t="n">
        <v>0</v>
      </c>
      <c r="BF311" s="111">
        <f>311</f>
      </c>
      <c r="BH311" s="111">
        <f>G311*AO311</f>
      </c>
      <c r="BI311" s="111">
        <f>G311*AP311</f>
      </c>
      <c r="BJ311" s="111">
        <f>G311*H311</f>
      </c>
      <c r="BK311" s="111"/>
      <c r="BL311" s="111" t="n">
        <v>34</v>
      </c>
      <c r="BW311" s="111" t="n">
        <v>21</v>
      </c>
      <c r="BX311" s="14" t="s">
        <v>639</v>
      </c>
    </row>
    <row r="312" customHeight="true" ht="13.5">
      <c r="A312" s="159"/>
      <c r="C312" s="160" t="s">
        <v>146</v>
      </c>
      <c r="D312" s="161" t="s">
        <v>640</v>
      </c>
      <c r="E312" s="156"/>
      <c r="F312" s="156"/>
      <c r="G312" s="156"/>
      <c r="H312" s="162"/>
      <c r="I312" s="156"/>
      <c r="J312" s="156"/>
      <c r="K312" s="163"/>
    </row>
    <row r="313">
      <c r="A313" s="154"/>
      <c r="B313" s="155"/>
      <c r="C313" s="155"/>
      <c r="D313" s="156" t="s">
        <v>186</v>
      </c>
      <c r="E313" s="156" t="s">
        <v>641</v>
      </c>
      <c r="F313" s="155"/>
      <c r="G313" s="157" t="n">
        <v>10</v>
      </c>
      <c r="H313" s="158"/>
      <c r="I313" s="155"/>
      <c r="J313" s="155"/>
      <c r="K313" s="146"/>
    </row>
    <row r="314">
      <c r="A314" s="9" t="s">
        <v>642</v>
      </c>
      <c r="B314" s="10" t="s">
        <v>84</v>
      </c>
      <c r="C314" s="10" t="s">
        <v>643</v>
      </c>
      <c r="D314" s="14" t="s">
        <v>644</v>
      </c>
      <c r="E314" s="10"/>
      <c r="F314" s="10" t="s">
        <v>133</v>
      </c>
      <c r="G314" s="111" t="n">
        <v>10</v>
      </c>
      <c r="H314" s="152" t="n">
        <v>0</v>
      </c>
      <c r="I314" s="111">
        <f>G314*H314</f>
      </c>
      <c r="J314" s="153" t="s">
        <v>134</v>
      </c>
      <c r="K314" s="146"/>
      <c r="Z314" s="111">
        <f>IF(AQ314="5",BJ314,0)</f>
      </c>
      <c r="AB314" s="111">
        <f>IF(AQ314="1",BH314,0)</f>
      </c>
      <c r="AC314" s="111">
        <f>IF(AQ314="1",BI314,0)</f>
      </c>
      <c r="AD314" s="111">
        <f>IF(AQ314="7",BH314,0)</f>
      </c>
      <c r="AE314" s="111">
        <f>IF(AQ314="7",BI314,0)</f>
      </c>
      <c r="AF314" s="111">
        <f>IF(AQ314="2",BH314,0)</f>
      </c>
      <c r="AG314" s="111">
        <f>IF(AQ314="2",BI314,0)</f>
      </c>
      <c r="AH314" s="111">
        <f>IF(AQ314="0",BJ314,0)</f>
      </c>
      <c r="AI314" s="132" t="s">
        <v>84</v>
      </c>
      <c r="AJ314" s="111">
        <f>IF(AN314=0,I314,0)</f>
      </c>
      <c r="AK314" s="111">
        <f>IF(AN314=12,I314,0)</f>
      </c>
      <c r="AL314" s="111">
        <f>IF(AN314=21,I314,0)</f>
      </c>
      <c r="AN314" s="111" t="n">
        <v>21</v>
      </c>
      <c r="AO314" s="111">
        <f>H314*1</f>
      </c>
      <c r="AP314" s="111">
        <f>H314*(1-1)</f>
      </c>
      <c r="AQ314" s="153" t="s">
        <v>130</v>
      </c>
      <c r="AV314" s="111">
        <f>AW314+AX314</f>
      </c>
      <c r="AW314" s="111">
        <f>G314*AO314</f>
      </c>
      <c r="AX314" s="111">
        <f>G314*AP314</f>
      </c>
      <c r="AY314" s="153" t="s">
        <v>559</v>
      </c>
      <c r="AZ314" s="153" t="s">
        <v>399</v>
      </c>
      <c r="BA314" s="132" t="s">
        <v>137</v>
      </c>
      <c r="BC314" s="111">
        <f>AW314+AX314</f>
      </c>
      <c r="BD314" s="111">
        <f>H314/(100-BE314)*100</f>
      </c>
      <c r="BE314" s="111" t="n">
        <v>0</v>
      </c>
      <c r="BF314" s="111">
        <f>314</f>
      </c>
      <c r="BH314" s="111">
        <f>G314*AO314</f>
      </c>
      <c r="BI314" s="111">
        <f>G314*AP314</f>
      </c>
      <c r="BJ314" s="111">
        <f>G314*H314</f>
      </c>
      <c r="BK314" s="111"/>
      <c r="BL314" s="111" t="n">
        <v>34</v>
      </c>
      <c r="BW314" s="111" t="n">
        <v>21</v>
      </c>
      <c r="BX314" s="14" t="s">
        <v>644</v>
      </c>
    </row>
    <row r="315">
      <c r="A315" s="154"/>
      <c r="B315" s="155"/>
      <c r="C315" s="155"/>
      <c r="D315" s="156" t="s">
        <v>186</v>
      </c>
      <c r="E315" s="156" t="s">
        <v>645</v>
      </c>
      <c r="F315" s="155"/>
      <c r="G315" s="157" t="n">
        <v>10</v>
      </c>
      <c r="H315" s="158"/>
      <c r="I315" s="155"/>
      <c r="J315" s="155"/>
      <c r="K315" s="146"/>
    </row>
    <row r="316">
      <c r="A316" s="9" t="s">
        <v>646</v>
      </c>
      <c r="B316" s="10" t="s">
        <v>84</v>
      </c>
      <c r="C316" s="10" t="s">
        <v>647</v>
      </c>
      <c r="D316" s="14" t="s">
        <v>648</v>
      </c>
      <c r="E316" s="10"/>
      <c r="F316" s="10" t="s">
        <v>282</v>
      </c>
      <c r="G316" s="111" t="n">
        <v>38.72</v>
      </c>
      <c r="H316" s="152" t="n">
        <v>0</v>
      </c>
      <c r="I316" s="111">
        <f>G316*H316</f>
      </c>
      <c r="J316" s="153" t="s">
        <v>134</v>
      </c>
      <c r="K316" s="146"/>
      <c r="Z316" s="111">
        <f>IF(AQ316="5",BJ316,0)</f>
      </c>
      <c r="AB316" s="111">
        <f>IF(AQ316="1",BH316,0)</f>
      </c>
      <c r="AC316" s="111">
        <f>IF(AQ316="1",BI316,0)</f>
      </c>
      <c r="AD316" s="111">
        <f>IF(AQ316="7",BH316,0)</f>
      </c>
      <c r="AE316" s="111">
        <f>IF(AQ316="7",BI316,0)</f>
      </c>
      <c r="AF316" s="111">
        <f>IF(AQ316="2",BH316,0)</f>
      </c>
      <c r="AG316" s="111">
        <f>IF(AQ316="2",BI316,0)</f>
      </c>
      <c r="AH316" s="111">
        <f>IF(AQ316="0",BJ316,0)</f>
      </c>
      <c r="AI316" s="132" t="s">
        <v>84</v>
      </c>
      <c r="AJ316" s="111">
        <f>IF(AN316=0,I316,0)</f>
      </c>
      <c r="AK316" s="111">
        <f>IF(AN316=12,I316,0)</f>
      </c>
      <c r="AL316" s="111">
        <f>IF(AN316=21,I316,0)</f>
      </c>
      <c r="AN316" s="111" t="n">
        <v>21</v>
      </c>
      <c r="AO316" s="111">
        <f>H316*0</f>
      </c>
      <c r="AP316" s="111">
        <f>H316*(1-0)</f>
      </c>
      <c r="AQ316" s="153" t="s">
        <v>130</v>
      </c>
      <c r="AV316" s="111">
        <f>AW316+AX316</f>
      </c>
      <c r="AW316" s="111">
        <f>G316*AO316</f>
      </c>
      <c r="AX316" s="111">
        <f>G316*AP316</f>
      </c>
      <c r="AY316" s="153" t="s">
        <v>559</v>
      </c>
      <c r="AZ316" s="153" t="s">
        <v>399</v>
      </c>
      <c r="BA316" s="132" t="s">
        <v>137</v>
      </c>
      <c r="BC316" s="111">
        <f>AW316+AX316</f>
      </c>
      <c r="BD316" s="111">
        <f>H316/(100-BE316)*100</f>
      </c>
      <c r="BE316" s="111" t="n">
        <v>0</v>
      </c>
      <c r="BF316" s="111">
        <f>316</f>
      </c>
      <c r="BH316" s="111">
        <f>G316*AO316</f>
      </c>
      <c r="BI316" s="111">
        <f>G316*AP316</f>
      </c>
      <c r="BJ316" s="111">
        <f>G316*H316</f>
      </c>
      <c r="BK316" s="111"/>
      <c r="BL316" s="111" t="n">
        <v>34</v>
      </c>
      <c r="BW316" s="111" t="n">
        <v>21</v>
      </c>
      <c r="BX316" s="14" t="s">
        <v>648</v>
      </c>
    </row>
    <row r="317" customHeight="true" ht="13.5">
      <c r="A317" s="159"/>
      <c r="C317" s="160" t="s">
        <v>146</v>
      </c>
      <c r="D317" s="161" t="s">
        <v>649</v>
      </c>
      <c r="E317" s="156"/>
      <c r="F317" s="156"/>
      <c r="G317" s="156"/>
      <c r="H317" s="162"/>
      <c r="I317" s="156"/>
      <c r="J317" s="156"/>
      <c r="K317" s="163"/>
    </row>
    <row r="318">
      <c r="A318" s="154"/>
      <c r="B318" s="155"/>
      <c r="C318" s="155"/>
      <c r="D318" s="156" t="s">
        <v>650</v>
      </c>
      <c r="E318" s="156" t="s">
        <v>406</v>
      </c>
      <c r="F318" s="155"/>
      <c r="G318" s="157" t="n">
        <v>38.72</v>
      </c>
      <c r="H318" s="158"/>
      <c r="I318" s="155"/>
      <c r="J318" s="155"/>
      <c r="K318" s="146"/>
    </row>
    <row r="319">
      <c r="A319" s="9" t="s">
        <v>651</v>
      </c>
      <c r="B319" s="10" t="s">
        <v>84</v>
      </c>
      <c r="C319" s="10" t="s">
        <v>652</v>
      </c>
      <c r="D319" s="14" t="s">
        <v>653</v>
      </c>
      <c r="E319" s="10"/>
      <c r="F319" s="10" t="s">
        <v>282</v>
      </c>
      <c r="G319" s="111" t="n">
        <v>168.08</v>
      </c>
      <c r="H319" s="152" t="n">
        <v>0</v>
      </c>
      <c r="I319" s="111">
        <f>G319*H319</f>
      </c>
      <c r="J319" s="153" t="s">
        <v>134</v>
      </c>
      <c r="K319" s="146"/>
      <c r="Z319" s="111">
        <f>IF(AQ319="5",BJ319,0)</f>
      </c>
      <c r="AB319" s="111">
        <f>IF(AQ319="1",BH319,0)</f>
      </c>
      <c r="AC319" s="111">
        <f>IF(AQ319="1",BI319,0)</f>
      </c>
      <c r="AD319" s="111">
        <f>IF(AQ319="7",BH319,0)</f>
      </c>
      <c r="AE319" s="111">
        <f>IF(AQ319="7",BI319,0)</f>
      </c>
      <c r="AF319" s="111">
        <f>IF(AQ319="2",BH319,0)</f>
      </c>
      <c r="AG319" s="111">
        <f>IF(AQ319="2",BI319,0)</f>
      </c>
      <c r="AH319" s="111">
        <f>IF(AQ319="0",BJ319,0)</f>
      </c>
      <c r="AI319" s="132" t="s">
        <v>84</v>
      </c>
      <c r="AJ319" s="111">
        <f>IF(AN319=0,I319,0)</f>
      </c>
      <c r="AK319" s="111">
        <f>IF(AN319=12,I319,0)</f>
      </c>
      <c r="AL319" s="111">
        <f>IF(AN319=21,I319,0)</f>
      </c>
      <c r="AN319" s="111" t="n">
        <v>21</v>
      </c>
      <c r="AO319" s="111">
        <f>H319*0</f>
      </c>
      <c r="AP319" s="111">
        <f>H319*(1-0)</f>
      </c>
      <c r="AQ319" s="153" t="s">
        <v>130</v>
      </c>
      <c r="AV319" s="111">
        <f>AW319+AX319</f>
      </c>
      <c r="AW319" s="111">
        <f>G319*AO319</f>
      </c>
      <c r="AX319" s="111">
        <f>G319*AP319</f>
      </c>
      <c r="AY319" s="153" t="s">
        <v>559</v>
      </c>
      <c r="AZ319" s="153" t="s">
        <v>399</v>
      </c>
      <c r="BA319" s="132" t="s">
        <v>137</v>
      </c>
      <c r="BC319" s="111">
        <f>AW319+AX319</f>
      </c>
      <c r="BD319" s="111">
        <f>H319/(100-BE319)*100</f>
      </c>
      <c r="BE319" s="111" t="n">
        <v>0</v>
      </c>
      <c r="BF319" s="111">
        <f>319</f>
      </c>
      <c r="BH319" s="111">
        <f>G319*AO319</f>
      </c>
      <c r="BI319" s="111">
        <f>G319*AP319</f>
      </c>
      <c r="BJ319" s="111">
        <f>G319*H319</f>
      </c>
      <c r="BK319" s="111"/>
      <c r="BL319" s="111" t="n">
        <v>34</v>
      </c>
      <c r="BW319" s="111" t="n">
        <v>21</v>
      </c>
      <c r="BX319" s="14" t="s">
        <v>653</v>
      </c>
    </row>
    <row r="320">
      <c r="A320" s="154"/>
      <c r="B320" s="155"/>
      <c r="C320" s="155"/>
      <c r="D320" s="156" t="s">
        <v>654</v>
      </c>
      <c r="E320" s="156" t="s">
        <v>404</v>
      </c>
      <c r="F320" s="155"/>
      <c r="G320" s="157" t="n">
        <v>30.02</v>
      </c>
      <c r="H320" s="158"/>
      <c r="I320" s="155"/>
      <c r="J320" s="155"/>
      <c r="K320" s="146"/>
    </row>
    <row r="321">
      <c r="A321" s="154"/>
      <c r="B321" s="155"/>
      <c r="C321" s="155"/>
      <c r="D321" s="156" t="s">
        <v>654</v>
      </c>
      <c r="E321" s="156" t="s">
        <v>655</v>
      </c>
      <c r="F321" s="155"/>
      <c r="G321" s="157" t="n">
        <v>30.02</v>
      </c>
      <c r="H321" s="158"/>
      <c r="I321" s="155"/>
      <c r="J321" s="155"/>
      <c r="K321" s="146"/>
    </row>
    <row r="322">
      <c r="A322" s="154"/>
      <c r="B322" s="155"/>
      <c r="C322" s="155"/>
      <c r="D322" s="156" t="s">
        <v>656</v>
      </c>
      <c r="E322" s="156" t="s">
        <v>402</v>
      </c>
      <c r="F322" s="155"/>
      <c r="G322" s="157" t="n">
        <v>51.62</v>
      </c>
      <c r="H322" s="158"/>
      <c r="I322" s="155"/>
      <c r="J322" s="155"/>
      <c r="K322" s="146"/>
    </row>
    <row r="323">
      <c r="A323" s="154"/>
      <c r="B323" s="155"/>
      <c r="C323" s="155"/>
      <c r="D323" s="156" t="s">
        <v>657</v>
      </c>
      <c r="E323" s="156" t="s">
        <v>406</v>
      </c>
      <c r="F323" s="155"/>
      <c r="G323" s="157" t="n">
        <v>56.42</v>
      </c>
      <c r="H323" s="158"/>
      <c r="I323" s="155"/>
      <c r="J323" s="155"/>
      <c r="K323" s="146"/>
    </row>
    <row r="324">
      <c r="A324" s="9" t="s">
        <v>658</v>
      </c>
      <c r="B324" s="10" t="s">
        <v>84</v>
      </c>
      <c r="C324" s="10" t="s">
        <v>659</v>
      </c>
      <c r="D324" s="14" t="s">
        <v>660</v>
      </c>
      <c r="E324" s="10"/>
      <c r="F324" s="10" t="s">
        <v>145</v>
      </c>
      <c r="G324" s="111" t="n">
        <v>199.8</v>
      </c>
      <c r="H324" s="152" t="n">
        <v>0</v>
      </c>
      <c r="I324" s="111">
        <f>G324*H324</f>
      </c>
      <c r="J324" s="153" t="s">
        <v>134</v>
      </c>
      <c r="K324" s="146"/>
      <c r="Z324" s="111">
        <f>IF(AQ324="5",BJ324,0)</f>
      </c>
      <c r="AB324" s="111">
        <f>IF(AQ324="1",BH324,0)</f>
      </c>
      <c r="AC324" s="111">
        <f>IF(AQ324="1",BI324,0)</f>
      </c>
      <c r="AD324" s="111">
        <f>IF(AQ324="7",BH324,0)</f>
      </c>
      <c r="AE324" s="111">
        <f>IF(AQ324="7",BI324,0)</f>
      </c>
      <c r="AF324" s="111">
        <f>IF(AQ324="2",BH324,0)</f>
      </c>
      <c r="AG324" s="111">
        <f>IF(AQ324="2",BI324,0)</f>
      </c>
      <c r="AH324" s="111">
        <f>IF(AQ324="0",BJ324,0)</f>
      </c>
      <c r="AI324" s="132" t="s">
        <v>84</v>
      </c>
      <c r="AJ324" s="111">
        <f>IF(AN324=0,I324,0)</f>
      </c>
      <c r="AK324" s="111">
        <f>IF(AN324=12,I324,0)</f>
      </c>
      <c r="AL324" s="111">
        <f>IF(AN324=21,I324,0)</f>
      </c>
      <c r="AN324" s="111" t="n">
        <v>21</v>
      </c>
      <c r="AO324" s="111">
        <f>H324*0.198819871</f>
      </c>
      <c r="AP324" s="111">
        <f>H324*(1-0.198819871)</f>
      </c>
      <c r="AQ324" s="153" t="s">
        <v>130</v>
      </c>
      <c r="AV324" s="111">
        <f>AW324+AX324</f>
      </c>
      <c r="AW324" s="111">
        <f>G324*AO324</f>
      </c>
      <c r="AX324" s="111">
        <f>G324*AP324</f>
      </c>
      <c r="AY324" s="153" t="s">
        <v>559</v>
      </c>
      <c r="AZ324" s="153" t="s">
        <v>399</v>
      </c>
      <c r="BA324" s="132" t="s">
        <v>137</v>
      </c>
      <c r="BC324" s="111">
        <f>AW324+AX324</f>
      </c>
      <c r="BD324" s="111">
        <f>H324/(100-BE324)*100</f>
      </c>
      <c r="BE324" s="111" t="n">
        <v>0</v>
      </c>
      <c r="BF324" s="111">
        <f>324</f>
      </c>
      <c r="BH324" s="111">
        <f>G324*AO324</f>
      </c>
      <c r="BI324" s="111">
        <f>G324*AP324</f>
      </c>
      <c r="BJ324" s="111">
        <f>G324*H324</f>
      </c>
      <c r="BK324" s="111"/>
      <c r="BL324" s="111" t="n">
        <v>34</v>
      </c>
      <c r="BW324" s="111" t="n">
        <v>21</v>
      </c>
      <c r="BX324" s="14" t="s">
        <v>660</v>
      </c>
    </row>
    <row r="325" customHeight="true" ht="13.5">
      <c r="A325" s="159"/>
      <c r="C325" s="160" t="s">
        <v>146</v>
      </c>
      <c r="D325" s="161" t="s">
        <v>661</v>
      </c>
      <c r="E325" s="156"/>
      <c r="F325" s="156"/>
      <c r="G325" s="156"/>
      <c r="H325" s="162"/>
      <c r="I325" s="156"/>
      <c r="J325" s="156"/>
      <c r="K325" s="163"/>
    </row>
    <row r="326">
      <c r="A326" s="154"/>
      <c r="B326" s="155"/>
      <c r="C326" s="155"/>
      <c r="D326" s="156" t="s">
        <v>662</v>
      </c>
      <c r="E326" s="156" t="s">
        <v>663</v>
      </c>
      <c r="F326" s="155"/>
      <c r="G326" s="157" t="n">
        <v>144.2</v>
      </c>
      <c r="H326" s="158"/>
      <c r="I326" s="155"/>
      <c r="J326" s="155"/>
      <c r="K326" s="146"/>
    </row>
    <row r="327">
      <c r="A327" s="154"/>
      <c r="B327" s="155"/>
      <c r="C327" s="155"/>
      <c r="D327" s="156" t="s">
        <v>664</v>
      </c>
      <c r="E327" s="156" t="s">
        <v>402</v>
      </c>
      <c r="F327" s="155"/>
      <c r="G327" s="157" t="n">
        <v>55.6</v>
      </c>
      <c r="H327" s="158"/>
      <c r="I327" s="155"/>
      <c r="J327" s="155"/>
      <c r="K327" s="146"/>
    </row>
    <row r="328">
      <c r="A328" s="9" t="s">
        <v>665</v>
      </c>
      <c r="B328" s="10" t="s">
        <v>84</v>
      </c>
      <c r="C328" s="10" t="s">
        <v>666</v>
      </c>
      <c r="D328" s="14" t="s">
        <v>667</v>
      </c>
      <c r="E328" s="10"/>
      <c r="F328" s="10" t="s">
        <v>145</v>
      </c>
      <c r="G328" s="111" t="n">
        <v>126.1</v>
      </c>
      <c r="H328" s="152" t="n">
        <v>0</v>
      </c>
      <c r="I328" s="111">
        <f>G328*H328</f>
      </c>
      <c r="J328" s="153" t="s">
        <v>134</v>
      </c>
      <c r="K328" s="146"/>
      <c r="Z328" s="111">
        <f>IF(AQ328="5",BJ328,0)</f>
      </c>
      <c r="AB328" s="111">
        <f>IF(AQ328="1",BH328,0)</f>
      </c>
      <c r="AC328" s="111">
        <f>IF(AQ328="1",BI328,0)</f>
      </c>
      <c r="AD328" s="111">
        <f>IF(AQ328="7",BH328,0)</f>
      </c>
      <c r="AE328" s="111">
        <f>IF(AQ328="7",BI328,0)</f>
      </c>
      <c r="AF328" s="111">
        <f>IF(AQ328="2",BH328,0)</f>
      </c>
      <c r="AG328" s="111">
        <f>IF(AQ328="2",BI328,0)</f>
      </c>
      <c r="AH328" s="111">
        <f>IF(AQ328="0",BJ328,0)</f>
      </c>
      <c r="AI328" s="132" t="s">
        <v>84</v>
      </c>
      <c r="AJ328" s="111">
        <f>IF(AN328=0,I328,0)</f>
      </c>
      <c r="AK328" s="111">
        <f>IF(AN328=12,I328,0)</f>
      </c>
      <c r="AL328" s="111">
        <f>IF(AN328=21,I328,0)</f>
      </c>
      <c r="AN328" s="111" t="n">
        <v>21</v>
      </c>
      <c r="AO328" s="111">
        <f>H328*0.273783102</f>
      </c>
      <c r="AP328" s="111">
        <f>H328*(1-0.273783102)</f>
      </c>
      <c r="AQ328" s="153" t="s">
        <v>130</v>
      </c>
      <c r="AV328" s="111">
        <f>AW328+AX328</f>
      </c>
      <c r="AW328" s="111">
        <f>G328*AO328</f>
      </c>
      <c r="AX328" s="111">
        <f>G328*AP328</f>
      </c>
      <c r="AY328" s="153" t="s">
        <v>559</v>
      </c>
      <c r="AZ328" s="153" t="s">
        <v>399</v>
      </c>
      <c r="BA328" s="132" t="s">
        <v>137</v>
      </c>
      <c r="BC328" s="111">
        <f>AW328+AX328</f>
      </c>
      <c r="BD328" s="111">
        <f>H328/(100-BE328)*100</f>
      </c>
      <c r="BE328" s="111" t="n">
        <v>0</v>
      </c>
      <c r="BF328" s="111">
        <f>328</f>
      </c>
      <c r="BH328" s="111">
        <f>G328*AO328</f>
      </c>
      <c r="BI328" s="111">
        <f>G328*AP328</f>
      </c>
      <c r="BJ328" s="111">
        <f>G328*H328</f>
      </c>
      <c r="BK328" s="111"/>
      <c r="BL328" s="111" t="n">
        <v>34</v>
      </c>
      <c r="BW328" s="111" t="n">
        <v>21</v>
      </c>
      <c r="BX328" s="14" t="s">
        <v>667</v>
      </c>
    </row>
    <row r="329" customHeight="true" ht="13.5">
      <c r="A329" s="159"/>
      <c r="C329" s="160" t="s">
        <v>146</v>
      </c>
      <c r="D329" s="161" t="s">
        <v>661</v>
      </c>
      <c r="E329" s="156"/>
      <c r="F329" s="156"/>
      <c r="G329" s="156"/>
      <c r="H329" s="162"/>
      <c r="I329" s="156"/>
      <c r="J329" s="156"/>
      <c r="K329" s="163"/>
    </row>
    <row r="330">
      <c r="A330" s="154"/>
      <c r="B330" s="155"/>
      <c r="C330" s="155"/>
      <c r="D330" s="156" t="s">
        <v>668</v>
      </c>
      <c r="E330" s="156" t="s">
        <v>406</v>
      </c>
      <c r="F330" s="155"/>
      <c r="G330" s="157" t="n">
        <v>126.1</v>
      </c>
      <c r="H330" s="158"/>
      <c r="I330" s="155"/>
      <c r="J330" s="155"/>
      <c r="K330" s="146"/>
    </row>
    <row r="331">
      <c r="A331" s="9" t="s">
        <v>669</v>
      </c>
      <c r="B331" s="10" t="s">
        <v>84</v>
      </c>
      <c r="C331" s="10" t="s">
        <v>670</v>
      </c>
      <c r="D331" s="14" t="s">
        <v>671</v>
      </c>
      <c r="E331" s="10"/>
      <c r="F331" s="10" t="s">
        <v>145</v>
      </c>
      <c r="G331" s="111" t="n">
        <v>374.785</v>
      </c>
      <c r="H331" s="152" t="n">
        <v>0</v>
      </c>
      <c r="I331" s="111">
        <f>G331*H331</f>
      </c>
      <c r="J331" s="153" t="s">
        <v>134</v>
      </c>
      <c r="K331" s="146"/>
      <c r="Z331" s="111">
        <f>IF(AQ331="5",BJ331,0)</f>
      </c>
      <c r="AB331" s="111">
        <f>IF(AQ331="1",BH331,0)</f>
      </c>
      <c r="AC331" s="111">
        <f>IF(AQ331="1",BI331,0)</f>
      </c>
      <c r="AD331" s="111">
        <f>IF(AQ331="7",BH331,0)</f>
      </c>
      <c r="AE331" s="111">
        <f>IF(AQ331="7",BI331,0)</f>
      </c>
      <c r="AF331" s="111">
        <f>IF(AQ331="2",BH331,0)</f>
      </c>
      <c r="AG331" s="111">
        <f>IF(AQ331="2",BI331,0)</f>
      </c>
      <c r="AH331" s="111">
        <f>IF(AQ331="0",BJ331,0)</f>
      </c>
      <c r="AI331" s="132" t="s">
        <v>84</v>
      </c>
      <c r="AJ331" s="111">
        <f>IF(AN331=0,I331,0)</f>
      </c>
      <c r="AK331" s="111">
        <f>IF(AN331=12,I331,0)</f>
      </c>
      <c r="AL331" s="111">
        <f>IF(AN331=21,I331,0)</f>
      </c>
      <c r="AN331" s="111" t="n">
        <v>21</v>
      </c>
      <c r="AO331" s="111">
        <f>H331*1</f>
      </c>
      <c r="AP331" s="111">
        <f>H331*(1-1)</f>
      </c>
      <c r="AQ331" s="153" t="s">
        <v>130</v>
      </c>
      <c r="AV331" s="111">
        <f>AW331+AX331</f>
      </c>
      <c r="AW331" s="111">
        <f>G331*AO331</f>
      </c>
      <c r="AX331" s="111">
        <f>G331*AP331</f>
      </c>
      <c r="AY331" s="153" t="s">
        <v>559</v>
      </c>
      <c r="AZ331" s="153" t="s">
        <v>399</v>
      </c>
      <c r="BA331" s="132" t="s">
        <v>137</v>
      </c>
      <c r="BC331" s="111">
        <f>AW331+AX331</f>
      </c>
      <c r="BD331" s="111">
        <f>H331/(100-BE331)*100</f>
      </c>
      <c r="BE331" s="111" t="n">
        <v>0</v>
      </c>
      <c r="BF331" s="111">
        <f>331</f>
      </c>
      <c r="BH331" s="111">
        <f>G331*AO331</f>
      </c>
      <c r="BI331" s="111">
        <f>G331*AP331</f>
      </c>
      <c r="BJ331" s="111">
        <f>G331*H331</f>
      </c>
      <c r="BK331" s="111"/>
      <c r="BL331" s="111" t="n">
        <v>34</v>
      </c>
      <c r="BW331" s="111" t="n">
        <v>21</v>
      </c>
      <c r="BX331" s="14" t="s">
        <v>671</v>
      </c>
    </row>
    <row r="332">
      <c r="A332" s="154"/>
      <c r="B332" s="155"/>
      <c r="C332" s="155"/>
      <c r="D332" s="156" t="s">
        <v>4</v>
      </c>
      <c r="E332" s="156" t="s">
        <v>672</v>
      </c>
      <c r="F332" s="155"/>
      <c r="G332" s="157" t="n">
        <v>0</v>
      </c>
      <c r="H332" s="158"/>
      <c r="I332" s="155"/>
      <c r="J332" s="155"/>
      <c r="K332" s="146"/>
    </row>
    <row r="333">
      <c r="A333" s="154"/>
      <c r="B333" s="155"/>
      <c r="C333" s="155"/>
      <c r="D333" s="156" t="s">
        <v>4</v>
      </c>
      <c r="E333" s="156" t="s">
        <v>661</v>
      </c>
      <c r="F333" s="155"/>
      <c r="G333" s="157" t="n">
        <v>0</v>
      </c>
      <c r="H333" s="158"/>
      <c r="I333" s="155"/>
      <c r="J333" s="155"/>
      <c r="K333" s="146"/>
    </row>
    <row r="334">
      <c r="A334" s="154"/>
      <c r="B334" s="155"/>
      <c r="C334" s="155"/>
      <c r="D334" s="156" t="s">
        <v>662</v>
      </c>
      <c r="E334" s="156" t="s">
        <v>663</v>
      </c>
      <c r="F334" s="155"/>
      <c r="G334" s="157" t="n">
        <v>144.2</v>
      </c>
      <c r="H334" s="158"/>
      <c r="I334" s="155"/>
      <c r="J334" s="155"/>
      <c r="K334" s="146"/>
    </row>
    <row r="335">
      <c r="A335" s="154"/>
      <c r="B335" s="155"/>
      <c r="C335" s="155"/>
      <c r="D335" s="156" t="s">
        <v>664</v>
      </c>
      <c r="E335" s="156" t="s">
        <v>402</v>
      </c>
      <c r="F335" s="155"/>
      <c r="G335" s="157" t="n">
        <v>55.6</v>
      </c>
      <c r="H335" s="158"/>
      <c r="I335" s="155"/>
      <c r="J335" s="155"/>
      <c r="K335" s="146"/>
    </row>
    <row r="336">
      <c r="A336" s="154"/>
      <c r="B336" s="155"/>
      <c r="C336" s="155"/>
      <c r="D336" s="156" t="s">
        <v>668</v>
      </c>
      <c r="E336" s="156" t="s">
        <v>406</v>
      </c>
      <c r="F336" s="155"/>
      <c r="G336" s="157" t="n">
        <v>126.1</v>
      </c>
      <c r="H336" s="158"/>
      <c r="I336" s="155"/>
      <c r="J336" s="155"/>
      <c r="K336" s="146"/>
    </row>
    <row r="337">
      <c r="A337" s="154"/>
      <c r="B337" s="155"/>
      <c r="C337" s="155"/>
      <c r="D337" s="156" t="s">
        <v>673</v>
      </c>
      <c r="E337" s="156" t="s">
        <v>674</v>
      </c>
      <c r="F337" s="155"/>
      <c r="G337" s="157" t="n">
        <v>48.885</v>
      </c>
      <c r="H337" s="158"/>
      <c r="I337" s="155"/>
      <c r="J337" s="155"/>
      <c r="K337" s="146"/>
    </row>
    <row r="338">
      <c r="A338" s="9" t="s">
        <v>675</v>
      </c>
      <c r="B338" s="10" t="s">
        <v>84</v>
      </c>
      <c r="C338" s="10" t="s">
        <v>557</v>
      </c>
      <c r="D338" s="14" t="s">
        <v>676</v>
      </c>
      <c r="E338" s="10"/>
      <c r="F338" s="10" t="s">
        <v>145</v>
      </c>
      <c r="G338" s="111" t="n">
        <v>25.8113</v>
      </c>
      <c r="H338" s="152" t="n">
        <v>0</v>
      </c>
      <c r="I338" s="111">
        <f>G338*H338</f>
      </c>
      <c r="J338" s="153" t="s">
        <v>134</v>
      </c>
      <c r="K338" s="146"/>
      <c r="Z338" s="111">
        <f>IF(AQ338="5",BJ338,0)</f>
      </c>
      <c r="AB338" s="111">
        <f>IF(AQ338="1",BH338,0)</f>
      </c>
      <c r="AC338" s="111">
        <f>IF(AQ338="1",BI338,0)</f>
      </c>
      <c r="AD338" s="111">
        <f>IF(AQ338="7",BH338,0)</f>
      </c>
      <c r="AE338" s="111">
        <f>IF(AQ338="7",BI338,0)</f>
      </c>
      <c r="AF338" s="111">
        <f>IF(AQ338="2",BH338,0)</f>
      </c>
      <c r="AG338" s="111">
        <f>IF(AQ338="2",BI338,0)</f>
      </c>
      <c r="AH338" s="111">
        <f>IF(AQ338="0",BJ338,0)</f>
      </c>
      <c r="AI338" s="132" t="s">
        <v>84</v>
      </c>
      <c r="AJ338" s="111">
        <f>IF(AN338=0,I338,0)</f>
      </c>
      <c r="AK338" s="111">
        <f>IF(AN338=12,I338,0)</f>
      </c>
      <c r="AL338" s="111">
        <f>IF(AN338=21,I338,0)</f>
      </c>
      <c r="AN338" s="111" t="n">
        <v>21</v>
      </c>
      <c r="AO338" s="111">
        <f>H338*0.790117669</f>
      </c>
      <c r="AP338" s="111">
        <f>H338*(1-0.790117669)</f>
      </c>
      <c r="AQ338" s="153" t="s">
        <v>130</v>
      </c>
      <c r="AV338" s="111">
        <f>AW338+AX338</f>
      </c>
      <c r="AW338" s="111">
        <f>G338*AO338</f>
      </c>
      <c r="AX338" s="111">
        <f>G338*AP338</f>
      </c>
      <c r="AY338" s="153" t="s">
        <v>559</v>
      </c>
      <c r="AZ338" s="153" t="s">
        <v>399</v>
      </c>
      <c r="BA338" s="132" t="s">
        <v>137</v>
      </c>
      <c r="BC338" s="111">
        <f>AW338+AX338</f>
      </c>
      <c r="BD338" s="111">
        <f>H338/(100-BE338)*100</f>
      </c>
      <c r="BE338" s="111" t="n">
        <v>0</v>
      </c>
      <c r="BF338" s="111">
        <f>338</f>
      </c>
      <c r="BH338" s="111">
        <f>G338*AO338</f>
      </c>
      <c r="BI338" s="111">
        <f>G338*AP338</f>
      </c>
      <c r="BJ338" s="111">
        <f>G338*H338</f>
      </c>
      <c r="BK338" s="111"/>
      <c r="BL338" s="111" t="n">
        <v>34</v>
      </c>
      <c r="BW338" s="111" t="n">
        <v>21</v>
      </c>
      <c r="BX338" s="14" t="s">
        <v>676</v>
      </c>
    </row>
    <row r="339" customHeight="true" ht="13.5">
      <c r="A339" s="159"/>
      <c r="C339" s="160" t="s">
        <v>146</v>
      </c>
      <c r="D339" s="161" t="s">
        <v>677</v>
      </c>
      <c r="E339" s="156"/>
      <c r="F339" s="156"/>
      <c r="G339" s="156"/>
      <c r="H339" s="162"/>
      <c r="I339" s="156"/>
      <c r="J339" s="156"/>
      <c r="K339" s="163"/>
    </row>
    <row r="340">
      <c r="A340" s="154"/>
      <c r="B340" s="155"/>
      <c r="C340" s="155"/>
      <c r="D340" s="156" t="s">
        <v>678</v>
      </c>
      <c r="E340" s="156" t="s">
        <v>679</v>
      </c>
      <c r="F340" s="155"/>
      <c r="G340" s="157" t="n">
        <v>2.1175</v>
      </c>
      <c r="H340" s="158"/>
      <c r="I340" s="155"/>
      <c r="J340" s="155"/>
      <c r="K340" s="146"/>
    </row>
    <row r="341">
      <c r="A341" s="154"/>
      <c r="B341" s="155"/>
      <c r="C341" s="155"/>
      <c r="D341" s="156" t="s">
        <v>680</v>
      </c>
      <c r="E341" s="156" t="s">
        <v>681</v>
      </c>
      <c r="F341" s="155"/>
      <c r="G341" s="157" t="n">
        <v>2.8063</v>
      </c>
      <c r="H341" s="158"/>
      <c r="I341" s="155"/>
      <c r="J341" s="155"/>
      <c r="K341" s="146"/>
    </row>
    <row r="342">
      <c r="A342" s="154"/>
      <c r="B342" s="155"/>
      <c r="C342" s="155"/>
      <c r="D342" s="156" t="s">
        <v>682</v>
      </c>
      <c r="E342" s="156" t="s">
        <v>683</v>
      </c>
      <c r="F342" s="155"/>
      <c r="G342" s="157" t="n">
        <v>3.3175</v>
      </c>
      <c r="H342" s="158"/>
      <c r="I342" s="155"/>
      <c r="J342" s="155"/>
      <c r="K342" s="146"/>
    </row>
    <row r="343">
      <c r="A343" s="154"/>
      <c r="B343" s="155"/>
      <c r="C343" s="155"/>
      <c r="D343" s="156" t="s">
        <v>684</v>
      </c>
      <c r="E343" s="156" t="s">
        <v>685</v>
      </c>
      <c r="F343" s="155"/>
      <c r="G343" s="157" t="n">
        <v>8.9075</v>
      </c>
      <c r="H343" s="158"/>
      <c r="I343" s="155"/>
      <c r="J343" s="155"/>
      <c r="K343" s="146"/>
    </row>
    <row r="344">
      <c r="A344" s="154"/>
      <c r="B344" s="155"/>
      <c r="C344" s="155"/>
      <c r="D344" s="156" t="s">
        <v>686</v>
      </c>
      <c r="E344" s="156" t="s">
        <v>687</v>
      </c>
      <c r="F344" s="155"/>
      <c r="G344" s="157" t="n">
        <v>8.6625</v>
      </c>
      <c r="H344" s="158"/>
      <c r="I344" s="155"/>
      <c r="J344" s="155"/>
      <c r="K344" s="146"/>
    </row>
    <row r="345">
      <c r="A345" s="9" t="s">
        <v>688</v>
      </c>
      <c r="B345" s="10" t="s">
        <v>84</v>
      </c>
      <c r="C345" s="10" t="s">
        <v>689</v>
      </c>
      <c r="D345" s="14" t="s">
        <v>690</v>
      </c>
      <c r="E345" s="10"/>
      <c r="F345" s="10" t="s">
        <v>282</v>
      </c>
      <c r="G345" s="111" t="n">
        <v>96.24</v>
      </c>
      <c r="H345" s="152" t="n">
        <v>0</v>
      </c>
      <c r="I345" s="111">
        <f>G345*H345</f>
      </c>
      <c r="J345" s="153" t="s">
        <v>134</v>
      </c>
      <c r="K345" s="146"/>
      <c r="Z345" s="111">
        <f>IF(AQ345="5",BJ345,0)</f>
      </c>
      <c r="AB345" s="111">
        <f>IF(AQ345="1",BH345,0)</f>
      </c>
      <c r="AC345" s="111">
        <f>IF(AQ345="1",BI345,0)</f>
      </c>
      <c r="AD345" s="111">
        <f>IF(AQ345="7",BH345,0)</f>
      </c>
      <c r="AE345" s="111">
        <f>IF(AQ345="7",BI345,0)</f>
      </c>
      <c r="AF345" s="111">
        <f>IF(AQ345="2",BH345,0)</f>
      </c>
      <c r="AG345" s="111">
        <f>IF(AQ345="2",BI345,0)</f>
      </c>
      <c r="AH345" s="111">
        <f>IF(AQ345="0",BJ345,0)</f>
      </c>
      <c r="AI345" s="132" t="s">
        <v>84</v>
      </c>
      <c r="AJ345" s="111">
        <f>IF(AN345=0,I345,0)</f>
      </c>
      <c r="AK345" s="111">
        <f>IF(AN345=12,I345,0)</f>
      </c>
      <c r="AL345" s="111">
        <f>IF(AN345=21,I345,0)</f>
      </c>
      <c r="AN345" s="111" t="n">
        <v>21</v>
      </c>
      <c r="AO345" s="111">
        <f>H345*0.3305</f>
      </c>
      <c r="AP345" s="111">
        <f>H345*(1-0.3305)</f>
      </c>
      <c r="AQ345" s="153" t="s">
        <v>130</v>
      </c>
      <c r="AV345" s="111">
        <f>AW345+AX345</f>
      </c>
      <c r="AW345" s="111">
        <f>G345*AO345</f>
      </c>
      <c r="AX345" s="111">
        <f>G345*AP345</f>
      </c>
      <c r="AY345" s="153" t="s">
        <v>559</v>
      </c>
      <c r="AZ345" s="153" t="s">
        <v>399</v>
      </c>
      <c r="BA345" s="132" t="s">
        <v>137</v>
      </c>
      <c r="BC345" s="111">
        <f>AW345+AX345</f>
      </c>
      <c r="BD345" s="111">
        <f>H345/(100-BE345)*100</f>
      </c>
      <c r="BE345" s="111" t="n">
        <v>0</v>
      </c>
      <c r="BF345" s="111">
        <f>345</f>
      </c>
      <c r="BH345" s="111">
        <f>G345*AO345</f>
      </c>
      <c r="BI345" s="111">
        <f>G345*AP345</f>
      </c>
      <c r="BJ345" s="111">
        <f>G345*H345</f>
      </c>
      <c r="BK345" s="111"/>
      <c r="BL345" s="111" t="n">
        <v>34</v>
      </c>
      <c r="BW345" s="111" t="n">
        <v>21</v>
      </c>
      <c r="BX345" s="14" t="s">
        <v>690</v>
      </c>
    </row>
    <row r="346" customHeight="true" ht="13.5">
      <c r="A346" s="159"/>
      <c r="C346" s="160" t="s">
        <v>146</v>
      </c>
      <c r="D346" s="161" t="s">
        <v>691</v>
      </c>
      <c r="E346" s="156"/>
      <c r="F346" s="156"/>
      <c r="G346" s="156"/>
      <c r="H346" s="162"/>
      <c r="I346" s="156"/>
      <c r="J346" s="156"/>
      <c r="K346" s="163"/>
    </row>
    <row r="347">
      <c r="A347" s="154"/>
      <c r="B347" s="155"/>
      <c r="C347" s="155"/>
      <c r="D347" s="156" t="s">
        <v>4</v>
      </c>
      <c r="E347" s="156" t="s">
        <v>692</v>
      </c>
      <c r="F347" s="155"/>
      <c r="G347" s="157" t="n">
        <v>0</v>
      </c>
      <c r="H347" s="158"/>
      <c r="I347" s="155"/>
      <c r="J347" s="155"/>
      <c r="K347" s="146"/>
    </row>
    <row r="348">
      <c r="A348" s="154"/>
      <c r="B348" s="155"/>
      <c r="C348" s="155"/>
      <c r="D348" s="156" t="s">
        <v>693</v>
      </c>
      <c r="E348" s="156" t="s">
        <v>679</v>
      </c>
      <c r="F348" s="155"/>
      <c r="G348" s="157" t="n">
        <v>8.47</v>
      </c>
      <c r="H348" s="158"/>
      <c r="I348" s="155"/>
      <c r="J348" s="155"/>
      <c r="K348" s="146"/>
    </row>
    <row r="349">
      <c r="A349" s="154"/>
      <c r="B349" s="155"/>
      <c r="C349" s="155"/>
      <c r="D349" s="156" t="s">
        <v>694</v>
      </c>
      <c r="E349" s="156" t="s">
        <v>681</v>
      </c>
      <c r="F349" s="155"/>
      <c r="G349" s="157" t="n">
        <v>4.22</v>
      </c>
      <c r="H349" s="158"/>
      <c r="I349" s="155"/>
      <c r="J349" s="155"/>
      <c r="K349" s="146"/>
    </row>
    <row r="350">
      <c r="A350" s="154"/>
      <c r="B350" s="155"/>
      <c r="C350" s="155"/>
      <c r="D350" s="156" t="s">
        <v>695</v>
      </c>
      <c r="E350" s="156" t="s">
        <v>683</v>
      </c>
      <c r="F350" s="155"/>
      <c r="G350" s="157" t="n">
        <v>13.27</v>
      </c>
      <c r="H350" s="158"/>
      <c r="I350" s="155"/>
      <c r="J350" s="155"/>
      <c r="K350" s="146"/>
    </row>
    <row r="351">
      <c r="A351" s="154"/>
      <c r="B351" s="155"/>
      <c r="C351" s="155"/>
      <c r="D351" s="156" t="s">
        <v>696</v>
      </c>
      <c r="E351" s="156" t="s">
        <v>685</v>
      </c>
      <c r="F351" s="155"/>
      <c r="G351" s="157" t="n">
        <v>35.63</v>
      </c>
      <c r="H351" s="158"/>
      <c r="I351" s="155"/>
      <c r="J351" s="155"/>
      <c r="K351" s="146"/>
    </row>
    <row r="352">
      <c r="A352" s="154"/>
      <c r="B352" s="155"/>
      <c r="C352" s="155"/>
      <c r="D352" s="156" t="s">
        <v>697</v>
      </c>
      <c r="E352" s="156" t="s">
        <v>687</v>
      </c>
      <c r="F352" s="155"/>
      <c r="G352" s="157" t="n">
        <v>34.65</v>
      </c>
      <c r="H352" s="158"/>
      <c r="I352" s="155"/>
      <c r="J352" s="155"/>
      <c r="K352" s="146"/>
    </row>
    <row r="353">
      <c r="A353" s="9" t="s">
        <v>698</v>
      </c>
      <c r="B353" s="10" t="s">
        <v>84</v>
      </c>
      <c r="C353" s="10" t="s">
        <v>699</v>
      </c>
      <c r="D353" s="14" t="s">
        <v>700</v>
      </c>
      <c r="E353" s="10"/>
      <c r="F353" s="10" t="s">
        <v>145</v>
      </c>
      <c r="G353" s="111" t="n">
        <v>1.875</v>
      </c>
      <c r="H353" s="152" t="n">
        <v>0</v>
      </c>
      <c r="I353" s="111">
        <f>G353*H353</f>
      </c>
      <c r="J353" s="153" t="s">
        <v>134</v>
      </c>
      <c r="K353" s="146"/>
      <c r="Z353" s="111">
        <f>IF(AQ353="5",BJ353,0)</f>
      </c>
      <c r="AB353" s="111">
        <f>IF(AQ353="1",BH353,0)</f>
      </c>
      <c r="AC353" s="111">
        <f>IF(AQ353="1",BI353,0)</f>
      </c>
      <c r="AD353" s="111">
        <f>IF(AQ353="7",BH353,0)</f>
      </c>
      <c r="AE353" s="111">
        <f>IF(AQ353="7",BI353,0)</f>
      </c>
      <c r="AF353" s="111">
        <f>IF(AQ353="2",BH353,0)</f>
      </c>
      <c r="AG353" s="111">
        <f>IF(AQ353="2",BI353,0)</f>
      </c>
      <c r="AH353" s="111">
        <f>IF(AQ353="0",BJ353,0)</f>
      </c>
      <c r="AI353" s="132" t="s">
        <v>84</v>
      </c>
      <c r="AJ353" s="111">
        <f>IF(AN353=0,I353,0)</f>
      </c>
      <c r="AK353" s="111">
        <f>IF(AN353=12,I353,0)</f>
      </c>
      <c r="AL353" s="111">
        <f>IF(AN353=21,I353,0)</f>
      </c>
      <c r="AN353" s="111" t="n">
        <v>21</v>
      </c>
      <c r="AO353" s="111">
        <f>H353*0.708104092</f>
      </c>
      <c r="AP353" s="111">
        <f>H353*(1-0.708104092)</f>
      </c>
      <c r="AQ353" s="153" t="s">
        <v>130</v>
      </c>
      <c r="AV353" s="111">
        <f>AW353+AX353</f>
      </c>
      <c r="AW353" s="111">
        <f>G353*AO353</f>
      </c>
      <c r="AX353" s="111">
        <f>G353*AP353</f>
      </c>
      <c r="AY353" s="153" t="s">
        <v>559</v>
      </c>
      <c r="AZ353" s="153" t="s">
        <v>399</v>
      </c>
      <c r="BA353" s="132" t="s">
        <v>137</v>
      </c>
      <c r="BC353" s="111">
        <f>AW353+AX353</f>
      </c>
      <c r="BD353" s="111">
        <f>H353/(100-BE353)*100</f>
      </c>
      <c r="BE353" s="111" t="n">
        <v>0</v>
      </c>
      <c r="BF353" s="111">
        <f>353</f>
      </c>
      <c r="BH353" s="111">
        <f>G353*AO353</f>
      </c>
      <c r="BI353" s="111">
        <f>G353*AP353</f>
      </c>
      <c r="BJ353" s="111">
        <f>G353*H353</f>
      </c>
      <c r="BK353" s="111"/>
      <c r="BL353" s="111" t="n">
        <v>34</v>
      </c>
      <c r="BW353" s="111" t="n">
        <v>21</v>
      </c>
      <c r="BX353" s="14" t="s">
        <v>700</v>
      </c>
    </row>
    <row r="354" customHeight="true" ht="13.5">
      <c r="A354" s="159"/>
      <c r="C354" s="160" t="s">
        <v>146</v>
      </c>
      <c r="D354" s="161" t="s">
        <v>701</v>
      </c>
      <c r="E354" s="156"/>
      <c r="F354" s="156"/>
      <c r="G354" s="156"/>
      <c r="H354" s="162"/>
      <c r="I354" s="156"/>
      <c r="J354" s="156"/>
      <c r="K354" s="163"/>
    </row>
    <row r="355">
      <c r="A355" s="154"/>
      <c r="B355" s="155"/>
      <c r="C355" s="155"/>
      <c r="D355" s="156" t="s">
        <v>702</v>
      </c>
      <c r="E355" s="156" t="s">
        <v>703</v>
      </c>
      <c r="F355" s="155"/>
      <c r="G355" s="157" t="n">
        <v>1.875</v>
      </c>
      <c r="H355" s="158"/>
      <c r="I355" s="155"/>
      <c r="J355" s="155"/>
      <c r="K355" s="146"/>
    </row>
    <row r="356">
      <c r="A356" s="9" t="s">
        <v>704</v>
      </c>
      <c r="B356" s="10" t="s">
        <v>84</v>
      </c>
      <c r="C356" s="10" t="s">
        <v>705</v>
      </c>
      <c r="D356" s="14" t="s">
        <v>706</v>
      </c>
      <c r="E356" s="10"/>
      <c r="F356" s="10" t="s">
        <v>145</v>
      </c>
      <c r="G356" s="111" t="n">
        <v>1.8</v>
      </c>
      <c r="H356" s="152" t="n">
        <v>0</v>
      </c>
      <c r="I356" s="111">
        <f>G356*H356</f>
      </c>
      <c r="J356" s="153" t="s">
        <v>134</v>
      </c>
      <c r="K356" s="146"/>
      <c r="Z356" s="111">
        <f>IF(AQ356="5",BJ356,0)</f>
      </c>
      <c r="AB356" s="111">
        <f>IF(AQ356="1",BH356,0)</f>
      </c>
      <c r="AC356" s="111">
        <f>IF(AQ356="1",BI356,0)</f>
      </c>
      <c r="AD356" s="111">
        <f>IF(AQ356="7",BH356,0)</f>
      </c>
      <c r="AE356" s="111">
        <f>IF(AQ356="7",BI356,0)</f>
      </c>
      <c r="AF356" s="111">
        <f>IF(AQ356="2",BH356,0)</f>
      </c>
      <c r="AG356" s="111">
        <f>IF(AQ356="2",BI356,0)</f>
      </c>
      <c r="AH356" s="111">
        <f>IF(AQ356="0",BJ356,0)</f>
      </c>
      <c r="AI356" s="132" t="s">
        <v>84</v>
      </c>
      <c r="AJ356" s="111">
        <f>IF(AN356=0,I356,0)</f>
      </c>
      <c r="AK356" s="111">
        <f>IF(AN356=12,I356,0)</f>
      </c>
      <c r="AL356" s="111">
        <f>IF(AN356=21,I356,0)</f>
      </c>
      <c r="AN356" s="111" t="n">
        <v>21</v>
      </c>
      <c r="AO356" s="111">
        <f>H356*0.601533463</f>
      </c>
      <c r="AP356" s="111">
        <f>H356*(1-0.601533463)</f>
      </c>
      <c r="AQ356" s="153" t="s">
        <v>130</v>
      </c>
      <c r="AV356" s="111">
        <f>AW356+AX356</f>
      </c>
      <c r="AW356" s="111">
        <f>G356*AO356</f>
      </c>
      <c r="AX356" s="111">
        <f>G356*AP356</f>
      </c>
      <c r="AY356" s="153" t="s">
        <v>559</v>
      </c>
      <c r="AZ356" s="153" t="s">
        <v>399</v>
      </c>
      <c r="BA356" s="132" t="s">
        <v>137</v>
      </c>
      <c r="BC356" s="111">
        <f>AW356+AX356</f>
      </c>
      <c r="BD356" s="111">
        <f>H356/(100-BE356)*100</f>
      </c>
      <c r="BE356" s="111" t="n">
        <v>0</v>
      </c>
      <c r="BF356" s="111">
        <f>356</f>
      </c>
      <c r="BH356" s="111">
        <f>G356*AO356</f>
      </c>
      <c r="BI356" s="111">
        <f>G356*AP356</f>
      </c>
      <c r="BJ356" s="111">
        <f>G356*H356</f>
      </c>
      <c r="BK356" s="111"/>
      <c r="BL356" s="111" t="n">
        <v>34</v>
      </c>
      <c r="BW356" s="111" t="n">
        <v>21</v>
      </c>
      <c r="BX356" s="14" t="s">
        <v>706</v>
      </c>
    </row>
    <row r="357" customHeight="true" ht="13.5">
      <c r="A357" s="159"/>
      <c r="C357" s="160" t="s">
        <v>146</v>
      </c>
      <c r="D357" s="161" t="s">
        <v>707</v>
      </c>
      <c r="E357" s="156"/>
      <c r="F357" s="156"/>
      <c r="G357" s="156"/>
      <c r="H357" s="162"/>
      <c r="I357" s="156"/>
      <c r="J357" s="156"/>
      <c r="K357" s="163"/>
    </row>
    <row r="358">
      <c r="A358" s="154"/>
      <c r="B358" s="155"/>
      <c r="C358" s="155"/>
      <c r="D358" s="156" t="s">
        <v>708</v>
      </c>
      <c r="E358" s="156" t="s">
        <v>709</v>
      </c>
      <c r="F358" s="155"/>
      <c r="G358" s="157" t="n">
        <v>1.8</v>
      </c>
      <c r="H358" s="158"/>
      <c r="I358" s="155"/>
      <c r="J358" s="155"/>
      <c r="K358" s="146"/>
    </row>
    <row r="359">
      <c r="A359" s="9" t="s">
        <v>710</v>
      </c>
      <c r="B359" s="10" t="s">
        <v>84</v>
      </c>
      <c r="C359" s="10" t="s">
        <v>711</v>
      </c>
      <c r="D359" s="14" t="s">
        <v>712</v>
      </c>
      <c r="E359" s="10"/>
      <c r="F359" s="10" t="s">
        <v>133</v>
      </c>
      <c r="G359" s="111" t="n">
        <v>5</v>
      </c>
      <c r="H359" s="152" t="n">
        <v>0</v>
      </c>
      <c r="I359" s="111">
        <f>G359*H359</f>
      </c>
      <c r="J359" s="153" t="s">
        <v>134</v>
      </c>
      <c r="K359" s="146"/>
      <c r="Z359" s="111">
        <f>IF(AQ359="5",BJ359,0)</f>
      </c>
      <c r="AB359" s="111">
        <f>IF(AQ359="1",BH359,0)</f>
      </c>
      <c r="AC359" s="111">
        <f>IF(AQ359="1",BI359,0)</f>
      </c>
      <c r="AD359" s="111">
        <f>IF(AQ359="7",BH359,0)</f>
      </c>
      <c r="AE359" s="111">
        <f>IF(AQ359="7",BI359,0)</f>
      </c>
      <c r="AF359" s="111">
        <f>IF(AQ359="2",BH359,0)</f>
      </c>
      <c r="AG359" s="111">
        <f>IF(AQ359="2",BI359,0)</f>
      </c>
      <c r="AH359" s="111">
        <f>IF(AQ359="0",BJ359,0)</f>
      </c>
      <c r="AI359" s="132" t="s">
        <v>84</v>
      </c>
      <c r="AJ359" s="111">
        <f>IF(AN359=0,I359,0)</f>
      </c>
      <c r="AK359" s="111">
        <f>IF(AN359=12,I359,0)</f>
      </c>
      <c r="AL359" s="111">
        <f>IF(AN359=21,I359,0)</f>
      </c>
      <c r="AN359" s="111" t="n">
        <v>21</v>
      </c>
      <c r="AO359" s="111">
        <f>H359*0.345709677</f>
      </c>
      <c r="AP359" s="111">
        <f>H359*(1-0.345709677)</f>
      </c>
      <c r="AQ359" s="153" t="s">
        <v>130</v>
      </c>
      <c r="AV359" s="111">
        <f>AW359+AX359</f>
      </c>
      <c r="AW359" s="111">
        <f>G359*AO359</f>
      </c>
      <c r="AX359" s="111">
        <f>G359*AP359</f>
      </c>
      <c r="AY359" s="153" t="s">
        <v>559</v>
      </c>
      <c r="AZ359" s="153" t="s">
        <v>399</v>
      </c>
      <c r="BA359" s="132" t="s">
        <v>137</v>
      </c>
      <c r="BC359" s="111">
        <f>AW359+AX359</f>
      </c>
      <c r="BD359" s="111">
        <f>H359/(100-BE359)*100</f>
      </c>
      <c r="BE359" s="111" t="n">
        <v>0</v>
      </c>
      <c r="BF359" s="111">
        <f>359</f>
      </c>
      <c r="BH359" s="111">
        <f>G359*AO359</f>
      </c>
      <c r="BI359" s="111">
        <f>G359*AP359</f>
      </c>
      <c r="BJ359" s="111">
        <f>G359*H359</f>
      </c>
      <c r="BK359" s="111"/>
      <c r="BL359" s="111" t="n">
        <v>34</v>
      </c>
      <c r="BW359" s="111" t="n">
        <v>21</v>
      </c>
      <c r="BX359" s="14" t="s">
        <v>712</v>
      </c>
    </row>
    <row r="360" customHeight="true" ht="13.5">
      <c r="A360" s="159"/>
      <c r="C360" s="160" t="s">
        <v>146</v>
      </c>
      <c r="D360" s="161" t="s">
        <v>713</v>
      </c>
      <c r="E360" s="156"/>
      <c r="F360" s="156"/>
      <c r="G360" s="156"/>
      <c r="H360" s="162"/>
      <c r="I360" s="156"/>
      <c r="J360" s="156"/>
      <c r="K360" s="163"/>
    </row>
    <row r="361">
      <c r="A361" s="154"/>
      <c r="B361" s="155"/>
      <c r="C361" s="155"/>
      <c r="D361" s="156" t="s">
        <v>156</v>
      </c>
      <c r="E361" s="156" t="s">
        <v>713</v>
      </c>
      <c r="F361" s="155"/>
      <c r="G361" s="157" t="n">
        <v>5</v>
      </c>
      <c r="H361" s="158"/>
      <c r="I361" s="155"/>
      <c r="J361" s="155"/>
      <c r="K361" s="146"/>
    </row>
    <row r="362">
      <c r="A362" s="147" t="s">
        <v>4</v>
      </c>
      <c r="B362" s="148" t="s">
        <v>84</v>
      </c>
      <c r="C362" s="148" t="s">
        <v>407</v>
      </c>
      <c r="D362" s="149" t="s">
        <v>714</v>
      </c>
      <c r="E362" s="148"/>
      <c r="F362" s="150" t="s">
        <v>79</v>
      </c>
      <c r="G362" s="150" t="s">
        <v>79</v>
      </c>
      <c r="H362" s="151" t="s">
        <v>79</v>
      </c>
      <c r="I362" s="117">
        <f>SUM(I363:I515)</f>
      </c>
      <c r="J362" s="132" t="s">
        <v>4</v>
      </c>
      <c r="K362" s="146"/>
      <c r="AI362" s="132" t="s">
        <v>84</v>
      </c>
      <c r="AS362" s="117">
        <f>SUM(AJ363:AJ515)</f>
      </c>
      <c r="AT362" s="117">
        <f>SUM(AK363:AK515)</f>
      </c>
      <c r="AU362" s="117">
        <f>SUM(AL363:AL515)</f>
      </c>
    </row>
    <row r="363">
      <c r="A363" s="9" t="s">
        <v>715</v>
      </c>
      <c r="B363" s="10" t="s">
        <v>84</v>
      </c>
      <c r="C363" s="10" t="s">
        <v>716</v>
      </c>
      <c r="D363" s="14" t="s">
        <v>717</v>
      </c>
      <c r="E363" s="10"/>
      <c r="F363" s="10" t="s">
        <v>159</v>
      </c>
      <c r="G363" s="111" t="n">
        <v>32.9417</v>
      </c>
      <c r="H363" s="152" t="n">
        <v>0</v>
      </c>
      <c r="I363" s="111">
        <f>G363*H363</f>
      </c>
      <c r="J363" s="153" t="s">
        <v>134</v>
      </c>
      <c r="K363" s="146"/>
      <c r="Z363" s="111">
        <f>IF(AQ363="5",BJ363,0)</f>
      </c>
      <c r="AB363" s="111">
        <f>IF(AQ363="1",BH363,0)</f>
      </c>
      <c r="AC363" s="111">
        <f>IF(AQ363="1",BI363,0)</f>
      </c>
      <c r="AD363" s="111">
        <f>IF(AQ363="7",BH363,0)</f>
      </c>
      <c r="AE363" s="111">
        <f>IF(AQ363="7",BI363,0)</f>
      </c>
      <c r="AF363" s="111">
        <f>IF(AQ363="2",BH363,0)</f>
      </c>
      <c r="AG363" s="111">
        <f>IF(AQ363="2",BI363,0)</f>
      </c>
      <c r="AH363" s="111">
        <f>IF(AQ363="0",BJ363,0)</f>
      </c>
      <c r="AI363" s="132" t="s">
        <v>84</v>
      </c>
      <c r="AJ363" s="111">
        <f>IF(AN363=0,I363,0)</f>
      </c>
      <c r="AK363" s="111">
        <f>IF(AN363=12,I363,0)</f>
      </c>
      <c r="AL363" s="111">
        <f>IF(AN363=21,I363,0)</f>
      </c>
      <c r="AN363" s="111" t="n">
        <v>21</v>
      </c>
      <c r="AO363" s="111">
        <f>H363*0.884805987</f>
      </c>
      <c r="AP363" s="111">
        <f>H363*(1-0.884805987)</f>
      </c>
      <c r="AQ363" s="153" t="s">
        <v>130</v>
      </c>
      <c r="AV363" s="111">
        <f>AW363+AX363</f>
      </c>
      <c r="AW363" s="111">
        <f>G363*AO363</f>
      </c>
      <c r="AX363" s="111">
        <f>G363*AP363</f>
      </c>
      <c r="AY363" s="153" t="s">
        <v>718</v>
      </c>
      <c r="AZ363" s="153" t="s">
        <v>719</v>
      </c>
      <c r="BA363" s="132" t="s">
        <v>137</v>
      </c>
      <c r="BC363" s="111">
        <f>AW363+AX363</f>
      </c>
      <c r="BD363" s="111">
        <f>H363/(100-BE363)*100</f>
      </c>
      <c r="BE363" s="111" t="n">
        <v>0</v>
      </c>
      <c r="BF363" s="111">
        <f>363</f>
      </c>
      <c r="BH363" s="111">
        <f>G363*AO363</f>
      </c>
      <c r="BI363" s="111">
        <f>G363*AP363</f>
      </c>
      <c r="BJ363" s="111">
        <f>G363*H363</f>
      </c>
      <c r="BK363" s="111"/>
      <c r="BL363" s="111" t="n">
        <v>41</v>
      </c>
      <c r="BW363" s="111" t="n">
        <v>21</v>
      </c>
      <c r="BX363" s="14" t="s">
        <v>717</v>
      </c>
    </row>
    <row r="364">
      <c r="A364" s="154"/>
      <c r="B364" s="155"/>
      <c r="C364" s="155"/>
      <c r="D364" s="156" t="s">
        <v>720</v>
      </c>
      <c r="E364" s="156" t="s">
        <v>721</v>
      </c>
      <c r="F364" s="155"/>
      <c r="G364" s="157" t="n">
        <v>25.92</v>
      </c>
      <c r="H364" s="158"/>
      <c r="I364" s="155"/>
      <c r="J364" s="155"/>
      <c r="K364" s="146"/>
    </row>
    <row r="365">
      <c r="A365" s="154"/>
      <c r="B365" s="155"/>
      <c r="C365" s="155"/>
      <c r="D365" s="156" t="s">
        <v>722</v>
      </c>
      <c r="E365" s="156" t="s">
        <v>723</v>
      </c>
      <c r="F365" s="155"/>
      <c r="G365" s="157" t="n">
        <v>5.816</v>
      </c>
      <c r="H365" s="158"/>
      <c r="I365" s="155"/>
      <c r="J365" s="155"/>
      <c r="K365" s="146"/>
    </row>
    <row r="366">
      <c r="A366" s="154"/>
      <c r="B366" s="155"/>
      <c r="C366" s="155"/>
      <c r="D366" s="156" t="s">
        <v>724</v>
      </c>
      <c r="E366" s="156" t="s">
        <v>725</v>
      </c>
      <c r="F366" s="155"/>
      <c r="G366" s="157" t="n">
        <v>0.4425</v>
      </c>
      <c r="H366" s="158"/>
      <c r="I366" s="155"/>
      <c r="J366" s="155"/>
      <c r="K366" s="146"/>
    </row>
    <row r="367">
      <c r="A367" s="154"/>
      <c r="B367" s="155"/>
      <c r="C367" s="155"/>
      <c r="D367" s="156" t="s">
        <v>726</v>
      </c>
      <c r="E367" s="156" t="s">
        <v>727</v>
      </c>
      <c r="F367" s="155"/>
      <c r="G367" s="157" t="n">
        <v>0.7632</v>
      </c>
      <c r="H367" s="158"/>
      <c r="I367" s="155"/>
      <c r="J367" s="155"/>
      <c r="K367" s="146"/>
    </row>
    <row r="368">
      <c r="A368" s="9" t="s">
        <v>728</v>
      </c>
      <c r="B368" s="10" t="s">
        <v>84</v>
      </c>
      <c r="C368" s="10" t="s">
        <v>729</v>
      </c>
      <c r="D368" s="14" t="s">
        <v>730</v>
      </c>
      <c r="E368" s="10"/>
      <c r="F368" s="10" t="s">
        <v>229</v>
      </c>
      <c r="G368" s="111" t="n">
        <v>4.1621</v>
      </c>
      <c r="H368" s="152" t="n">
        <v>0</v>
      </c>
      <c r="I368" s="111">
        <f>G368*H368</f>
      </c>
      <c r="J368" s="153" t="s">
        <v>134</v>
      </c>
      <c r="K368" s="146"/>
      <c r="Z368" s="111">
        <f>IF(AQ368="5",BJ368,0)</f>
      </c>
      <c r="AB368" s="111">
        <f>IF(AQ368="1",BH368,0)</f>
      </c>
      <c r="AC368" s="111">
        <f>IF(AQ368="1",BI368,0)</f>
      </c>
      <c r="AD368" s="111">
        <f>IF(AQ368="7",BH368,0)</f>
      </c>
      <c r="AE368" s="111">
        <f>IF(AQ368="7",BI368,0)</f>
      </c>
      <c r="AF368" s="111">
        <f>IF(AQ368="2",BH368,0)</f>
      </c>
      <c r="AG368" s="111">
        <f>IF(AQ368="2",BI368,0)</f>
      </c>
      <c r="AH368" s="111">
        <f>IF(AQ368="0",BJ368,0)</f>
      </c>
      <c r="AI368" s="132" t="s">
        <v>84</v>
      </c>
      <c r="AJ368" s="111">
        <f>IF(AN368=0,I368,0)</f>
      </c>
      <c r="AK368" s="111">
        <f>IF(AN368=12,I368,0)</f>
      </c>
      <c r="AL368" s="111">
        <f>IF(AN368=21,I368,0)</f>
      </c>
      <c r="AN368" s="111" t="n">
        <v>21</v>
      </c>
      <c r="AO368" s="111">
        <f>H368*0.607830358</f>
      </c>
      <c r="AP368" s="111">
        <f>H368*(1-0.607830358)</f>
      </c>
      <c r="AQ368" s="153" t="s">
        <v>130</v>
      </c>
      <c r="AV368" s="111">
        <f>AW368+AX368</f>
      </c>
      <c r="AW368" s="111">
        <f>G368*AO368</f>
      </c>
      <c r="AX368" s="111">
        <f>G368*AP368</f>
      </c>
      <c r="AY368" s="153" t="s">
        <v>718</v>
      </c>
      <c r="AZ368" s="153" t="s">
        <v>719</v>
      </c>
      <c r="BA368" s="132" t="s">
        <v>137</v>
      </c>
      <c r="BC368" s="111">
        <f>AW368+AX368</f>
      </c>
      <c r="BD368" s="111">
        <f>H368/(100-BE368)*100</f>
      </c>
      <c r="BE368" s="111" t="n">
        <v>0</v>
      </c>
      <c r="BF368" s="111">
        <f>368</f>
      </c>
      <c r="BH368" s="111">
        <f>G368*AO368</f>
      </c>
      <c r="BI368" s="111">
        <f>G368*AP368</f>
      </c>
      <c r="BJ368" s="111">
        <f>G368*H368</f>
      </c>
      <c r="BK368" s="111"/>
      <c r="BL368" s="111" t="n">
        <v>41</v>
      </c>
      <c r="BW368" s="111" t="n">
        <v>21</v>
      </c>
      <c r="BX368" s="14" t="s">
        <v>730</v>
      </c>
    </row>
    <row r="369">
      <c r="A369" s="154"/>
      <c r="B369" s="155"/>
      <c r="C369" s="155"/>
      <c r="D369" s="156" t="s">
        <v>731</v>
      </c>
      <c r="E369" s="156" t="s">
        <v>732</v>
      </c>
      <c r="F369" s="155"/>
      <c r="G369" s="157" t="n">
        <v>3.7602</v>
      </c>
      <c r="H369" s="158"/>
      <c r="I369" s="155"/>
      <c r="J369" s="155"/>
      <c r="K369" s="146"/>
    </row>
    <row r="370">
      <c r="A370" s="154"/>
      <c r="B370" s="155"/>
      <c r="C370" s="155"/>
      <c r="D370" s="156" t="s">
        <v>733</v>
      </c>
      <c r="E370" s="156" t="s">
        <v>734</v>
      </c>
      <c r="F370" s="155"/>
      <c r="G370" s="157" t="n">
        <v>0.2037</v>
      </c>
      <c r="H370" s="158"/>
      <c r="I370" s="155"/>
      <c r="J370" s="155"/>
      <c r="K370" s="146"/>
    </row>
    <row r="371">
      <c r="A371" s="154"/>
      <c r="B371" s="155"/>
      <c r="C371" s="155"/>
      <c r="D371" s="156" t="s">
        <v>735</v>
      </c>
      <c r="E371" s="156" t="s">
        <v>736</v>
      </c>
      <c r="F371" s="155"/>
      <c r="G371" s="157" t="n">
        <v>0.1982</v>
      </c>
      <c r="H371" s="158"/>
      <c r="I371" s="155"/>
      <c r="J371" s="155"/>
      <c r="K371" s="146"/>
    </row>
    <row r="372">
      <c r="A372" s="9" t="s">
        <v>737</v>
      </c>
      <c r="B372" s="10" t="s">
        <v>84</v>
      </c>
      <c r="C372" s="10" t="s">
        <v>738</v>
      </c>
      <c r="D372" s="14" t="s">
        <v>739</v>
      </c>
      <c r="E372" s="10"/>
      <c r="F372" s="10" t="s">
        <v>145</v>
      </c>
      <c r="G372" s="111" t="n">
        <v>275.296</v>
      </c>
      <c r="H372" s="152" t="n">
        <v>0</v>
      </c>
      <c r="I372" s="111">
        <f>G372*H372</f>
      </c>
      <c r="J372" s="153" t="s">
        <v>134</v>
      </c>
      <c r="K372" s="146"/>
      <c r="Z372" s="111">
        <f>IF(AQ372="5",BJ372,0)</f>
      </c>
      <c r="AB372" s="111">
        <f>IF(AQ372="1",BH372,0)</f>
      </c>
      <c r="AC372" s="111">
        <f>IF(AQ372="1",BI372,0)</f>
      </c>
      <c r="AD372" s="111">
        <f>IF(AQ372="7",BH372,0)</f>
      </c>
      <c r="AE372" s="111">
        <f>IF(AQ372="7",BI372,0)</f>
      </c>
      <c r="AF372" s="111">
        <f>IF(AQ372="2",BH372,0)</f>
      </c>
      <c r="AG372" s="111">
        <f>IF(AQ372="2",BI372,0)</f>
      </c>
      <c r="AH372" s="111">
        <f>IF(AQ372="0",BJ372,0)</f>
      </c>
      <c r="AI372" s="132" t="s">
        <v>84</v>
      </c>
      <c r="AJ372" s="111">
        <f>IF(AN372=0,I372,0)</f>
      </c>
      <c r="AK372" s="111">
        <f>IF(AN372=12,I372,0)</f>
      </c>
      <c r="AL372" s="111">
        <f>IF(AN372=21,I372,0)</f>
      </c>
      <c r="AN372" s="111" t="n">
        <v>21</v>
      </c>
      <c r="AO372" s="111">
        <f>H372*0.257849057</f>
      </c>
      <c r="AP372" s="111">
        <f>H372*(1-0.257849057)</f>
      </c>
      <c r="AQ372" s="153" t="s">
        <v>130</v>
      </c>
      <c r="AV372" s="111">
        <f>AW372+AX372</f>
      </c>
      <c r="AW372" s="111">
        <f>G372*AO372</f>
      </c>
      <c r="AX372" s="111">
        <f>G372*AP372</f>
      </c>
      <c r="AY372" s="153" t="s">
        <v>718</v>
      </c>
      <c r="AZ372" s="153" t="s">
        <v>719</v>
      </c>
      <c r="BA372" s="132" t="s">
        <v>137</v>
      </c>
      <c r="BC372" s="111">
        <f>AW372+AX372</f>
      </c>
      <c r="BD372" s="111">
        <f>H372/(100-BE372)*100</f>
      </c>
      <c r="BE372" s="111" t="n">
        <v>0</v>
      </c>
      <c r="BF372" s="111">
        <f>372</f>
      </c>
      <c r="BH372" s="111">
        <f>G372*AO372</f>
      </c>
      <c r="BI372" s="111">
        <f>G372*AP372</f>
      </c>
      <c r="BJ372" s="111">
        <f>G372*H372</f>
      </c>
      <c r="BK372" s="111"/>
      <c r="BL372" s="111" t="n">
        <v>41</v>
      </c>
      <c r="BW372" s="111" t="n">
        <v>21</v>
      </c>
      <c r="BX372" s="14" t="s">
        <v>739</v>
      </c>
    </row>
    <row r="373">
      <c r="A373" s="154"/>
      <c r="B373" s="155"/>
      <c r="C373" s="155"/>
      <c r="D373" s="156" t="s">
        <v>740</v>
      </c>
      <c r="E373" s="156" t="s">
        <v>741</v>
      </c>
      <c r="F373" s="155"/>
      <c r="G373" s="157" t="n">
        <v>187.92</v>
      </c>
      <c r="H373" s="158"/>
      <c r="I373" s="155"/>
      <c r="J373" s="155"/>
      <c r="K373" s="146"/>
    </row>
    <row r="374">
      <c r="A374" s="154"/>
      <c r="B374" s="155"/>
      <c r="C374" s="155"/>
      <c r="D374" s="156" t="s">
        <v>742</v>
      </c>
      <c r="E374" s="156" t="s">
        <v>723</v>
      </c>
      <c r="F374" s="155"/>
      <c r="G374" s="157" t="n">
        <v>61.068</v>
      </c>
      <c r="H374" s="158"/>
      <c r="I374" s="155"/>
      <c r="J374" s="155"/>
      <c r="K374" s="146"/>
    </row>
    <row r="375">
      <c r="A375" s="154"/>
      <c r="B375" s="155"/>
      <c r="C375" s="155"/>
      <c r="D375" s="156" t="s">
        <v>743</v>
      </c>
      <c r="E375" s="156" t="s">
        <v>725</v>
      </c>
      <c r="F375" s="155"/>
      <c r="G375" s="157" t="n">
        <v>10.62</v>
      </c>
      <c r="H375" s="158"/>
      <c r="I375" s="155"/>
      <c r="J375" s="155"/>
      <c r="K375" s="146"/>
    </row>
    <row r="376">
      <c r="A376" s="154"/>
      <c r="B376" s="155"/>
      <c r="C376" s="155"/>
      <c r="D376" s="156" t="s">
        <v>744</v>
      </c>
      <c r="E376" s="156" t="s">
        <v>727</v>
      </c>
      <c r="F376" s="155"/>
      <c r="G376" s="157" t="n">
        <v>15.688</v>
      </c>
      <c r="H376" s="158"/>
      <c r="I376" s="155"/>
      <c r="J376" s="155"/>
      <c r="K376" s="146"/>
    </row>
    <row r="377">
      <c r="A377" s="9" t="s">
        <v>745</v>
      </c>
      <c r="B377" s="10" t="s">
        <v>84</v>
      </c>
      <c r="C377" s="10" t="s">
        <v>746</v>
      </c>
      <c r="D377" s="14" t="s">
        <v>747</v>
      </c>
      <c r="E377" s="10"/>
      <c r="F377" s="10" t="s">
        <v>145</v>
      </c>
      <c r="G377" s="111" t="n">
        <v>275.296</v>
      </c>
      <c r="H377" s="152" t="n">
        <v>0</v>
      </c>
      <c r="I377" s="111">
        <f>G377*H377</f>
      </c>
      <c r="J377" s="153" t="s">
        <v>134</v>
      </c>
      <c r="K377" s="146"/>
      <c r="Z377" s="111">
        <f>IF(AQ377="5",BJ377,0)</f>
      </c>
      <c r="AB377" s="111">
        <f>IF(AQ377="1",BH377,0)</f>
      </c>
      <c r="AC377" s="111">
        <f>IF(AQ377="1",BI377,0)</f>
      </c>
      <c r="AD377" s="111">
        <f>IF(AQ377="7",BH377,0)</f>
      </c>
      <c r="AE377" s="111">
        <f>IF(AQ377="7",BI377,0)</f>
      </c>
      <c r="AF377" s="111">
        <f>IF(AQ377="2",BH377,0)</f>
      </c>
      <c r="AG377" s="111">
        <f>IF(AQ377="2",BI377,0)</f>
      </c>
      <c r="AH377" s="111">
        <f>IF(AQ377="0",BJ377,0)</f>
      </c>
      <c r="AI377" s="132" t="s">
        <v>84</v>
      </c>
      <c r="AJ377" s="111">
        <f>IF(AN377=0,I377,0)</f>
      </c>
      <c r="AK377" s="111">
        <f>IF(AN377=12,I377,0)</f>
      </c>
      <c r="AL377" s="111">
        <f>IF(AN377=21,I377,0)</f>
      </c>
      <c r="AN377" s="111" t="n">
        <v>21</v>
      </c>
      <c r="AO377" s="111">
        <f>H377*0</f>
      </c>
      <c r="AP377" s="111">
        <f>H377*(1-0)</f>
      </c>
      <c r="AQ377" s="153" t="s">
        <v>130</v>
      </c>
      <c r="AV377" s="111">
        <f>AW377+AX377</f>
      </c>
      <c r="AW377" s="111">
        <f>G377*AO377</f>
      </c>
      <c r="AX377" s="111">
        <f>G377*AP377</f>
      </c>
      <c r="AY377" s="153" t="s">
        <v>718</v>
      </c>
      <c r="AZ377" s="153" t="s">
        <v>719</v>
      </c>
      <c r="BA377" s="132" t="s">
        <v>137</v>
      </c>
      <c r="BC377" s="111">
        <f>AW377+AX377</f>
      </c>
      <c r="BD377" s="111">
        <f>H377/(100-BE377)*100</f>
      </c>
      <c r="BE377" s="111" t="n">
        <v>0</v>
      </c>
      <c r="BF377" s="111">
        <f>377</f>
      </c>
      <c r="BH377" s="111">
        <f>G377*AO377</f>
      </c>
      <c r="BI377" s="111">
        <f>G377*AP377</f>
      </c>
      <c r="BJ377" s="111">
        <f>G377*H377</f>
      </c>
      <c r="BK377" s="111"/>
      <c r="BL377" s="111" t="n">
        <v>41</v>
      </c>
      <c r="BW377" s="111" t="n">
        <v>21</v>
      </c>
      <c r="BX377" s="14" t="s">
        <v>747</v>
      </c>
    </row>
    <row r="378">
      <c r="A378" s="154"/>
      <c r="B378" s="155"/>
      <c r="C378" s="155"/>
      <c r="D378" s="156" t="s">
        <v>740</v>
      </c>
      <c r="E378" s="156" t="s">
        <v>741</v>
      </c>
      <c r="F378" s="155"/>
      <c r="G378" s="157" t="n">
        <v>187.92</v>
      </c>
      <c r="H378" s="158"/>
      <c r="I378" s="155"/>
      <c r="J378" s="155"/>
      <c r="K378" s="146"/>
    </row>
    <row r="379">
      <c r="A379" s="154"/>
      <c r="B379" s="155"/>
      <c r="C379" s="155"/>
      <c r="D379" s="156" t="s">
        <v>742</v>
      </c>
      <c r="E379" s="156" t="s">
        <v>723</v>
      </c>
      <c r="F379" s="155"/>
      <c r="G379" s="157" t="n">
        <v>61.068</v>
      </c>
      <c r="H379" s="158"/>
      <c r="I379" s="155"/>
      <c r="J379" s="155"/>
      <c r="K379" s="146"/>
    </row>
    <row r="380">
      <c r="A380" s="154"/>
      <c r="B380" s="155"/>
      <c r="C380" s="155"/>
      <c r="D380" s="156" t="s">
        <v>743</v>
      </c>
      <c r="E380" s="156" t="s">
        <v>725</v>
      </c>
      <c r="F380" s="155"/>
      <c r="G380" s="157" t="n">
        <v>10.62</v>
      </c>
      <c r="H380" s="158"/>
      <c r="I380" s="155"/>
      <c r="J380" s="155"/>
      <c r="K380" s="146"/>
    </row>
    <row r="381">
      <c r="A381" s="154"/>
      <c r="B381" s="155"/>
      <c r="C381" s="155"/>
      <c r="D381" s="156" t="s">
        <v>744</v>
      </c>
      <c r="E381" s="156" t="s">
        <v>727</v>
      </c>
      <c r="F381" s="155"/>
      <c r="G381" s="157" t="n">
        <v>15.688</v>
      </c>
      <c r="H381" s="158"/>
      <c r="I381" s="155"/>
      <c r="J381" s="155"/>
      <c r="K381" s="146"/>
    </row>
    <row r="382">
      <c r="A382" s="9" t="s">
        <v>748</v>
      </c>
      <c r="B382" s="10" t="s">
        <v>84</v>
      </c>
      <c r="C382" s="10" t="s">
        <v>749</v>
      </c>
      <c r="D382" s="14" t="s">
        <v>750</v>
      </c>
      <c r="E382" s="10"/>
      <c r="F382" s="10" t="s">
        <v>145</v>
      </c>
      <c r="G382" s="111" t="n">
        <v>95.996</v>
      </c>
      <c r="H382" s="152" t="n">
        <v>0</v>
      </c>
      <c r="I382" s="111">
        <f>G382*H382</f>
      </c>
      <c r="J382" s="153" t="s">
        <v>134</v>
      </c>
      <c r="K382" s="146"/>
      <c r="Z382" s="111">
        <f>IF(AQ382="5",BJ382,0)</f>
      </c>
      <c r="AB382" s="111">
        <f>IF(AQ382="1",BH382,0)</f>
      </c>
      <c r="AC382" s="111">
        <f>IF(AQ382="1",BI382,0)</f>
      </c>
      <c r="AD382" s="111">
        <f>IF(AQ382="7",BH382,0)</f>
      </c>
      <c r="AE382" s="111">
        <f>IF(AQ382="7",BI382,0)</f>
      </c>
      <c r="AF382" s="111">
        <f>IF(AQ382="2",BH382,0)</f>
      </c>
      <c r="AG382" s="111">
        <f>IF(AQ382="2",BI382,0)</f>
      </c>
      <c r="AH382" s="111">
        <f>IF(AQ382="0",BJ382,0)</f>
      </c>
      <c r="AI382" s="132" t="s">
        <v>84</v>
      </c>
      <c r="AJ382" s="111">
        <f>IF(AN382=0,I382,0)</f>
      </c>
      <c r="AK382" s="111">
        <f>IF(AN382=12,I382,0)</f>
      </c>
      <c r="AL382" s="111">
        <f>IF(AN382=21,I382,0)</f>
      </c>
      <c r="AN382" s="111" t="n">
        <v>21</v>
      </c>
      <c r="AO382" s="111">
        <f>H382*0.100480319</f>
      </c>
      <c r="AP382" s="111">
        <f>H382*(1-0.100480319)</f>
      </c>
      <c r="AQ382" s="153" t="s">
        <v>130</v>
      </c>
      <c r="AV382" s="111">
        <f>AW382+AX382</f>
      </c>
      <c r="AW382" s="111">
        <f>G382*AO382</f>
      </c>
      <c r="AX382" s="111">
        <f>G382*AP382</f>
      </c>
      <c r="AY382" s="153" t="s">
        <v>718</v>
      </c>
      <c r="AZ382" s="153" t="s">
        <v>719</v>
      </c>
      <c r="BA382" s="132" t="s">
        <v>137</v>
      </c>
      <c r="BC382" s="111">
        <f>AW382+AX382</f>
      </c>
      <c r="BD382" s="111">
        <f>H382/(100-BE382)*100</f>
      </c>
      <c r="BE382" s="111" t="n">
        <v>0</v>
      </c>
      <c r="BF382" s="111">
        <f>382</f>
      </c>
      <c r="BH382" s="111">
        <f>G382*AO382</f>
      </c>
      <c r="BI382" s="111">
        <f>G382*AP382</f>
      </c>
      <c r="BJ382" s="111">
        <f>G382*H382</f>
      </c>
      <c r="BK382" s="111"/>
      <c r="BL382" s="111" t="n">
        <v>41</v>
      </c>
      <c r="BW382" s="111" t="n">
        <v>21</v>
      </c>
      <c r="BX382" s="14" t="s">
        <v>750</v>
      </c>
    </row>
    <row r="383" customHeight="true" ht="13.5">
      <c r="A383" s="159"/>
      <c r="C383" s="160" t="s">
        <v>146</v>
      </c>
      <c r="D383" s="161" t="s">
        <v>751</v>
      </c>
      <c r="E383" s="156"/>
      <c r="F383" s="156"/>
      <c r="G383" s="156"/>
      <c r="H383" s="162"/>
      <c r="I383" s="156"/>
      <c r="J383" s="156"/>
      <c r="K383" s="163"/>
    </row>
    <row r="384">
      <c r="A384" s="154"/>
      <c r="B384" s="155"/>
      <c r="C384" s="155"/>
      <c r="D384" s="156" t="s">
        <v>752</v>
      </c>
      <c r="E384" s="156" t="s">
        <v>721</v>
      </c>
      <c r="F384" s="155"/>
      <c r="G384" s="157" t="n">
        <v>58.32</v>
      </c>
      <c r="H384" s="158"/>
      <c r="I384" s="155"/>
      <c r="J384" s="155"/>
      <c r="K384" s="146"/>
    </row>
    <row r="385">
      <c r="A385" s="154"/>
      <c r="B385" s="155"/>
      <c r="C385" s="155"/>
      <c r="D385" s="156" t="s">
        <v>753</v>
      </c>
      <c r="E385" s="156" t="s">
        <v>723</v>
      </c>
      <c r="F385" s="155"/>
      <c r="G385" s="157" t="n">
        <v>26.172</v>
      </c>
      <c r="H385" s="158"/>
      <c r="I385" s="155"/>
      <c r="J385" s="155"/>
      <c r="K385" s="146"/>
    </row>
    <row r="386">
      <c r="A386" s="154"/>
      <c r="B386" s="155"/>
      <c r="C386" s="155"/>
      <c r="D386" s="156" t="s">
        <v>754</v>
      </c>
      <c r="E386" s="156" t="s">
        <v>725</v>
      </c>
      <c r="F386" s="155"/>
      <c r="G386" s="157" t="n">
        <v>4.72</v>
      </c>
      <c r="H386" s="158"/>
      <c r="I386" s="155"/>
      <c r="J386" s="155"/>
      <c r="K386" s="146"/>
    </row>
    <row r="387">
      <c r="A387" s="154"/>
      <c r="B387" s="155"/>
      <c r="C387" s="155"/>
      <c r="D387" s="156" t="s">
        <v>755</v>
      </c>
      <c r="E387" s="156" t="s">
        <v>727</v>
      </c>
      <c r="F387" s="155"/>
      <c r="G387" s="157" t="n">
        <v>6.784</v>
      </c>
      <c r="H387" s="158"/>
      <c r="I387" s="155"/>
      <c r="J387" s="155"/>
      <c r="K387" s="146"/>
    </row>
    <row r="388">
      <c r="A388" s="9" t="s">
        <v>756</v>
      </c>
      <c r="B388" s="10" t="s">
        <v>84</v>
      </c>
      <c r="C388" s="10" t="s">
        <v>757</v>
      </c>
      <c r="D388" s="14" t="s">
        <v>758</v>
      </c>
      <c r="E388" s="10"/>
      <c r="F388" s="10" t="s">
        <v>145</v>
      </c>
      <c r="G388" s="111" t="n">
        <v>95.996</v>
      </c>
      <c r="H388" s="152" t="n">
        <v>0</v>
      </c>
      <c r="I388" s="111">
        <f>G388*H388</f>
      </c>
      <c r="J388" s="153" t="s">
        <v>134</v>
      </c>
      <c r="K388" s="146"/>
      <c r="Z388" s="111">
        <f>IF(AQ388="5",BJ388,0)</f>
      </c>
      <c r="AB388" s="111">
        <f>IF(AQ388="1",BH388,0)</f>
      </c>
      <c r="AC388" s="111">
        <f>IF(AQ388="1",BI388,0)</f>
      </c>
      <c r="AD388" s="111">
        <f>IF(AQ388="7",BH388,0)</f>
      </c>
      <c r="AE388" s="111">
        <f>IF(AQ388="7",BI388,0)</f>
      </c>
      <c r="AF388" s="111">
        <f>IF(AQ388="2",BH388,0)</f>
      </c>
      <c r="AG388" s="111">
        <f>IF(AQ388="2",BI388,0)</f>
      </c>
      <c r="AH388" s="111">
        <f>IF(AQ388="0",BJ388,0)</f>
      </c>
      <c r="AI388" s="132" t="s">
        <v>84</v>
      </c>
      <c r="AJ388" s="111">
        <f>IF(AN388=0,I388,0)</f>
      </c>
      <c r="AK388" s="111">
        <f>IF(AN388=12,I388,0)</f>
      </c>
      <c r="AL388" s="111">
        <f>IF(AN388=21,I388,0)</f>
      </c>
      <c r="AN388" s="111" t="n">
        <v>21</v>
      </c>
      <c r="AO388" s="111">
        <f>H388*0</f>
      </c>
      <c r="AP388" s="111">
        <f>H388*(1-0)</f>
      </c>
      <c r="AQ388" s="153" t="s">
        <v>130</v>
      </c>
      <c r="AV388" s="111">
        <f>AW388+AX388</f>
      </c>
      <c r="AW388" s="111">
        <f>G388*AO388</f>
      </c>
      <c r="AX388" s="111">
        <f>G388*AP388</f>
      </c>
      <c r="AY388" s="153" t="s">
        <v>718</v>
      </c>
      <c r="AZ388" s="153" t="s">
        <v>719</v>
      </c>
      <c r="BA388" s="132" t="s">
        <v>137</v>
      </c>
      <c r="BC388" s="111">
        <f>AW388+AX388</f>
      </c>
      <c r="BD388" s="111">
        <f>H388/(100-BE388)*100</f>
      </c>
      <c r="BE388" s="111" t="n">
        <v>0</v>
      </c>
      <c r="BF388" s="111">
        <f>388</f>
      </c>
      <c r="BH388" s="111">
        <f>G388*AO388</f>
      </c>
      <c r="BI388" s="111">
        <f>G388*AP388</f>
      </c>
      <c r="BJ388" s="111">
        <f>G388*H388</f>
      </c>
      <c r="BK388" s="111"/>
      <c r="BL388" s="111" t="n">
        <v>41</v>
      </c>
      <c r="BW388" s="111" t="n">
        <v>21</v>
      </c>
      <c r="BX388" s="14" t="s">
        <v>758</v>
      </c>
    </row>
    <row r="389">
      <c r="A389" s="154"/>
      <c r="B389" s="155"/>
      <c r="C389" s="155"/>
      <c r="D389" s="156" t="s">
        <v>759</v>
      </c>
      <c r="E389" s="156" t="s">
        <v>721</v>
      </c>
      <c r="F389" s="155"/>
      <c r="G389" s="157" t="n">
        <v>58.32</v>
      </c>
      <c r="H389" s="158"/>
      <c r="I389" s="155"/>
      <c r="J389" s="155"/>
      <c r="K389" s="146"/>
    </row>
    <row r="390">
      <c r="A390" s="154"/>
      <c r="B390" s="155"/>
      <c r="C390" s="155"/>
      <c r="D390" s="156" t="s">
        <v>760</v>
      </c>
      <c r="E390" s="156" t="s">
        <v>723</v>
      </c>
      <c r="F390" s="155"/>
      <c r="G390" s="157" t="n">
        <v>26.172</v>
      </c>
      <c r="H390" s="158"/>
      <c r="I390" s="155"/>
      <c r="J390" s="155"/>
      <c r="K390" s="146"/>
    </row>
    <row r="391">
      <c r="A391" s="154"/>
      <c r="B391" s="155"/>
      <c r="C391" s="155"/>
      <c r="D391" s="156" t="s">
        <v>754</v>
      </c>
      <c r="E391" s="156" t="s">
        <v>725</v>
      </c>
      <c r="F391" s="155"/>
      <c r="G391" s="157" t="n">
        <v>4.72</v>
      </c>
      <c r="H391" s="158"/>
      <c r="I391" s="155"/>
      <c r="J391" s="155"/>
      <c r="K391" s="146"/>
    </row>
    <row r="392">
      <c r="A392" s="154"/>
      <c r="B392" s="155"/>
      <c r="C392" s="155"/>
      <c r="D392" s="156" t="s">
        <v>755</v>
      </c>
      <c r="E392" s="156" t="s">
        <v>727</v>
      </c>
      <c r="F392" s="155"/>
      <c r="G392" s="157" t="n">
        <v>6.784</v>
      </c>
      <c r="H392" s="158"/>
      <c r="I392" s="155"/>
      <c r="J392" s="155"/>
      <c r="K392" s="146"/>
    </row>
    <row r="393">
      <c r="A393" s="9" t="s">
        <v>761</v>
      </c>
      <c r="B393" s="10" t="s">
        <v>84</v>
      </c>
      <c r="C393" s="10" t="s">
        <v>762</v>
      </c>
      <c r="D393" s="14" t="s">
        <v>763</v>
      </c>
      <c r="E393" s="10"/>
      <c r="F393" s="10" t="s">
        <v>145</v>
      </c>
      <c r="G393" s="111" t="n">
        <v>58.32</v>
      </c>
      <c r="H393" s="152" t="n">
        <v>0</v>
      </c>
      <c r="I393" s="111">
        <f>G393*H393</f>
      </c>
      <c r="J393" s="153" t="s">
        <v>134</v>
      </c>
      <c r="K393" s="146"/>
      <c r="Z393" s="111">
        <f>IF(AQ393="5",BJ393,0)</f>
      </c>
      <c r="AB393" s="111">
        <f>IF(AQ393="1",BH393,0)</f>
      </c>
      <c r="AC393" s="111">
        <f>IF(AQ393="1",BI393,0)</f>
      </c>
      <c r="AD393" s="111">
        <f>IF(AQ393="7",BH393,0)</f>
      </c>
      <c r="AE393" s="111">
        <f>IF(AQ393="7",BI393,0)</f>
      </c>
      <c r="AF393" s="111">
        <f>IF(AQ393="2",BH393,0)</f>
      </c>
      <c r="AG393" s="111">
        <f>IF(AQ393="2",BI393,0)</f>
      </c>
      <c r="AH393" s="111">
        <f>IF(AQ393="0",BJ393,0)</f>
      </c>
      <c r="AI393" s="132" t="s">
        <v>84</v>
      </c>
      <c r="AJ393" s="111">
        <f>IF(AN393=0,I393,0)</f>
      </c>
      <c r="AK393" s="111">
        <f>IF(AN393=12,I393,0)</f>
      </c>
      <c r="AL393" s="111">
        <f>IF(AN393=21,I393,0)</f>
      </c>
      <c r="AN393" s="111" t="n">
        <v>21</v>
      </c>
      <c r="AO393" s="111">
        <f>H393*0.145006954</f>
      </c>
      <c r="AP393" s="111">
        <f>H393*(1-0.145006954)</f>
      </c>
      <c r="AQ393" s="153" t="s">
        <v>130</v>
      </c>
      <c r="AV393" s="111">
        <f>AW393+AX393</f>
      </c>
      <c r="AW393" s="111">
        <f>G393*AO393</f>
      </c>
      <c r="AX393" s="111">
        <f>G393*AP393</f>
      </c>
      <c r="AY393" s="153" t="s">
        <v>718</v>
      </c>
      <c r="AZ393" s="153" t="s">
        <v>719</v>
      </c>
      <c r="BA393" s="132" t="s">
        <v>137</v>
      </c>
      <c r="BC393" s="111">
        <f>AW393+AX393</f>
      </c>
      <c r="BD393" s="111">
        <f>H393/(100-BE393)*100</f>
      </c>
      <c r="BE393" s="111" t="n">
        <v>0</v>
      </c>
      <c r="BF393" s="111">
        <f>393</f>
      </c>
      <c r="BH393" s="111">
        <f>G393*AO393</f>
      </c>
      <c r="BI393" s="111">
        <f>G393*AP393</f>
      </c>
      <c r="BJ393" s="111">
        <f>G393*H393</f>
      </c>
      <c r="BK393" s="111"/>
      <c r="BL393" s="111" t="n">
        <v>41</v>
      </c>
      <c r="BW393" s="111" t="n">
        <v>21</v>
      </c>
      <c r="BX393" s="14" t="s">
        <v>763</v>
      </c>
    </row>
    <row r="394" customHeight="true" ht="13.5">
      <c r="A394" s="159"/>
      <c r="C394" s="160" t="s">
        <v>146</v>
      </c>
      <c r="D394" s="161" t="s">
        <v>764</v>
      </c>
      <c r="E394" s="156"/>
      <c r="F394" s="156"/>
      <c r="G394" s="156"/>
      <c r="H394" s="162"/>
      <c r="I394" s="156"/>
      <c r="J394" s="156"/>
      <c r="K394" s="163"/>
    </row>
    <row r="395">
      <c r="A395" s="154"/>
      <c r="B395" s="155"/>
      <c r="C395" s="155"/>
      <c r="D395" s="156" t="s">
        <v>759</v>
      </c>
      <c r="E395" s="156" t="s">
        <v>721</v>
      </c>
      <c r="F395" s="155"/>
      <c r="G395" s="157" t="n">
        <v>58.32</v>
      </c>
      <c r="H395" s="158"/>
      <c r="I395" s="155"/>
      <c r="J395" s="155"/>
      <c r="K395" s="146"/>
    </row>
    <row r="396">
      <c r="A396" s="9" t="s">
        <v>765</v>
      </c>
      <c r="B396" s="10" t="s">
        <v>84</v>
      </c>
      <c r="C396" s="10" t="s">
        <v>766</v>
      </c>
      <c r="D396" s="14" t="s">
        <v>767</v>
      </c>
      <c r="E396" s="10"/>
      <c r="F396" s="10" t="s">
        <v>145</v>
      </c>
      <c r="G396" s="111" t="n">
        <v>58.32</v>
      </c>
      <c r="H396" s="152" t="n">
        <v>0</v>
      </c>
      <c r="I396" s="111">
        <f>G396*H396</f>
      </c>
      <c r="J396" s="153" t="s">
        <v>134</v>
      </c>
      <c r="K396" s="146"/>
      <c r="Z396" s="111">
        <f>IF(AQ396="5",BJ396,0)</f>
      </c>
      <c r="AB396" s="111">
        <f>IF(AQ396="1",BH396,0)</f>
      </c>
      <c r="AC396" s="111">
        <f>IF(AQ396="1",BI396,0)</f>
      </c>
      <c r="AD396" s="111">
        <f>IF(AQ396="7",BH396,0)</f>
      </c>
      <c r="AE396" s="111">
        <f>IF(AQ396="7",BI396,0)</f>
      </c>
      <c r="AF396" s="111">
        <f>IF(AQ396="2",BH396,0)</f>
      </c>
      <c r="AG396" s="111">
        <f>IF(AQ396="2",BI396,0)</f>
      </c>
      <c r="AH396" s="111">
        <f>IF(AQ396="0",BJ396,0)</f>
      </c>
      <c r="AI396" s="132" t="s">
        <v>84</v>
      </c>
      <c r="AJ396" s="111">
        <f>IF(AN396=0,I396,0)</f>
      </c>
      <c r="AK396" s="111">
        <f>IF(AN396=12,I396,0)</f>
      </c>
      <c r="AL396" s="111">
        <f>IF(AN396=21,I396,0)</f>
      </c>
      <c r="AN396" s="111" t="n">
        <v>21</v>
      </c>
      <c r="AO396" s="111">
        <f>H396*0</f>
      </c>
      <c r="AP396" s="111">
        <f>H396*(1-0)</f>
      </c>
      <c r="AQ396" s="153" t="s">
        <v>130</v>
      </c>
      <c r="AV396" s="111">
        <f>AW396+AX396</f>
      </c>
      <c r="AW396" s="111">
        <f>G396*AO396</f>
      </c>
      <c r="AX396" s="111">
        <f>G396*AP396</f>
      </c>
      <c r="AY396" s="153" t="s">
        <v>718</v>
      </c>
      <c r="AZ396" s="153" t="s">
        <v>719</v>
      </c>
      <c r="BA396" s="132" t="s">
        <v>137</v>
      </c>
      <c r="BC396" s="111">
        <f>AW396+AX396</f>
      </c>
      <c r="BD396" s="111">
        <f>H396/(100-BE396)*100</f>
      </c>
      <c r="BE396" s="111" t="n">
        <v>0</v>
      </c>
      <c r="BF396" s="111">
        <f>396</f>
      </c>
      <c r="BH396" s="111">
        <f>G396*AO396</f>
      </c>
      <c r="BI396" s="111">
        <f>G396*AP396</f>
      </c>
      <c r="BJ396" s="111">
        <f>G396*H396</f>
      </c>
      <c r="BK396" s="111"/>
      <c r="BL396" s="111" t="n">
        <v>41</v>
      </c>
      <c r="BW396" s="111" t="n">
        <v>21</v>
      </c>
      <c r="BX396" s="14" t="s">
        <v>767</v>
      </c>
    </row>
    <row r="397" customHeight="true" ht="13.5">
      <c r="A397" s="159"/>
      <c r="C397" s="160" t="s">
        <v>146</v>
      </c>
      <c r="D397" s="161" t="s">
        <v>764</v>
      </c>
      <c r="E397" s="156"/>
      <c r="F397" s="156"/>
      <c r="G397" s="156"/>
      <c r="H397" s="162"/>
      <c r="I397" s="156"/>
      <c r="J397" s="156"/>
      <c r="K397" s="163"/>
    </row>
    <row r="398">
      <c r="A398" s="154"/>
      <c r="B398" s="155"/>
      <c r="C398" s="155"/>
      <c r="D398" s="156" t="s">
        <v>759</v>
      </c>
      <c r="E398" s="156" t="s">
        <v>721</v>
      </c>
      <c r="F398" s="155"/>
      <c r="G398" s="157" t="n">
        <v>58.32</v>
      </c>
      <c r="H398" s="158"/>
      <c r="I398" s="155"/>
      <c r="J398" s="155"/>
      <c r="K398" s="146"/>
    </row>
    <row r="399">
      <c r="A399" s="9" t="s">
        <v>768</v>
      </c>
      <c r="B399" s="10" t="s">
        <v>84</v>
      </c>
      <c r="C399" s="10" t="s">
        <v>769</v>
      </c>
      <c r="D399" s="14" t="s">
        <v>770</v>
      </c>
      <c r="E399" s="10"/>
      <c r="F399" s="10" t="s">
        <v>159</v>
      </c>
      <c r="G399" s="111" t="n">
        <v>144.03248</v>
      </c>
      <c r="H399" s="152" t="n">
        <v>0</v>
      </c>
      <c r="I399" s="111">
        <f>G399*H399</f>
      </c>
      <c r="J399" s="153" t="s">
        <v>134</v>
      </c>
      <c r="K399" s="146"/>
      <c r="Z399" s="111">
        <f>IF(AQ399="5",BJ399,0)</f>
      </c>
      <c r="AB399" s="111">
        <f>IF(AQ399="1",BH399,0)</f>
      </c>
      <c r="AC399" s="111">
        <f>IF(AQ399="1",BI399,0)</f>
      </c>
      <c r="AD399" s="111">
        <f>IF(AQ399="7",BH399,0)</f>
      </c>
      <c r="AE399" s="111">
        <f>IF(AQ399="7",BI399,0)</f>
      </c>
      <c r="AF399" s="111">
        <f>IF(AQ399="2",BH399,0)</f>
      </c>
      <c r="AG399" s="111">
        <f>IF(AQ399="2",BI399,0)</f>
      </c>
      <c r="AH399" s="111">
        <f>IF(AQ399="0",BJ399,0)</f>
      </c>
      <c r="AI399" s="132" t="s">
        <v>84</v>
      </c>
      <c r="AJ399" s="111">
        <f>IF(AN399=0,I399,0)</f>
      </c>
      <c r="AK399" s="111">
        <f>IF(AN399=12,I399,0)</f>
      </c>
      <c r="AL399" s="111">
        <f>IF(AN399=21,I399,0)</f>
      </c>
      <c r="AN399" s="111" t="n">
        <v>21</v>
      </c>
      <c r="AO399" s="111">
        <f>H399*0.87853968</f>
      </c>
      <c r="AP399" s="111">
        <f>H399*(1-0.87853968)</f>
      </c>
      <c r="AQ399" s="153" t="s">
        <v>130</v>
      </c>
      <c r="AV399" s="111">
        <f>AW399+AX399</f>
      </c>
      <c r="AW399" s="111">
        <f>G399*AO399</f>
      </c>
      <c r="AX399" s="111">
        <f>G399*AP399</f>
      </c>
      <c r="AY399" s="153" t="s">
        <v>718</v>
      </c>
      <c r="AZ399" s="153" t="s">
        <v>719</v>
      </c>
      <c r="BA399" s="132" t="s">
        <v>137</v>
      </c>
      <c r="BC399" s="111">
        <f>AW399+AX399</f>
      </c>
      <c r="BD399" s="111">
        <f>H399/(100-BE399)*100</f>
      </c>
      <c r="BE399" s="111" t="n">
        <v>0</v>
      </c>
      <c r="BF399" s="111">
        <f>399</f>
      </c>
      <c r="BH399" s="111">
        <f>G399*AO399</f>
      </c>
      <c r="BI399" s="111">
        <f>G399*AP399</f>
      </c>
      <c r="BJ399" s="111">
        <f>G399*H399</f>
      </c>
      <c r="BK399" s="111"/>
      <c r="BL399" s="111" t="n">
        <v>41</v>
      </c>
      <c r="BW399" s="111" t="n">
        <v>21</v>
      </c>
      <c r="BX399" s="14" t="s">
        <v>770</v>
      </c>
    </row>
    <row r="400">
      <c r="A400" s="154"/>
      <c r="B400" s="155"/>
      <c r="C400" s="155"/>
      <c r="D400" s="156" t="s">
        <v>771</v>
      </c>
      <c r="E400" s="156" t="s">
        <v>772</v>
      </c>
      <c r="F400" s="155"/>
      <c r="G400" s="157" t="n">
        <v>47.792</v>
      </c>
      <c r="H400" s="158"/>
      <c r="I400" s="155"/>
      <c r="J400" s="155"/>
      <c r="K400" s="146"/>
    </row>
    <row r="401">
      <c r="A401" s="154"/>
      <c r="B401" s="155"/>
      <c r="C401" s="155"/>
      <c r="D401" s="156" t="s">
        <v>773</v>
      </c>
      <c r="E401" s="156" t="s">
        <v>774</v>
      </c>
      <c r="F401" s="155"/>
      <c r="G401" s="157" t="n">
        <v>28.203</v>
      </c>
      <c r="H401" s="158"/>
      <c r="I401" s="155"/>
      <c r="J401" s="155"/>
      <c r="K401" s="146"/>
    </row>
    <row r="402">
      <c r="A402" s="154"/>
      <c r="B402" s="155"/>
      <c r="C402" s="155"/>
      <c r="D402" s="156" t="s">
        <v>775</v>
      </c>
      <c r="E402" s="156" t="s">
        <v>776</v>
      </c>
      <c r="F402" s="155"/>
      <c r="G402" s="157" t="n">
        <v>33.2355</v>
      </c>
      <c r="H402" s="158"/>
      <c r="I402" s="155"/>
      <c r="J402" s="155"/>
      <c r="K402" s="146"/>
    </row>
    <row r="403">
      <c r="A403" s="154"/>
      <c r="B403" s="155"/>
      <c r="C403" s="155"/>
      <c r="D403" s="156" t="s">
        <v>777</v>
      </c>
      <c r="E403" s="156" t="s">
        <v>778</v>
      </c>
      <c r="F403" s="155"/>
      <c r="G403" s="157" t="n">
        <v>4.459</v>
      </c>
      <c r="H403" s="158"/>
      <c r="I403" s="155"/>
      <c r="J403" s="155"/>
      <c r="K403" s="146"/>
    </row>
    <row r="404">
      <c r="A404" s="154"/>
      <c r="B404" s="155"/>
      <c r="C404" s="155"/>
      <c r="D404" s="156" t="s">
        <v>779</v>
      </c>
      <c r="E404" s="156" t="s">
        <v>780</v>
      </c>
      <c r="F404" s="155"/>
      <c r="G404" s="157" t="n">
        <v>23.70098</v>
      </c>
      <c r="H404" s="158"/>
      <c r="I404" s="155"/>
      <c r="J404" s="155"/>
      <c r="K404" s="146"/>
    </row>
    <row r="405">
      <c r="A405" s="154"/>
      <c r="B405" s="155"/>
      <c r="C405" s="155"/>
      <c r="D405" s="156" t="s">
        <v>781</v>
      </c>
      <c r="E405" s="156" t="s">
        <v>782</v>
      </c>
      <c r="F405" s="155"/>
      <c r="G405" s="157" t="n">
        <v>6.642</v>
      </c>
      <c r="H405" s="158"/>
      <c r="I405" s="155"/>
      <c r="J405" s="155"/>
      <c r="K405" s="146"/>
    </row>
    <row r="406">
      <c r="A406" s="9" t="s">
        <v>783</v>
      </c>
      <c r="B406" s="10" t="s">
        <v>84</v>
      </c>
      <c r="C406" s="10" t="s">
        <v>784</v>
      </c>
      <c r="D406" s="14" t="s">
        <v>785</v>
      </c>
      <c r="E406" s="10"/>
      <c r="F406" s="10" t="s">
        <v>229</v>
      </c>
      <c r="G406" s="111" t="n">
        <v>17.51128</v>
      </c>
      <c r="H406" s="152" t="n">
        <v>0</v>
      </c>
      <c r="I406" s="111">
        <f>G406*H406</f>
      </c>
      <c r="J406" s="153" t="s">
        <v>134</v>
      </c>
      <c r="K406" s="146"/>
      <c r="Z406" s="111">
        <f>IF(AQ406="5",BJ406,0)</f>
      </c>
      <c r="AB406" s="111">
        <f>IF(AQ406="1",BH406,0)</f>
      </c>
      <c r="AC406" s="111">
        <f>IF(AQ406="1",BI406,0)</f>
      </c>
      <c r="AD406" s="111">
        <f>IF(AQ406="7",BH406,0)</f>
      </c>
      <c r="AE406" s="111">
        <f>IF(AQ406="7",BI406,0)</f>
      </c>
      <c r="AF406" s="111">
        <f>IF(AQ406="2",BH406,0)</f>
      </c>
      <c r="AG406" s="111">
        <f>IF(AQ406="2",BI406,0)</f>
      </c>
      <c r="AH406" s="111">
        <f>IF(AQ406="0",BJ406,0)</f>
      </c>
      <c r="AI406" s="132" t="s">
        <v>84</v>
      </c>
      <c r="AJ406" s="111">
        <f>IF(AN406=0,I406,0)</f>
      </c>
      <c r="AK406" s="111">
        <f>IF(AN406=12,I406,0)</f>
      </c>
      <c r="AL406" s="111">
        <f>IF(AN406=21,I406,0)</f>
      </c>
      <c r="AN406" s="111" t="n">
        <v>21</v>
      </c>
      <c r="AO406" s="111">
        <f>H406*0.735371274</f>
      </c>
      <c r="AP406" s="111">
        <f>H406*(1-0.735371274)</f>
      </c>
      <c r="AQ406" s="153" t="s">
        <v>130</v>
      </c>
      <c r="AV406" s="111">
        <f>AW406+AX406</f>
      </c>
      <c r="AW406" s="111">
        <f>G406*AO406</f>
      </c>
      <c r="AX406" s="111">
        <f>G406*AP406</f>
      </c>
      <c r="AY406" s="153" t="s">
        <v>718</v>
      </c>
      <c r="AZ406" s="153" t="s">
        <v>719</v>
      </c>
      <c r="BA406" s="132" t="s">
        <v>137</v>
      </c>
      <c r="BC406" s="111">
        <f>AW406+AX406</f>
      </c>
      <c r="BD406" s="111">
        <f>H406/(100-BE406)*100</f>
      </c>
      <c r="BE406" s="111" t="n">
        <v>0</v>
      </c>
      <c r="BF406" s="111">
        <f>406</f>
      </c>
      <c r="BH406" s="111">
        <f>G406*AO406</f>
      </c>
      <c r="BI406" s="111">
        <f>G406*AP406</f>
      </c>
      <c r="BJ406" s="111">
        <f>G406*H406</f>
      </c>
      <c r="BK406" s="111"/>
      <c r="BL406" s="111" t="n">
        <v>41</v>
      </c>
      <c r="BW406" s="111" t="n">
        <v>21</v>
      </c>
      <c r="BX406" s="14" t="s">
        <v>785</v>
      </c>
    </row>
    <row r="407">
      <c r="A407" s="154"/>
      <c r="B407" s="155"/>
      <c r="C407" s="155"/>
      <c r="D407" s="156" t="s">
        <v>786</v>
      </c>
      <c r="E407" s="156" t="s">
        <v>787</v>
      </c>
      <c r="F407" s="155"/>
      <c r="G407" s="157" t="n">
        <v>7.093</v>
      </c>
      <c r="H407" s="158"/>
      <c r="I407" s="155"/>
      <c r="J407" s="155"/>
      <c r="K407" s="146"/>
    </row>
    <row r="408">
      <c r="A408" s="154"/>
      <c r="B408" s="155"/>
      <c r="C408" s="155"/>
      <c r="D408" s="156" t="s">
        <v>788</v>
      </c>
      <c r="E408" s="156" t="s">
        <v>789</v>
      </c>
      <c r="F408" s="155"/>
      <c r="G408" s="157" t="n">
        <v>8.801</v>
      </c>
      <c r="H408" s="158"/>
      <c r="I408" s="155"/>
      <c r="J408" s="155"/>
      <c r="K408" s="146"/>
    </row>
    <row r="409">
      <c r="A409" s="154"/>
      <c r="B409" s="155"/>
      <c r="C409" s="155"/>
      <c r="D409" s="156" t="s">
        <v>790</v>
      </c>
      <c r="E409" s="156" t="s">
        <v>791</v>
      </c>
      <c r="F409" s="155"/>
      <c r="G409" s="157" t="n">
        <v>0.02788</v>
      </c>
      <c r="H409" s="158"/>
      <c r="I409" s="155"/>
      <c r="J409" s="155"/>
      <c r="K409" s="146"/>
    </row>
    <row r="410">
      <c r="A410" s="154"/>
      <c r="B410" s="155"/>
      <c r="C410" s="155"/>
      <c r="D410" s="156" t="s">
        <v>792</v>
      </c>
      <c r="E410" s="156" t="s">
        <v>736</v>
      </c>
      <c r="F410" s="155"/>
      <c r="G410" s="157" t="n">
        <v>1.5894</v>
      </c>
      <c r="H410" s="158"/>
      <c r="I410" s="155"/>
      <c r="J410" s="155"/>
      <c r="K410" s="146"/>
    </row>
    <row r="411">
      <c r="A411" s="9" t="s">
        <v>793</v>
      </c>
      <c r="B411" s="10" t="s">
        <v>84</v>
      </c>
      <c r="C411" s="10" t="s">
        <v>794</v>
      </c>
      <c r="D411" s="14" t="s">
        <v>795</v>
      </c>
      <c r="E411" s="10"/>
      <c r="F411" s="10" t="s">
        <v>282</v>
      </c>
      <c r="G411" s="111" t="n">
        <v>133.805</v>
      </c>
      <c r="H411" s="152" t="n">
        <v>0</v>
      </c>
      <c r="I411" s="111">
        <f>G411*H411</f>
      </c>
      <c r="J411" s="153" t="s">
        <v>134</v>
      </c>
      <c r="K411" s="146"/>
      <c r="Z411" s="111">
        <f>IF(AQ411="5",BJ411,0)</f>
      </c>
      <c r="AB411" s="111">
        <f>IF(AQ411="1",BH411,0)</f>
      </c>
      <c r="AC411" s="111">
        <f>IF(AQ411="1",BI411,0)</f>
      </c>
      <c r="AD411" s="111">
        <f>IF(AQ411="7",BH411,0)</f>
      </c>
      <c r="AE411" s="111">
        <f>IF(AQ411="7",BI411,0)</f>
      </c>
      <c r="AF411" s="111">
        <f>IF(AQ411="2",BH411,0)</f>
      </c>
      <c r="AG411" s="111">
        <f>IF(AQ411="2",BI411,0)</f>
      </c>
      <c r="AH411" s="111">
        <f>IF(AQ411="0",BJ411,0)</f>
      </c>
      <c r="AI411" s="132" t="s">
        <v>84</v>
      </c>
      <c r="AJ411" s="111">
        <f>IF(AN411=0,I411,0)</f>
      </c>
      <c r="AK411" s="111">
        <f>IF(AN411=12,I411,0)</f>
      </c>
      <c r="AL411" s="111">
        <f>IF(AN411=21,I411,0)</f>
      </c>
      <c r="AN411" s="111" t="n">
        <v>21</v>
      </c>
      <c r="AO411" s="111">
        <f>H411*0.213727915</f>
      </c>
      <c r="AP411" s="111">
        <f>H411*(1-0.213727915)</f>
      </c>
      <c r="AQ411" s="153" t="s">
        <v>130</v>
      </c>
      <c r="AV411" s="111">
        <f>AW411+AX411</f>
      </c>
      <c r="AW411" s="111">
        <f>G411*AO411</f>
      </c>
      <c r="AX411" s="111">
        <f>G411*AP411</f>
      </c>
      <c r="AY411" s="153" t="s">
        <v>718</v>
      </c>
      <c r="AZ411" s="153" t="s">
        <v>719</v>
      </c>
      <c r="BA411" s="132" t="s">
        <v>137</v>
      </c>
      <c r="BC411" s="111">
        <f>AW411+AX411</f>
      </c>
      <c r="BD411" s="111">
        <f>H411/(100-BE411)*100</f>
      </c>
      <c r="BE411" s="111" t="n">
        <v>0</v>
      </c>
      <c r="BF411" s="111">
        <f>411</f>
      </c>
      <c r="BH411" s="111">
        <f>G411*AO411</f>
      </c>
      <c r="BI411" s="111">
        <f>G411*AP411</f>
      </c>
      <c r="BJ411" s="111">
        <f>G411*H411</f>
      </c>
      <c r="BK411" s="111"/>
      <c r="BL411" s="111" t="n">
        <v>41</v>
      </c>
      <c r="BW411" s="111" t="n">
        <v>21</v>
      </c>
      <c r="BX411" s="14" t="s">
        <v>795</v>
      </c>
    </row>
    <row r="412">
      <c r="A412" s="154"/>
      <c r="B412" s="155"/>
      <c r="C412" s="155"/>
      <c r="D412" s="156" t="s">
        <v>796</v>
      </c>
      <c r="E412" s="156" t="s">
        <v>772</v>
      </c>
      <c r="F412" s="155"/>
      <c r="G412" s="157" t="n">
        <v>32.2</v>
      </c>
      <c r="H412" s="158"/>
      <c r="I412" s="155"/>
      <c r="J412" s="155"/>
      <c r="K412" s="146"/>
    </row>
    <row r="413">
      <c r="A413" s="154"/>
      <c r="B413" s="155"/>
      <c r="C413" s="155"/>
      <c r="D413" s="156" t="s">
        <v>797</v>
      </c>
      <c r="E413" s="156" t="s">
        <v>774</v>
      </c>
      <c r="F413" s="155"/>
      <c r="G413" s="157" t="n">
        <v>44.35</v>
      </c>
      <c r="H413" s="158"/>
      <c r="I413" s="155"/>
      <c r="J413" s="155"/>
      <c r="K413" s="146"/>
    </row>
    <row r="414">
      <c r="A414" s="154"/>
      <c r="B414" s="155"/>
      <c r="C414" s="155"/>
      <c r="D414" s="156" t="s">
        <v>798</v>
      </c>
      <c r="E414" s="156" t="s">
        <v>776</v>
      </c>
      <c r="F414" s="155"/>
      <c r="G414" s="157" t="n">
        <v>24.805</v>
      </c>
      <c r="H414" s="158"/>
      <c r="I414" s="155"/>
      <c r="J414" s="155"/>
      <c r="K414" s="146"/>
    </row>
    <row r="415">
      <c r="A415" s="154"/>
      <c r="B415" s="155"/>
      <c r="C415" s="155"/>
      <c r="D415" s="156" t="s">
        <v>799</v>
      </c>
      <c r="E415" s="156" t="s">
        <v>778</v>
      </c>
      <c r="F415" s="155"/>
      <c r="G415" s="157" t="n">
        <v>3.92</v>
      </c>
      <c r="H415" s="158"/>
      <c r="I415" s="155"/>
      <c r="J415" s="155"/>
      <c r="K415" s="146"/>
    </row>
    <row r="416">
      <c r="A416" s="154"/>
      <c r="B416" s="155"/>
      <c r="C416" s="155"/>
      <c r="D416" s="156" t="s">
        <v>800</v>
      </c>
      <c r="E416" s="156" t="s">
        <v>780</v>
      </c>
      <c r="F416" s="155"/>
      <c r="G416" s="157" t="n">
        <v>17.55</v>
      </c>
      <c r="H416" s="158"/>
      <c r="I416" s="155"/>
      <c r="J416" s="155"/>
      <c r="K416" s="146"/>
    </row>
    <row r="417">
      <c r="A417" s="154"/>
      <c r="B417" s="155"/>
      <c r="C417" s="155"/>
      <c r="D417" s="156" t="s">
        <v>801</v>
      </c>
      <c r="E417" s="156" t="s">
        <v>782</v>
      </c>
      <c r="F417" s="155"/>
      <c r="G417" s="157" t="n">
        <v>10.98</v>
      </c>
      <c r="H417" s="158"/>
      <c r="I417" s="155"/>
      <c r="J417" s="155"/>
      <c r="K417" s="146"/>
    </row>
    <row r="418">
      <c r="A418" s="9" t="s">
        <v>802</v>
      </c>
      <c r="B418" s="10" t="s">
        <v>84</v>
      </c>
      <c r="C418" s="10" t="s">
        <v>803</v>
      </c>
      <c r="D418" s="14" t="s">
        <v>804</v>
      </c>
      <c r="E418" s="10"/>
      <c r="F418" s="10" t="s">
        <v>282</v>
      </c>
      <c r="G418" s="111" t="n">
        <v>133.805</v>
      </c>
      <c r="H418" s="152" t="n">
        <v>0</v>
      </c>
      <c r="I418" s="111">
        <f>G418*H418</f>
      </c>
      <c r="J418" s="153" t="s">
        <v>134</v>
      </c>
      <c r="K418" s="146"/>
      <c r="Z418" s="111">
        <f>IF(AQ418="5",BJ418,0)</f>
      </c>
      <c r="AB418" s="111">
        <f>IF(AQ418="1",BH418,0)</f>
      </c>
      <c r="AC418" s="111">
        <f>IF(AQ418="1",BI418,0)</f>
      </c>
      <c r="AD418" s="111">
        <f>IF(AQ418="7",BH418,0)</f>
      </c>
      <c r="AE418" s="111">
        <f>IF(AQ418="7",BI418,0)</f>
      </c>
      <c r="AF418" s="111">
        <f>IF(AQ418="2",BH418,0)</f>
      </c>
      <c r="AG418" s="111">
        <f>IF(AQ418="2",BI418,0)</f>
      </c>
      <c r="AH418" s="111">
        <f>IF(AQ418="0",BJ418,0)</f>
      </c>
      <c r="AI418" s="132" t="s">
        <v>84</v>
      </c>
      <c r="AJ418" s="111">
        <f>IF(AN418=0,I418,0)</f>
      </c>
      <c r="AK418" s="111">
        <f>IF(AN418=12,I418,0)</f>
      </c>
      <c r="AL418" s="111">
        <f>IF(AN418=21,I418,0)</f>
      </c>
      <c r="AN418" s="111" t="n">
        <v>21</v>
      </c>
      <c r="AO418" s="111">
        <f>H418*0</f>
      </c>
      <c r="AP418" s="111">
        <f>H418*(1-0)</f>
      </c>
      <c r="AQ418" s="153" t="s">
        <v>130</v>
      </c>
      <c r="AV418" s="111">
        <f>AW418+AX418</f>
      </c>
      <c r="AW418" s="111">
        <f>G418*AO418</f>
      </c>
      <c r="AX418" s="111">
        <f>G418*AP418</f>
      </c>
      <c r="AY418" s="153" t="s">
        <v>718</v>
      </c>
      <c r="AZ418" s="153" t="s">
        <v>719</v>
      </c>
      <c r="BA418" s="132" t="s">
        <v>137</v>
      </c>
      <c r="BC418" s="111">
        <f>AW418+AX418</f>
      </c>
      <c r="BD418" s="111">
        <f>H418/(100-BE418)*100</f>
      </c>
      <c r="BE418" s="111" t="n">
        <v>0</v>
      </c>
      <c r="BF418" s="111">
        <f>418</f>
      </c>
      <c r="BH418" s="111">
        <f>G418*AO418</f>
      </c>
      <c r="BI418" s="111">
        <f>G418*AP418</f>
      </c>
      <c r="BJ418" s="111">
        <f>G418*H418</f>
      </c>
      <c r="BK418" s="111"/>
      <c r="BL418" s="111" t="n">
        <v>41</v>
      </c>
      <c r="BW418" s="111" t="n">
        <v>21</v>
      </c>
      <c r="BX418" s="14" t="s">
        <v>804</v>
      </c>
    </row>
    <row r="419">
      <c r="A419" s="154"/>
      <c r="B419" s="155"/>
      <c r="C419" s="155"/>
      <c r="D419" s="156" t="s">
        <v>796</v>
      </c>
      <c r="E419" s="156" t="s">
        <v>772</v>
      </c>
      <c r="F419" s="155"/>
      <c r="G419" s="157" t="n">
        <v>32.2</v>
      </c>
      <c r="H419" s="158"/>
      <c r="I419" s="155"/>
      <c r="J419" s="155"/>
      <c r="K419" s="146"/>
    </row>
    <row r="420">
      <c r="A420" s="154"/>
      <c r="B420" s="155"/>
      <c r="C420" s="155"/>
      <c r="D420" s="156" t="s">
        <v>797</v>
      </c>
      <c r="E420" s="156" t="s">
        <v>774</v>
      </c>
      <c r="F420" s="155"/>
      <c r="G420" s="157" t="n">
        <v>44.35</v>
      </c>
      <c r="H420" s="158"/>
      <c r="I420" s="155"/>
      <c r="J420" s="155"/>
      <c r="K420" s="146"/>
    </row>
    <row r="421">
      <c r="A421" s="154"/>
      <c r="B421" s="155"/>
      <c r="C421" s="155"/>
      <c r="D421" s="156" t="s">
        <v>798</v>
      </c>
      <c r="E421" s="156" t="s">
        <v>776</v>
      </c>
      <c r="F421" s="155"/>
      <c r="G421" s="157" t="n">
        <v>24.805</v>
      </c>
      <c r="H421" s="158"/>
      <c r="I421" s="155"/>
      <c r="J421" s="155"/>
      <c r="K421" s="146"/>
    </row>
    <row r="422">
      <c r="A422" s="154"/>
      <c r="B422" s="155"/>
      <c r="C422" s="155"/>
      <c r="D422" s="156" t="s">
        <v>799</v>
      </c>
      <c r="E422" s="156" t="s">
        <v>778</v>
      </c>
      <c r="F422" s="155"/>
      <c r="G422" s="157" t="n">
        <v>3.92</v>
      </c>
      <c r="H422" s="158"/>
      <c r="I422" s="155"/>
      <c r="J422" s="155"/>
      <c r="K422" s="146"/>
    </row>
    <row r="423">
      <c r="A423" s="154"/>
      <c r="B423" s="155"/>
      <c r="C423" s="155"/>
      <c r="D423" s="156" t="s">
        <v>800</v>
      </c>
      <c r="E423" s="156" t="s">
        <v>780</v>
      </c>
      <c r="F423" s="155"/>
      <c r="G423" s="157" t="n">
        <v>17.55</v>
      </c>
      <c r="H423" s="158"/>
      <c r="I423" s="155"/>
      <c r="J423" s="155"/>
      <c r="K423" s="146"/>
    </row>
    <row r="424">
      <c r="A424" s="154"/>
      <c r="B424" s="155"/>
      <c r="C424" s="155"/>
      <c r="D424" s="156" t="s">
        <v>801</v>
      </c>
      <c r="E424" s="156" t="s">
        <v>782</v>
      </c>
      <c r="F424" s="155"/>
      <c r="G424" s="157" t="n">
        <v>10.98</v>
      </c>
      <c r="H424" s="158"/>
      <c r="I424" s="155"/>
      <c r="J424" s="155"/>
      <c r="K424" s="146"/>
    </row>
    <row r="425">
      <c r="A425" s="9" t="s">
        <v>805</v>
      </c>
      <c r="B425" s="10" t="s">
        <v>84</v>
      </c>
      <c r="C425" s="10" t="s">
        <v>806</v>
      </c>
      <c r="D425" s="14" t="s">
        <v>807</v>
      </c>
      <c r="E425" s="10"/>
      <c r="F425" s="10" t="s">
        <v>145</v>
      </c>
      <c r="G425" s="111" t="n">
        <v>234.069</v>
      </c>
      <c r="H425" s="152" t="n">
        <v>0</v>
      </c>
      <c r="I425" s="111">
        <f>G425*H425</f>
      </c>
      <c r="J425" s="153" t="s">
        <v>134</v>
      </c>
      <c r="K425" s="146"/>
      <c r="Z425" s="111">
        <f>IF(AQ425="5",BJ425,0)</f>
      </c>
      <c r="AB425" s="111">
        <f>IF(AQ425="1",BH425,0)</f>
      </c>
      <c r="AC425" s="111">
        <f>IF(AQ425="1",BI425,0)</f>
      </c>
      <c r="AD425" s="111">
        <f>IF(AQ425="7",BH425,0)</f>
      </c>
      <c r="AE425" s="111">
        <f>IF(AQ425="7",BI425,0)</f>
      </c>
      <c r="AF425" s="111">
        <f>IF(AQ425="2",BH425,0)</f>
      </c>
      <c r="AG425" s="111">
        <f>IF(AQ425="2",BI425,0)</f>
      </c>
      <c r="AH425" s="111">
        <f>IF(AQ425="0",BJ425,0)</f>
      </c>
      <c r="AI425" s="132" t="s">
        <v>84</v>
      </c>
      <c r="AJ425" s="111">
        <f>IF(AN425=0,I425,0)</f>
      </c>
      <c r="AK425" s="111">
        <f>IF(AN425=12,I425,0)</f>
      </c>
      <c r="AL425" s="111">
        <f>IF(AN425=21,I425,0)</f>
      </c>
      <c r="AN425" s="111" t="n">
        <v>21</v>
      </c>
      <c r="AO425" s="111">
        <f>H425*0.528247415</f>
      </c>
      <c r="AP425" s="111">
        <f>H425*(1-0.528247415)</f>
      </c>
      <c r="AQ425" s="153" t="s">
        <v>130</v>
      </c>
      <c r="AV425" s="111">
        <f>AW425+AX425</f>
      </c>
      <c r="AW425" s="111">
        <f>G425*AO425</f>
      </c>
      <c r="AX425" s="111">
        <f>G425*AP425</f>
      </c>
      <c r="AY425" s="153" t="s">
        <v>718</v>
      </c>
      <c r="AZ425" s="153" t="s">
        <v>719</v>
      </c>
      <c r="BA425" s="132" t="s">
        <v>137</v>
      </c>
      <c r="BC425" s="111">
        <f>AW425+AX425</f>
      </c>
      <c r="BD425" s="111">
        <f>H425/(100-BE425)*100</f>
      </c>
      <c r="BE425" s="111" t="n">
        <v>0</v>
      </c>
      <c r="BF425" s="111">
        <f>425</f>
      </c>
      <c r="BH425" s="111">
        <f>G425*AO425</f>
      </c>
      <c r="BI425" s="111">
        <f>G425*AP425</f>
      </c>
      <c r="BJ425" s="111">
        <f>G425*H425</f>
      </c>
      <c r="BK425" s="111"/>
      <c r="BL425" s="111" t="n">
        <v>41</v>
      </c>
      <c r="BW425" s="111" t="n">
        <v>21</v>
      </c>
      <c r="BX425" s="14" t="s">
        <v>807</v>
      </c>
    </row>
    <row r="426">
      <c r="A426" s="154"/>
      <c r="B426" s="155"/>
      <c r="C426" s="155"/>
      <c r="D426" s="156" t="s">
        <v>808</v>
      </c>
      <c r="E426" s="156" t="s">
        <v>776</v>
      </c>
      <c r="F426" s="155"/>
      <c r="G426" s="157" t="n">
        <v>117.465</v>
      </c>
      <c r="H426" s="158"/>
      <c r="I426" s="155"/>
      <c r="J426" s="155"/>
      <c r="K426" s="146"/>
    </row>
    <row r="427">
      <c r="A427" s="154"/>
      <c r="B427" s="155"/>
      <c r="C427" s="155"/>
      <c r="D427" s="156" t="s">
        <v>809</v>
      </c>
      <c r="E427" s="156" t="s">
        <v>778</v>
      </c>
      <c r="F427" s="155"/>
      <c r="G427" s="157" t="n">
        <v>15.484</v>
      </c>
      <c r="H427" s="158"/>
      <c r="I427" s="155"/>
      <c r="J427" s="155"/>
      <c r="K427" s="146"/>
    </row>
    <row r="428">
      <c r="A428" s="154"/>
      <c r="B428" s="155"/>
      <c r="C428" s="155"/>
      <c r="D428" s="156" t="s">
        <v>810</v>
      </c>
      <c r="E428" s="156" t="s">
        <v>780</v>
      </c>
      <c r="F428" s="155"/>
      <c r="G428" s="157" t="n">
        <v>80.78</v>
      </c>
      <c r="H428" s="158"/>
      <c r="I428" s="155"/>
      <c r="J428" s="155"/>
      <c r="K428" s="146"/>
    </row>
    <row r="429">
      <c r="A429" s="154"/>
      <c r="B429" s="155"/>
      <c r="C429" s="155"/>
      <c r="D429" s="156" t="s">
        <v>811</v>
      </c>
      <c r="E429" s="156" t="s">
        <v>782</v>
      </c>
      <c r="F429" s="155"/>
      <c r="G429" s="157" t="n">
        <v>20.34</v>
      </c>
      <c r="H429" s="158"/>
      <c r="I429" s="155"/>
      <c r="J429" s="155"/>
      <c r="K429" s="146"/>
    </row>
    <row r="430">
      <c r="A430" s="9" t="s">
        <v>812</v>
      </c>
      <c r="B430" s="10" t="s">
        <v>84</v>
      </c>
      <c r="C430" s="10" t="s">
        <v>813</v>
      </c>
      <c r="D430" s="14" t="s">
        <v>814</v>
      </c>
      <c r="E430" s="10"/>
      <c r="F430" s="10" t="s">
        <v>145</v>
      </c>
      <c r="G430" s="111" t="n">
        <v>234.069</v>
      </c>
      <c r="H430" s="152" t="n">
        <v>0</v>
      </c>
      <c r="I430" s="111">
        <f>G430*H430</f>
      </c>
      <c r="J430" s="153" t="s">
        <v>134</v>
      </c>
      <c r="K430" s="146"/>
      <c r="Z430" s="111">
        <f>IF(AQ430="5",BJ430,0)</f>
      </c>
      <c r="AB430" s="111">
        <f>IF(AQ430="1",BH430,0)</f>
      </c>
      <c r="AC430" s="111">
        <f>IF(AQ430="1",BI430,0)</f>
      </c>
      <c r="AD430" s="111">
        <f>IF(AQ430="7",BH430,0)</f>
      </c>
      <c r="AE430" s="111">
        <f>IF(AQ430="7",BI430,0)</f>
      </c>
      <c r="AF430" s="111">
        <f>IF(AQ430="2",BH430,0)</f>
      </c>
      <c r="AG430" s="111">
        <f>IF(AQ430="2",BI430,0)</f>
      </c>
      <c r="AH430" s="111">
        <f>IF(AQ430="0",BJ430,0)</f>
      </c>
      <c r="AI430" s="132" t="s">
        <v>84</v>
      </c>
      <c r="AJ430" s="111">
        <f>IF(AN430=0,I430,0)</f>
      </c>
      <c r="AK430" s="111">
        <f>IF(AN430=12,I430,0)</f>
      </c>
      <c r="AL430" s="111">
        <f>IF(AN430=21,I430,0)</f>
      </c>
      <c r="AN430" s="111" t="n">
        <v>21</v>
      </c>
      <c r="AO430" s="111">
        <f>H430*0</f>
      </c>
      <c r="AP430" s="111">
        <f>H430*(1-0)</f>
      </c>
      <c r="AQ430" s="153" t="s">
        <v>130</v>
      </c>
      <c r="AV430" s="111">
        <f>AW430+AX430</f>
      </c>
      <c r="AW430" s="111">
        <f>G430*AO430</f>
      </c>
      <c r="AX430" s="111">
        <f>G430*AP430</f>
      </c>
      <c r="AY430" s="153" t="s">
        <v>718</v>
      </c>
      <c r="AZ430" s="153" t="s">
        <v>719</v>
      </c>
      <c r="BA430" s="132" t="s">
        <v>137</v>
      </c>
      <c r="BC430" s="111">
        <f>AW430+AX430</f>
      </c>
      <c r="BD430" s="111">
        <f>H430/(100-BE430)*100</f>
      </c>
      <c r="BE430" s="111" t="n">
        <v>0</v>
      </c>
      <c r="BF430" s="111">
        <f>430</f>
      </c>
      <c r="BH430" s="111">
        <f>G430*AO430</f>
      </c>
      <c r="BI430" s="111">
        <f>G430*AP430</f>
      </c>
      <c r="BJ430" s="111">
        <f>G430*H430</f>
      </c>
      <c r="BK430" s="111"/>
      <c r="BL430" s="111" t="n">
        <v>41</v>
      </c>
      <c r="BW430" s="111" t="n">
        <v>21</v>
      </c>
      <c r="BX430" s="14" t="s">
        <v>814</v>
      </c>
    </row>
    <row r="431">
      <c r="A431" s="154"/>
      <c r="B431" s="155"/>
      <c r="C431" s="155"/>
      <c r="D431" s="156" t="s">
        <v>808</v>
      </c>
      <c r="E431" s="156" t="s">
        <v>776</v>
      </c>
      <c r="F431" s="155"/>
      <c r="G431" s="157" t="n">
        <v>117.465</v>
      </c>
      <c r="H431" s="158"/>
      <c r="I431" s="155"/>
      <c r="J431" s="155"/>
      <c r="K431" s="146"/>
    </row>
    <row r="432">
      <c r="A432" s="154"/>
      <c r="B432" s="155"/>
      <c r="C432" s="155"/>
      <c r="D432" s="156" t="s">
        <v>809</v>
      </c>
      <c r="E432" s="156" t="s">
        <v>778</v>
      </c>
      <c r="F432" s="155"/>
      <c r="G432" s="157" t="n">
        <v>15.484</v>
      </c>
      <c r="H432" s="158"/>
      <c r="I432" s="155"/>
      <c r="J432" s="155"/>
      <c r="K432" s="146"/>
    </row>
    <row r="433">
      <c r="A433" s="154"/>
      <c r="B433" s="155"/>
      <c r="C433" s="155"/>
      <c r="D433" s="156" t="s">
        <v>810</v>
      </c>
      <c r="E433" s="156" t="s">
        <v>780</v>
      </c>
      <c r="F433" s="155"/>
      <c r="G433" s="157" t="n">
        <v>80.78</v>
      </c>
      <c r="H433" s="158"/>
      <c r="I433" s="155"/>
      <c r="J433" s="155"/>
      <c r="K433" s="146"/>
    </row>
    <row r="434">
      <c r="A434" s="154"/>
      <c r="B434" s="155"/>
      <c r="C434" s="155"/>
      <c r="D434" s="156" t="s">
        <v>811</v>
      </c>
      <c r="E434" s="156" t="s">
        <v>782</v>
      </c>
      <c r="F434" s="155"/>
      <c r="G434" s="157" t="n">
        <v>20.34</v>
      </c>
      <c r="H434" s="158"/>
      <c r="I434" s="155"/>
      <c r="J434" s="155"/>
      <c r="K434" s="146"/>
    </row>
    <row r="435">
      <c r="A435" s="9" t="s">
        <v>815</v>
      </c>
      <c r="B435" s="10" t="s">
        <v>84</v>
      </c>
      <c r="C435" s="10" t="s">
        <v>816</v>
      </c>
      <c r="D435" s="14" t="s">
        <v>817</v>
      </c>
      <c r="E435" s="10"/>
      <c r="F435" s="10" t="s">
        <v>145</v>
      </c>
      <c r="G435" s="111" t="n">
        <v>296.465</v>
      </c>
      <c r="H435" s="152" t="n">
        <v>0</v>
      </c>
      <c r="I435" s="111">
        <f>G435*H435</f>
      </c>
      <c r="J435" s="153" t="s">
        <v>134</v>
      </c>
      <c r="K435" s="146"/>
      <c r="Z435" s="111">
        <f>IF(AQ435="5",BJ435,0)</f>
      </c>
      <c r="AB435" s="111">
        <f>IF(AQ435="1",BH435,0)</f>
      </c>
      <c r="AC435" s="111">
        <f>IF(AQ435="1",BI435,0)</f>
      </c>
      <c r="AD435" s="111">
        <f>IF(AQ435="7",BH435,0)</f>
      </c>
      <c r="AE435" s="111">
        <f>IF(AQ435="7",BI435,0)</f>
      </c>
      <c r="AF435" s="111">
        <f>IF(AQ435="2",BH435,0)</f>
      </c>
      <c r="AG435" s="111">
        <f>IF(AQ435="2",BI435,0)</f>
      </c>
      <c r="AH435" s="111">
        <f>IF(AQ435="0",BJ435,0)</f>
      </c>
      <c r="AI435" s="132" t="s">
        <v>84</v>
      </c>
      <c r="AJ435" s="111">
        <f>IF(AN435=0,I435,0)</f>
      </c>
      <c r="AK435" s="111">
        <f>IF(AN435=12,I435,0)</f>
      </c>
      <c r="AL435" s="111">
        <f>IF(AN435=21,I435,0)</f>
      </c>
      <c r="AN435" s="111" t="n">
        <v>21</v>
      </c>
      <c r="AO435" s="111">
        <f>H435*0.581326295</f>
      </c>
      <c r="AP435" s="111">
        <f>H435*(1-0.581326295)</f>
      </c>
      <c r="AQ435" s="153" t="s">
        <v>130</v>
      </c>
      <c r="AV435" s="111">
        <f>AW435+AX435</f>
      </c>
      <c r="AW435" s="111">
        <f>G435*AO435</f>
      </c>
      <c r="AX435" s="111">
        <f>G435*AP435</f>
      </c>
      <c r="AY435" s="153" t="s">
        <v>718</v>
      </c>
      <c r="AZ435" s="153" t="s">
        <v>719</v>
      </c>
      <c r="BA435" s="132" t="s">
        <v>137</v>
      </c>
      <c r="BC435" s="111">
        <f>AW435+AX435</f>
      </c>
      <c r="BD435" s="111">
        <f>H435/(100-BE435)*100</f>
      </c>
      <c r="BE435" s="111" t="n">
        <v>0</v>
      </c>
      <c r="BF435" s="111">
        <f>435</f>
      </c>
      <c r="BH435" s="111">
        <f>G435*AO435</f>
      </c>
      <c r="BI435" s="111">
        <f>G435*AP435</f>
      </c>
      <c r="BJ435" s="111">
        <f>G435*H435</f>
      </c>
      <c r="BK435" s="111"/>
      <c r="BL435" s="111" t="n">
        <v>41</v>
      </c>
      <c r="BW435" s="111" t="n">
        <v>21</v>
      </c>
      <c r="BX435" s="14" t="s">
        <v>817</v>
      </c>
    </row>
    <row r="436">
      <c r="A436" s="154"/>
      <c r="B436" s="155"/>
      <c r="C436" s="155"/>
      <c r="D436" s="156" t="s">
        <v>818</v>
      </c>
      <c r="E436" s="156" t="s">
        <v>819</v>
      </c>
      <c r="F436" s="155"/>
      <c r="G436" s="157" t="n">
        <v>197.652</v>
      </c>
      <c r="H436" s="158"/>
      <c r="I436" s="155"/>
      <c r="J436" s="155"/>
      <c r="K436" s="146"/>
    </row>
    <row r="437">
      <c r="A437" s="154"/>
      <c r="B437" s="155"/>
      <c r="C437" s="155"/>
      <c r="D437" s="156" t="s">
        <v>820</v>
      </c>
      <c r="E437" s="156" t="s">
        <v>821</v>
      </c>
      <c r="F437" s="155"/>
      <c r="G437" s="157" t="n">
        <v>98.813</v>
      </c>
      <c r="H437" s="158"/>
      <c r="I437" s="155"/>
      <c r="J437" s="155"/>
      <c r="K437" s="146"/>
    </row>
    <row r="438">
      <c r="A438" s="9" t="s">
        <v>822</v>
      </c>
      <c r="B438" s="10" t="s">
        <v>84</v>
      </c>
      <c r="C438" s="10" t="s">
        <v>823</v>
      </c>
      <c r="D438" s="14" t="s">
        <v>824</v>
      </c>
      <c r="E438" s="10"/>
      <c r="F438" s="10" t="s">
        <v>145</v>
      </c>
      <c r="G438" s="111" t="n">
        <v>296.465</v>
      </c>
      <c r="H438" s="152" t="n">
        <v>0</v>
      </c>
      <c r="I438" s="111">
        <f>G438*H438</f>
      </c>
      <c r="J438" s="153" t="s">
        <v>134</v>
      </c>
      <c r="K438" s="146"/>
      <c r="Z438" s="111">
        <f>IF(AQ438="5",BJ438,0)</f>
      </c>
      <c r="AB438" s="111">
        <f>IF(AQ438="1",BH438,0)</f>
      </c>
      <c r="AC438" s="111">
        <f>IF(AQ438="1",BI438,0)</f>
      </c>
      <c r="AD438" s="111">
        <f>IF(AQ438="7",BH438,0)</f>
      </c>
      <c r="AE438" s="111">
        <f>IF(AQ438="7",BI438,0)</f>
      </c>
      <c r="AF438" s="111">
        <f>IF(AQ438="2",BH438,0)</f>
      </c>
      <c r="AG438" s="111">
        <f>IF(AQ438="2",BI438,0)</f>
      </c>
      <c r="AH438" s="111">
        <f>IF(AQ438="0",BJ438,0)</f>
      </c>
      <c r="AI438" s="132" t="s">
        <v>84</v>
      </c>
      <c r="AJ438" s="111">
        <f>IF(AN438=0,I438,0)</f>
      </c>
      <c r="AK438" s="111">
        <f>IF(AN438=12,I438,0)</f>
      </c>
      <c r="AL438" s="111">
        <f>IF(AN438=21,I438,0)</f>
      </c>
      <c r="AN438" s="111" t="n">
        <v>21</v>
      </c>
      <c r="AO438" s="111">
        <f>H438*0</f>
      </c>
      <c r="AP438" s="111">
        <f>H438*(1-0)</f>
      </c>
      <c r="AQ438" s="153" t="s">
        <v>130</v>
      </c>
      <c r="AV438" s="111">
        <f>AW438+AX438</f>
      </c>
      <c r="AW438" s="111">
        <f>G438*AO438</f>
      </c>
      <c r="AX438" s="111">
        <f>G438*AP438</f>
      </c>
      <c r="AY438" s="153" t="s">
        <v>718</v>
      </c>
      <c r="AZ438" s="153" t="s">
        <v>719</v>
      </c>
      <c r="BA438" s="132" t="s">
        <v>137</v>
      </c>
      <c r="BC438" s="111">
        <f>AW438+AX438</f>
      </c>
      <c r="BD438" s="111">
        <f>H438/(100-BE438)*100</f>
      </c>
      <c r="BE438" s="111" t="n">
        <v>0</v>
      </c>
      <c r="BF438" s="111">
        <f>438</f>
      </c>
      <c r="BH438" s="111">
        <f>G438*AO438</f>
      </c>
      <c r="BI438" s="111">
        <f>G438*AP438</f>
      </c>
      <c r="BJ438" s="111">
        <f>G438*H438</f>
      </c>
      <c r="BK438" s="111"/>
      <c r="BL438" s="111" t="n">
        <v>41</v>
      </c>
      <c r="BW438" s="111" t="n">
        <v>21</v>
      </c>
      <c r="BX438" s="14" t="s">
        <v>824</v>
      </c>
    </row>
    <row r="439">
      <c r="A439" s="154"/>
      <c r="B439" s="155"/>
      <c r="C439" s="155"/>
      <c r="D439" s="156" t="s">
        <v>818</v>
      </c>
      <c r="E439" s="156" t="s">
        <v>819</v>
      </c>
      <c r="F439" s="155"/>
      <c r="G439" s="157" t="n">
        <v>197.652</v>
      </c>
      <c r="H439" s="158"/>
      <c r="I439" s="155"/>
      <c r="J439" s="155"/>
      <c r="K439" s="146"/>
    </row>
    <row r="440">
      <c r="A440" s="154"/>
      <c r="B440" s="155"/>
      <c r="C440" s="155"/>
      <c r="D440" s="156" t="s">
        <v>820</v>
      </c>
      <c r="E440" s="156" t="s">
        <v>821</v>
      </c>
      <c r="F440" s="155"/>
      <c r="G440" s="157" t="n">
        <v>98.813</v>
      </c>
      <c r="H440" s="158"/>
      <c r="I440" s="155"/>
      <c r="J440" s="155"/>
      <c r="K440" s="146"/>
    </row>
    <row r="441">
      <c r="A441" s="9" t="s">
        <v>825</v>
      </c>
      <c r="B441" s="10" t="s">
        <v>84</v>
      </c>
      <c r="C441" s="10" t="s">
        <v>826</v>
      </c>
      <c r="D441" s="14" t="s">
        <v>827</v>
      </c>
      <c r="E441" s="10"/>
      <c r="F441" s="10" t="s">
        <v>133</v>
      </c>
      <c r="G441" s="111" t="n">
        <v>5</v>
      </c>
      <c r="H441" s="152" t="n">
        <v>0</v>
      </c>
      <c r="I441" s="111">
        <f>G441*H441</f>
      </c>
      <c r="J441" s="153" t="s">
        <v>134</v>
      </c>
      <c r="K441" s="146"/>
      <c r="Z441" s="111">
        <f>IF(AQ441="5",BJ441,0)</f>
      </c>
      <c r="AB441" s="111">
        <f>IF(AQ441="1",BH441,0)</f>
      </c>
      <c r="AC441" s="111">
        <f>IF(AQ441="1",BI441,0)</f>
      </c>
      <c r="AD441" s="111">
        <f>IF(AQ441="7",BH441,0)</f>
      </c>
      <c r="AE441" s="111">
        <f>IF(AQ441="7",BI441,0)</f>
      </c>
      <c r="AF441" s="111">
        <f>IF(AQ441="2",BH441,0)</f>
      </c>
      <c r="AG441" s="111">
        <f>IF(AQ441="2",BI441,0)</f>
      </c>
      <c r="AH441" s="111">
        <f>IF(AQ441="0",BJ441,0)</f>
      </c>
      <c r="AI441" s="132" t="s">
        <v>84</v>
      </c>
      <c r="AJ441" s="111">
        <f>IF(AN441=0,I441,0)</f>
      </c>
      <c r="AK441" s="111">
        <f>IF(AN441=12,I441,0)</f>
      </c>
      <c r="AL441" s="111">
        <f>IF(AN441=21,I441,0)</f>
      </c>
      <c r="AN441" s="111" t="n">
        <v>21</v>
      </c>
      <c r="AO441" s="111">
        <f>H441*0.331085766</f>
      </c>
      <c r="AP441" s="111">
        <f>H441*(1-0.331085766)</f>
      </c>
      <c r="AQ441" s="153" t="s">
        <v>130</v>
      </c>
      <c r="AV441" s="111">
        <f>AW441+AX441</f>
      </c>
      <c r="AW441" s="111">
        <f>G441*AO441</f>
      </c>
      <c r="AX441" s="111">
        <f>G441*AP441</f>
      </c>
      <c r="AY441" s="153" t="s">
        <v>718</v>
      </c>
      <c r="AZ441" s="153" t="s">
        <v>719</v>
      </c>
      <c r="BA441" s="132" t="s">
        <v>137</v>
      </c>
      <c r="BC441" s="111">
        <f>AW441+AX441</f>
      </c>
      <c r="BD441" s="111">
        <f>H441/(100-BE441)*100</f>
      </c>
      <c r="BE441" s="111" t="n">
        <v>0</v>
      </c>
      <c r="BF441" s="111">
        <f>441</f>
      </c>
      <c r="BH441" s="111">
        <f>G441*AO441</f>
      </c>
      <c r="BI441" s="111">
        <f>G441*AP441</f>
      </c>
      <c r="BJ441" s="111">
        <f>G441*H441</f>
      </c>
      <c r="BK441" s="111"/>
      <c r="BL441" s="111" t="n">
        <v>41</v>
      </c>
      <c r="BW441" s="111" t="n">
        <v>21</v>
      </c>
      <c r="BX441" s="14" t="s">
        <v>827</v>
      </c>
    </row>
    <row r="442" customHeight="true" ht="13.5">
      <c r="A442" s="159"/>
      <c r="C442" s="160" t="s">
        <v>146</v>
      </c>
      <c r="D442" s="161" t="s">
        <v>828</v>
      </c>
      <c r="E442" s="156"/>
      <c r="F442" s="156"/>
      <c r="G442" s="156"/>
      <c r="H442" s="162"/>
      <c r="I442" s="156"/>
      <c r="J442" s="156"/>
      <c r="K442" s="163"/>
    </row>
    <row r="443">
      <c r="A443" s="154"/>
      <c r="B443" s="155"/>
      <c r="C443" s="155"/>
      <c r="D443" s="156" t="s">
        <v>140</v>
      </c>
      <c r="E443" s="156" t="s">
        <v>829</v>
      </c>
      <c r="F443" s="155"/>
      <c r="G443" s="157" t="n">
        <v>2</v>
      </c>
      <c r="H443" s="158"/>
      <c r="I443" s="155"/>
      <c r="J443" s="155"/>
      <c r="K443" s="146"/>
    </row>
    <row r="444">
      <c r="A444" s="154"/>
      <c r="B444" s="155"/>
      <c r="C444" s="155"/>
      <c r="D444" s="156" t="s">
        <v>138</v>
      </c>
      <c r="E444" s="156" t="s">
        <v>830</v>
      </c>
      <c r="F444" s="155"/>
      <c r="G444" s="157" t="n">
        <v>3</v>
      </c>
      <c r="H444" s="158"/>
      <c r="I444" s="155"/>
      <c r="J444" s="155"/>
      <c r="K444" s="146"/>
    </row>
    <row r="445">
      <c r="A445" s="9" t="s">
        <v>831</v>
      </c>
      <c r="B445" s="10" t="s">
        <v>84</v>
      </c>
      <c r="C445" s="10" t="s">
        <v>832</v>
      </c>
      <c r="D445" s="14" t="s">
        <v>833</v>
      </c>
      <c r="E445" s="10"/>
      <c r="F445" s="10" t="s">
        <v>133</v>
      </c>
      <c r="G445" s="111" t="n">
        <v>32</v>
      </c>
      <c r="H445" s="152" t="n">
        <v>0</v>
      </c>
      <c r="I445" s="111">
        <f>G445*H445</f>
      </c>
      <c r="J445" s="153" t="s">
        <v>134</v>
      </c>
      <c r="K445" s="146"/>
      <c r="Z445" s="111">
        <f>IF(AQ445="5",BJ445,0)</f>
      </c>
      <c r="AB445" s="111">
        <f>IF(AQ445="1",BH445,0)</f>
      </c>
      <c r="AC445" s="111">
        <f>IF(AQ445="1",BI445,0)</f>
      </c>
      <c r="AD445" s="111">
        <f>IF(AQ445="7",BH445,0)</f>
      </c>
      <c r="AE445" s="111">
        <f>IF(AQ445="7",BI445,0)</f>
      </c>
      <c r="AF445" s="111">
        <f>IF(AQ445="2",BH445,0)</f>
      </c>
      <c r="AG445" s="111">
        <f>IF(AQ445="2",BI445,0)</f>
      </c>
      <c r="AH445" s="111">
        <f>IF(AQ445="0",BJ445,0)</f>
      </c>
      <c r="AI445" s="132" t="s">
        <v>84</v>
      </c>
      <c r="AJ445" s="111">
        <f>IF(AN445=0,I445,0)</f>
      </c>
      <c r="AK445" s="111">
        <f>IF(AN445=12,I445,0)</f>
      </c>
      <c r="AL445" s="111">
        <f>IF(AN445=21,I445,0)</f>
      </c>
      <c r="AN445" s="111" t="n">
        <v>21</v>
      </c>
      <c r="AO445" s="111">
        <f>H445*0.237163959</f>
      </c>
      <c r="AP445" s="111">
        <f>H445*(1-0.237163959)</f>
      </c>
      <c r="AQ445" s="153" t="s">
        <v>130</v>
      </c>
      <c r="AV445" s="111">
        <f>AW445+AX445</f>
      </c>
      <c r="AW445" s="111">
        <f>G445*AO445</f>
      </c>
      <c r="AX445" s="111">
        <f>G445*AP445</f>
      </c>
      <c r="AY445" s="153" t="s">
        <v>718</v>
      </c>
      <c r="AZ445" s="153" t="s">
        <v>719</v>
      </c>
      <c r="BA445" s="132" t="s">
        <v>137</v>
      </c>
      <c r="BC445" s="111">
        <f>AW445+AX445</f>
      </c>
      <c r="BD445" s="111">
        <f>H445/(100-BE445)*100</f>
      </c>
      <c r="BE445" s="111" t="n">
        <v>0</v>
      </c>
      <c r="BF445" s="111">
        <f>445</f>
      </c>
      <c r="BH445" s="111">
        <f>G445*AO445</f>
      </c>
      <c r="BI445" s="111">
        <f>G445*AP445</f>
      </c>
      <c r="BJ445" s="111">
        <f>G445*H445</f>
      </c>
      <c r="BK445" s="111"/>
      <c r="BL445" s="111" t="n">
        <v>41</v>
      </c>
      <c r="BW445" s="111" t="n">
        <v>21</v>
      </c>
      <c r="BX445" s="14" t="s">
        <v>833</v>
      </c>
    </row>
    <row r="446" customHeight="true" ht="13.5">
      <c r="A446" s="159"/>
      <c r="C446" s="160" t="s">
        <v>146</v>
      </c>
      <c r="D446" s="161" t="s">
        <v>834</v>
      </c>
      <c r="E446" s="156"/>
      <c r="F446" s="156"/>
      <c r="G446" s="156"/>
      <c r="H446" s="162"/>
      <c r="I446" s="156"/>
      <c r="J446" s="156"/>
      <c r="K446" s="163"/>
    </row>
    <row r="447">
      <c r="A447" s="154"/>
      <c r="B447" s="155"/>
      <c r="C447" s="155"/>
      <c r="D447" s="156" t="s">
        <v>835</v>
      </c>
      <c r="E447" s="156" t="s">
        <v>836</v>
      </c>
      <c r="F447" s="155"/>
      <c r="G447" s="157" t="n">
        <v>32</v>
      </c>
      <c r="H447" s="158"/>
      <c r="I447" s="155"/>
      <c r="J447" s="155"/>
      <c r="K447" s="146"/>
    </row>
    <row r="448">
      <c r="A448" s="9" t="s">
        <v>837</v>
      </c>
      <c r="B448" s="10" t="s">
        <v>84</v>
      </c>
      <c r="C448" s="10" t="s">
        <v>832</v>
      </c>
      <c r="D448" s="14" t="s">
        <v>833</v>
      </c>
      <c r="E448" s="10"/>
      <c r="F448" s="10" t="s">
        <v>133</v>
      </c>
      <c r="G448" s="111" t="n">
        <v>17</v>
      </c>
      <c r="H448" s="152" t="n">
        <v>0</v>
      </c>
      <c r="I448" s="111">
        <f>G448*H448</f>
      </c>
      <c r="J448" s="153" t="s">
        <v>134</v>
      </c>
      <c r="K448" s="146"/>
      <c r="Z448" s="111">
        <f>IF(AQ448="5",BJ448,0)</f>
      </c>
      <c r="AB448" s="111">
        <f>IF(AQ448="1",BH448,0)</f>
      </c>
      <c r="AC448" s="111">
        <f>IF(AQ448="1",BI448,0)</f>
      </c>
      <c r="AD448" s="111">
        <f>IF(AQ448="7",BH448,0)</f>
      </c>
      <c r="AE448" s="111">
        <f>IF(AQ448="7",BI448,0)</f>
      </c>
      <c r="AF448" s="111">
        <f>IF(AQ448="2",BH448,0)</f>
      </c>
      <c r="AG448" s="111">
        <f>IF(AQ448="2",BI448,0)</f>
      </c>
      <c r="AH448" s="111">
        <f>IF(AQ448="0",BJ448,0)</f>
      </c>
      <c r="AI448" s="132" t="s">
        <v>84</v>
      </c>
      <c r="AJ448" s="111">
        <f>IF(AN448=0,I448,0)</f>
      </c>
      <c r="AK448" s="111">
        <f>IF(AN448=12,I448,0)</f>
      </c>
      <c r="AL448" s="111">
        <f>IF(AN448=21,I448,0)</f>
      </c>
      <c r="AN448" s="111" t="n">
        <v>21</v>
      </c>
      <c r="AO448" s="111">
        <f>H448*0.237163959</f>
      </c>
      <c r="AP448" s="111">
        <f>H448*(1-0.237163959)</f>
      </c>
      <c r="AQ448" s="153" t="s">
        <v>130</v>
      </c>
      <c r="AV448" s="111">
        <f>AW448+AX448</f>
      </c>
      <c r="AW448" s="111">
        <f>G448*AO448</f>
      </c>
      <c r="AX448" s="111">
        <f>G448*AP448</f>
      </c>
      <c r="AY448" s="153" t="s">
        <v>718</v>
      </c>
      <c r="AZ448" s="153" t="s">
        <v>719</v>
      </c>
      <c r="BA448" s="132" t="s">
        <v>137</v>
      </c>
      <c r="BC448" s="111">
        <f>AW448+AX448</f>
      </c>
      <c r="BD448" s="111">
        <f>H448/(100-BE448)*100</f>
      </c>
      <c r="BE448" s="111" t="n">
        <v>0</v>
      </c>
      <c r="BF448" s="111">
        <f>448</f>
      </c>
      <c r="BH448" s="111">
        <f>G448*AO448</f>
      </c>
      <c r="BI448" s="111">
        <f>G448*AP448</f>
      </c>
      <c r="BJ448" s="111">
        <f>G448*H448</f>
      </c>
      <c r="BK448" s="111"/>
      <c r="BL448" s="111" t="n">
        <v>41</v>
      </c>
      <c r="BW448" s="111" t="n">
        <v>21</v>
      </c>
      <c r="BX448" s="14" t="s">
        <v>833</v>
      </c>
    </row>
    <row r="449" customHeight="true" ht="13.5">
      <c r="A449" s="159"/>
      <c r="C449" s="160" t="s">
        <v>146</v>
      </c>
      <c r="D449" s="161" t="s">
        <v>838</v>
      </c>
      <c r="E449" s="156"/>
      <c r="F449" s="156"/>
      <c r="G449" s="156"/>
      <c r="H449" s="162"/>
      <c r="I449" s="156"/>
      <c r="J449" s="156"/>
      <c r="K449" s="163"/>
    </row>
    <row r="450">
      <c r="A450" s="154"/>
      <c r="B450" s="155"/>
      <c r="C450" s="155"/>
      <c r="D450" s="156" t="s">
        <v>839</v>
      </c>
      <c r="E450" s="156" t="s">
        <v>840</v>
      </c>
      <c r="F450" s="155"/>
      <c r="G450" s="157" t="n">
        <v>13</v>
      </c>
      <c r="H450" s="158"/>
      <c r="I450" s="155"/>
      <c r="J450" s="155"/>
      <c r="K450" s="146"/>
    </row>
    <row r="451">
      <c r="A451" s="154"/>
      <c r="B451" s="155"/>
      <c r="C451" s="155"/>
      <c r="D451" s="156" t="s">
        <v>149</v>
      </c>
      <c r="E451" s="156" t="s">
        <v>841</v>
      </c>
      <c r="F451" s="155"/>
      <c r="G451" s="157" t="n">
        <v>4</v>
      </c>
      <c r="H451" s="158"/>
      <c r="I451" s="155"/>
      <c r="J451" s="155"/>
      <c r="K451" s="146"/>
    </row>
    <row r="452">
      <c r="A452" s="9" t="s">
        <v>842</v>
      </c>
      <c r="B452" s="10" t="s">
        <v>84</v>
      </c>
      <c r="C452" s="10" t="s">
        <v>843</v>
      </c>
      <c r="D452" s="14" t="s">
        <v>844</v>
      </c>
      <c r="E452" s="10"/>
      <c r="F452" s="10" t="s">
        <v>159</v>
      </c>
      <c r="G452" s="111" t="n">
        <v>0.9125</v>
      </c>
      <c r="H452" s="152" t="n">
        <v>0</v>
      </c>
      <c r="I452" s="111">
        <f>G452*H452</f>
      </c>
      <c r="J452" s="153" t="s">
        <v>134</v>
      </c>
      <c r="K452" s="146"/>
      <c r="Z452" s="111">
        <f>IF(AQ452="5",BJ452,0)</f>
      </c>
      <c r="AB452" s="111">
        <f>IF(AQ452="1",BH452,0)</f>
      </c>
      <c r="AC452" s="111">
        <f>IF(AQ452="1",BI452,0)</f>
      </c>
      <c r="AD452" s="111">
        <f>IF(AQ452="7",BH452,0)</f>
      </c>
      <c r="AE452" s="111">
        <f>IF(AQ452="7",BI452,0)</f>
      </c>
      <c r="AF452" s="111">
        <f>IF(AQ452="2",BH452,0)</f>
      </c>
      <c r="AG452" s="111">
        <f>IF(AQ452="2",BI452,0)</f>
      </c>
      <c r="AH452" s="111">
        <f>IF(AQ452="0",BJ452,0)</f>
      </c>
      <c r="AI452" s="132" t="s">
        <v>84</v>
      </c>
      <c r="AJ452" s="111">
        <f>IF(AN452=0,I452,0)</f>
      </c>
      <c r="AK452" s="111">
        <f>IF(AN452=12,I452,0)</f>
      </c>
      <c r="AL452" s="111">
        <f>IF(AN452=21,I452,0)</f>
      </c>
      <c r="AN452" s="111" t="n">
        <v>21</v>
      </c>
      <c r="AO452" s="111">
        <f>H452*0.857664378</f>
      </c>
      <c r="AP452" s="111">
        <f>H452*(1-0.857664378)</f>
      </c>
      <c r="AQ452" s="153" t="s">
        <v>130</v>
      </c>
      <c r="AV452" s="111">
        <f>AW452+AX452</f>
      </c>
      <c r="AW452" s="111">
        <f>G452*AO452</f>
      </c>
      <c r="AX452" s="111">
        <f>G452*AP452</f>
      </c>
      <c r="AY452" s="153" t="s">
        <v>718</v>
      </c>
      <c r="AZ452" s="153" t="s">
        <v>719</v>
      </c>
      <c r="BA452" s="132" t="s">
        <v>137</v>
      </c>
      <c r="BC452" s="111">
        <f>AW452+AX452</f>
      </c>
      <c r="BD452" s="111">
        <f>H452/(100-BE452)*100</f>
      </c>
      <c r="BE452" s="111" t="n">
        <v>0</v>
      </c>
      <c r="BF452" s="111">
        <f>452</f>
      </c>
      <c r="BH452" s="111">
        <f>G452*AO452</f>
      </c>
      <c r="BI452" s="111">
        <f>G452*AP452</f>
      </c>
      <c r="BJ452" s="111">
        <f>G452*H452</f>
      </c>
      <c r="BK452" s="111"/>
      <c r="BL452" s="111" t="n">
        <v>41</v>
      </c>
      <c r="BW452" s="111" t="n">
        <v>21</v>
      </c>
      <c r="BX452" s="14" t="s">
        <v>844</v>
      </c>
    </row>
    <row r="453">
      <c r="A453" s="154"/>
      <c r="B453" s="155"/>
      <c r="C453" s="155"/>
      <c r="D453" s="156" t="s">
        <v>845</v>
      </c>
      <c r="E453" s="156" t="s">
        <v>846</v>
      </c>
      <c r="F453" s="155"/>
      <c r="G453" s="157" t="n">
        <v>0.9125</v>
      </c>
      <c r="H453" s="158"/>
      <c r="I453" s="155"/>
      <c r="J453" s="155"/>
      <c r="K453" s="146"/>
    </row>
    <row r="454">
      <c r="A454" s="9" t="s">
        <v>847</v>
      </c>
      <c r="B454" s="10" t="s">
        <v>84</v>
      </c>
      <c r="C454" s="10" t="s">
        <v>848</v>
      </c>
      <c r="D454" s="14" t="s">
        <v>849</v>
      </c>
      <c r="E454" s="10"/>
      <c r="F454" s="10" t="s">
        <v>229</v>
      </c>
      <c r="G454" s="111" t="n">
        <v>0.10406</v>
      </c>
      <c r="H454" s="152" t="n">
        <v>0</v>
      </c>
      <c r="I454" s="111">
        <f>G454*H454</f>
      </c>
      <c r="J454" s="153" t="s">
        <v>134</v>
      </c>
      <c r="K454" s="146"/>
      <c r="Z454" s="111">
        <f>IF(AQ454="5",BJ454,0)</f>
      </c>
      <c r="AB454" s="111">
        <f>IF(AQ454="1",BH454,0)</f>
      </c>
      <c r="AC454" s="111">
        <f>IF(AQ454="1",BI454,0)</f>
      </c>
      <c r="AD454" s="111">
        <f>IF(AQ454="7",BH454,0)</f>
      </c>
      <c r="AE454" s="111">
        <f>IF(AQ454="7",BI454,0)</f>
      </c>
      <c r="AF454" s="111">
        <f>IF(AQ454="2",BH454,0)</f>
      </c>
      <c r="AG454" s="111">
        <f>IF(AQ454="2",BI454,0)</f>
      </c>
      <c r="AH454" s="111">
        <f>IF(AQ454="0",BJ454,0)</f>
      </c>
      <c r="AI454" s="132" t="s">
        <v>84</v>
      </c>
      <c r="AJ454" s="111">
        <f>IF(AN454=0,I454,0)</f>
      </c>
      <c r="AK454" s="111">
        <f>IF(AN454=12,I454,0)</f>
      </c>
      <c r="AL454" s="111">
        <f>IF(AN454=21,I454,0)</f>
      </c>
      <c r="AN454" s="111" t="n">
        <v>21</v>
      </c>
      <c r="AO454" s="111">
        <f>H454*0.721519951</f>
      </c>
      <c r="AP454" s="111">
        <f>H454*(1-0.721519951)</f>
      </c>
      <c r="AQ454" s="153" t="s">
        <v>130</v>
      </c>
      <c r="AV454" s="111">
        <f>AW454+AX454</f>
      </c>
      <c r="AW454" s="111">
        <f>G454*AO454</f>
      </c>
      <c r="AX454" s="111">
        <f>G454*AP454</f>
      </c>
      <c r="AY454" s="153" t="s">
        <v>718</v>
      </c>
      <c r="AZ454" s="153" t="s">
        <v>719</v>
      </c>
      <c r="BA454" s="132" t="s">
        <v>137</v>
      </c>
      <c r="BC454" s="111">
        <f>AW454+AX454</f>
      </c>
      <c r="BD454" s="111">
        <f>H454/(100-BE454)*100</f>
      </c>
      <c r="BE454" s="111" t="n">
        <v>0</v>
      </c>
      <c r="BF454" s="111">
        <f>454</f>
      </c>
      <c r="BH454" s="111">
        <f>G454*AO454</f>
      </c>
      <c r="BI454" s="111">
        <f>G454*AP454</f>
      </c>
      <c r="BJ454" s="111">
        <f>G454*H454</f>
      </c>
      <c r="BK454" s="111"/>
      <c r="BL454" s="111" t="n">
        <v>41</v>
      </c>
      <c r="BW454" s="111" t="n">
        <v>21</v>
      </c>
      <c r="BX454" s="14" t="s">
        <v>849</v>
      </c>
    </row>
    <row r="455">
      <c r="A455" s="154"/>
      <c r="B455" s="155"/>
      <c r="C455" s="155"/>
      <c r="D455" s="156" t="s">
        <v>850</v>
      </c>
      <c r="E455" s="156" t="s">
        <v>846</v>
      </c>
      <c r="F455" s="155"/>
      <c r="G455" s="157" t="n">
        <v>0.0946</v>
      </c>
      <c r="H455" s="158"/>
      <c r="I455" s="155"/>
      <c r="J455" s="155"/>
      <c r="K455" s="146"/>
    </row>
    <row r="456">
      <c r="A456" s="154"/>
      <c r="B456" s="155"/>
      <c r="C456" s="155"/>
      <c r="D456" s="156" t="s">
        <v>851</v>
      </c>
      <c r="E456" s="156" t="s">
        <v>736</v>
      </c>
      <c r="F456" s="155"/>
      <c r="G456" s="157" t="n">
        <v>0.00946</v>
      </c>
      <c r="H456" s="158"/>
      <c r="I456" s="155"/>
      <c r="J456" s="155"/>
      <c r="K456" s="146"/>
    </row>
    <row r="457">
      <c r="A457" s="9" t="s">
        <v>852</v>
      </c>
      <c r="B457" s="10" t="s">
        <v>84</v>
      </c>
      <c r="C457" s="10" t="s">
        <v>853</v>
      </c>
      <c r="D457" s="14" t="s">
        <v>854</v>
      </c>
      <c r="E457" s="10"/>
      <c r="F457" s="10" t="s">
        <v>282</v>
      </c>
      <c r="G457" s="111" t="n">
        <v>14.6</v>
      </c>
      <c r="H457" s="152" t="n">
        <v>0</v>
      </c>
      <c r="I457" s="111">
        <f>G457*H457</f>
      </c>
      <c r="J457" s="153" t="s">
        <v>134</v>
      </c>
      <c r="K457" s="146"/>
      <c r="Z457" s="111">
        <f>IF(AQ457="5",BJ457,0)</f>
      </c>
      <c r="AB457" s="111">
        <f>IF(AQ457="1",BH457,0)</f>
      </c>
      <c r="AC457" s="111">
        <f>IF(AQ457="1",BI457,0)</f>
      </c>
      <c r="AD457" s="111">
        <f>IF(AQ457="7",BH457,0)</f>
      </c>
      <c r="AE457" s="111">
        <f>IF(AQ457="7",BI457,0)</f>
      </c>
      <c r="AF457" s="111">
        <f>IF(AQ457="2",BH457,0)</f>
      </c>
      <c r="AG457" s="111">
        <f>IF(AQ457="2",BI457,0)</f>
      </c>
      <c r="AH457" s="111">
        <f>IF(AQ457="0",BJ457,0)</f>
      </c>
      <c r="AI457" s="132" t="s">
        <v>84</v>
      </c>
      <c r="AJ457" s="111">
        <f>IF(AN457=0,I457,0)</f>
      </c>
      <c r="AK457" s="111">
        <f>IF(AN457=12,I457,0)</f>
      </c>
      <c r="AL457" s="111">
        <f>IF(AN457=21,I457,0)</f>
      </c>
      <c r="AN457" s="111" t="n">
        <v>21</v>
      </c>
      <c r="AO457" s="111">
        <f>H457*0.174137931</f>
      </c>
      <c r="AP457" s="111">
        <f>H457*(1-0.174137931)</f>
      </c>
      <c r="AQ457" s="153" t="s">
        <v>130</v>
      </c>
      <c r="AV457" s="111">
        <f>AW457+AX457</f>
      </c>
      <c r="AW457" s="111">
        <f>G457*AO457</f>
      </c>
      <c r="AX457" s="111">
        <f>G457*AP457</f>
      </c>
      <c r="AY457" s="153" t="s">
        <v>718</v>
      </c>
      <c r="AZ457" s="153" t="s">
        <v>719</v>
      </c>
      <c r="BA457" s="132" t="s">
        <v>137</v>
      </c>
      <c r="BC457" s="111">
        <f>AW457+AX457</f>
      </c>
      <c r="BD457" s="111">
        <f>H457/(100-BE457)*100</f>
      </c>
      <c r="BE457" s="111" t="n">
        <v>0</v>
      </c>
      <c r="BF457" s="111">
        <f>457</f>
      </c>
      <c r="BH457" s="111">
        <f>G457*AO457</f>
      </c>
      <c r="BI457" s="111">
        <f>G457*AP457</f>
      </c>
      <c r="BJ457" s="111">
        <f>G457*H457</f>
      </c>
      <c r="BK457" s="111"/>
      <c r="BL457" s="111" t="n">
        <v>41</v>
      </c>
      <c r="BW457" s="111" t="n">
        <v>21</v>
      </c>
      <c r="BX457" s="14" t="s">
        <v>854</v>
      </c>
    </row>
    <row r="458">
      <c r="A458" s="154"/>
      <c r="B458" s="155"/>
      <c r="C458" s="155"/>
      <c r="D458" s="156" t="s">
        <v>855</v>
      </c>
      <c r="E458" s="156" t="s">
        <v>846</v>
      </c>
      <c r="F458" s="155"/>
      <c r="G458" s="157" t="n">
        <v>14.6</v>
      </c>
      <c r="H458" s="158"/>
      <c r="I458" s="155"/>
      <c r="J458" s="155"/>
      <c r="K458" s="146"/>
    </row>
    <row r="459">
      <c r="A459" s="9" t="s">
        <v>856</v>
      </c>
      <c r="B459" s="10" t="s">
        <v>84</v>
      </c>
      <c r="C459" s="10" t="s">
        <v>857</v>
      </c>
      <c r="D459" s="14" t="s">
        <v>858</v>
      </c>
      <c r="E459" s="10"/>
      <c r="F459" s="10" t="s">
        <v>282</v>
      </c>
      <c r="G459" s="111" t="n">
        <v>14.6</v>
      </c>
      <c r="H459" s="152" t="n">
        <v>0</v>
      </c>
      <c r="I459" s="111">
        <f>G459*H459</f>
      </c>
      <c r="J459" s="153" t="s">
        <v>134</v>
      </c>
      <c r="K459" s="146"/>
      <c r="Z459" s="111">
        <f>IF(AQ459="5",BJ459,0)</f>
      </c>
      <c r="AB459" s="111">
        <f>IF(AQ459="1",BH459,0)</f>
      </c>
      <c r="AC459" s="111">
        <f>IF(AQ459="1",BI459,0)</f>
      </c>
      <c r="AD459" s="111">
        <f>IF(AQ459="7",BH459,0)</f>
      </c>
      <c r="AE459" s="111">
        <f>IF(AQ459="7",BI459,0)</f>
      </c>
      <c r="AF459" s="111">
        <f>IF(AQ459="2",BH459,0)</f>
      </c>
      <c r="AG459" s="111">
        <f>IF(AQ459="2",BI459,0)</f>
      </c>
      <c r="AH459" s="111">
        <f>IF(AQ459="0",BJ459,0)</f>
      </c>
      <c r="AI459" s="132" t="s">
        <v>84</v>
      </c>
      <c r="AJ459" s="111">
        <f>IF(AN459=0,I459,0)</f>
      </c>
      <c r="AK459" s="111">
        <f>IF(AN459=12,I459,0)</f>
      </c>
      <c r="AL459" s="111">
        <f>IF(AN459=21,I459,0)</f>
      </c>
      <c r="AN459" s="111" t="n">
        <v>21</v>
      </c>
      <c r="AO459" s="111">
        <f>H459*0</f>
      </c>
      <c r="AP459" s="111">
        <f>H459*(1-0)</f>
      </c>
      <c r="AQ459" s="153" t="s">
        <v>130</v>
      </c>
      <c r="AV459" s="111">
        <f>AW459+AX459</f>
      </c>
      <c r="AW459" s="111">
        <f>G459*AO459</f>
      </c>
      <c r="AX459" s="111">
        <f>G459*AP459</f>
      </c>
      <c r="AY459" s="153" t="s">
        <v>718</v>
      </c>
      <c r="AZ459" s="153" t="s">
        <v>719</v>
      </c>
      <c r="BA459" s="132" t="s">
        <v>137</v>
      </c>
      <c r="BC459" s="111">
        <f>AW459+AX459</f>
      </c>
      <c r="BD459" s="111">
        <f>H459/(100-BE459)*100</f>
      </c>
      <c r="BE459" s="111" t="n">
        <v>0</v>
      </c>
      <c r="BF459" s="111">
        <f>459</f>
      </c>
      <c r="BH459" s="111">
        <f>G459*AO459</f>
      </c>
      <c r="BI459" s="111">
        <f>G459*AP459</f>
      </c>
      <c r="BJ459" s="111">
        <f>G459*H459</f>
      </c>
      <c r="BK459" s="111"/>
      <c r="BL459" s="111" t="n">
        <v>41</v>
      </c>
      <c r="BW459" s="111" t="n">
        <v>21</v>
      </c>
      <c r="BX459" s="14" t="s">
        <v>858</v>
      </c>
    </row>
    <row r="460">
      <c r="A460" s="154"/>
      <c r="B460" s="155"/>
      <c r="C460" s="155"/>
      <c r="D460" s="156" t="s">
        <v>855</v>
      </c>
      <c r="E460" s="156" t="s">
        <v>846</v>
      </c>
      <c r="F460" s="155"/>
      <c r="G460" s="157" t="n">
        <v>14.6</v>
      </c>
      <c r="H460" s="158"/>
      <c r="I460" s="155"/>
      <c r="J460" s="155"/>
      <c r="K460" s="146"/>
    </row>
    <row r="461">
      <c r="A461" s="9" t="s">
        <v>859</v>
      </c>
      <c r="B461" s="10" t="s">
        <v>84</v>
      </c>
      <c r="C461" s="10" t="s">
        <v>860</v>
      </c>
      <c r="D461" s="14" t="s">
        <v>861</v>
      </c>
      <c r="E461" s="10"/>
      <c r="F461" s="10" t="s">
        <v>145</v>
      </c>
      <c r="G461" s="111" t="n">
        <v>47.1</v>
      </c>
      <c r="H461" s="152" t="n">
        <v>0</v>
      </c>
      <c r="I461" s="111">
        <f>G461*H461</f>
      </c>
      <c r="J461" s="153" t="s">
        <v>134</v>
      </c>
      <c r="K461" s="146"/>
      <c r="Z461" s="111">
        <f>IF(AQ461="5",BJ461,0)</f>
      </c>
      <c r="AB461" s="111">
        <f>IF(AQ461="1",BH461,0)</f>
      </c>
      <c r="AC461" s="111">
        <f>IF(AQ461="1",BI461,0)</f>
      </c>
      <c r="AD461" s="111">
        <f>IF(AQ461="7",BH461,0)</f>
      </c>
      <c r="AE461" s="111">
        <f>IF(AQ461="7",BI461,0)</f>
      </c>
      <c r="AF461" s="111">
        <f>IF(AQ461="2",BH461,0)</f>
      </c>
      <c r="AG461" s="111">
        <f>IF(AQ461="2",BI461,0)</f>
      </c>
      <c r="AH461" s="111">
        <f>IF(AQ461="0",BJ461,0)</f>
      </c>
      <c r="AI461" s="132" t="s">
        <v>84</v>
      </c>
      <c r="AJ461" s="111">
        <f>IF(AN461=0,I461,0)</f>
      </c>
      <c r="AK461" s="111">
        <f>IF(AN461=12,I461,0)</f>
      </c>
      <c r="AL461" s="111">
        <f>IF(AN461=21,I461,0)</f>
      </c>
      <c r="AN461" s="111" t="n">
        <v>21</v>
      </c>
      <c r="AO461" s="111">
        <f>H461*0.4222333</f>
      </c>
      <c r="AP461" s="111">
        <f>H461*(1-0.4222333)</f>
      </c>
      <c r="AQ461" s="153" t="s">
        <v>130</v>
      </c>
      <c r="AV461" s="111">
        <f>AW461+AX461</f>
      </c>
      <c r="AW461" s="111">
        <f>G461*AO461</f>
      </c>
      <c r="AX461" s="111">
        <f>G461*AP461</f>
      </c>
      <c r="AY461" s="153" t="s">
        <v>718</v>
      </c>
      <c r="AZ461" s="153" t="s">
        <v>719</v>
      </c>
      <c r="BA461" s="132" t="s">
        <v>137</v>
      </c>
      <c r="BC461" s="111">
        <f>AW461+AX461</f>
      </c>
      <c r="BD461" s="111">
        <f>H461/(100-BE461)*100</f>
      </c>
      <c r="BE461" s="111" t="n">
        <v>0</v>
      </c>
      <c r="BF461" s="111">
        <f>461</f>
      </c>
      <c r="BH461" s="111">
        <f>G461*AO461</f>
      </c>
      <c r="BI461" s="111">
        <f>G461*AP461</f>
      </c>
      <c r="BJ461" s="111">
        <f>G461*H461</f>
      </c>
      <c r="BK461" s="111"/>
      <c r="BL461" s="111" t="n">
        <v>41</v>
      </c>
      <c r="BW461" s="111" t="n">
        <v>21</v>
      </c>
      <c r="BX461" s="14" t="s">
        <v>861</v>
      </c>
    </row>
    <row r="462">
      <c r="A462" s="154"/>
      <c r="B462" s="155"/>
      <c r="C462" s="155"/>
      <c r="D462" s="156" t="s">
        <v>186</v>
      </c>
      <c r="E462" s="156" t="s">
        <v>862</v>
      </c>
      <c r="F462" s="155"/>
      <c r="G462" s="157" t="n">
        <v>10</v>
      </c>
      <c r="H462" s="158"/>
      <c r="I462" s="155"/>
      <c r="J462" s="155"/>
      <c r="K462" s="146"/>
    </row>
    <row r="463">
      <c r="A463" s="154"/>
      <c r="B463" s="155"/>
      <c r="C463" s="155"/>
      <c r="D463" s="156" t="s">
        <v>863</v>
      </c>
      <c r="E463" s="156" t="s">
        <v>864</v>
      </c>
      <c r="F463" s="155"/>
      <c r="G463" s="157" t="n">
        <v>6.5</v>
      </c>
      <c r="H463" s="158"/>
      <c r="I463" s="155"/>
      <c r="J463" s="155"/>
      <c r="K463" s="146"/>
    </row>
    <row r="464">
      <c r="A464" s="154"/>
      <c r="B464" s="155"/>
      <c r="C464" s="155"/>
      <c r="D464" s="156" t="s">
        <v>176</v>
      </c>
      <c r="E464" s="156" t="s">
        <v>566</v>
      </c>
      <c r="F464" s="155"/>
      <c r="G464" s="157" t="n">
        <v>8</v>
      </c>
      <c r="H464" s="158"/>
      <c r="I464" s="155"/>
      <c r="J464" s="155"/>
      <c r="K464" s="146"/>
    </row>
    <row r="465">
      <c r="A465" s="154"/>
      <c r="B465" s="155"/>
      <c r="C465" s="155"/>
      <c r="D465" s="156" t="s">
        <v>149</v>
      </c>
      <c r="E465" s="156" t="s">
        <v>865</v>
      </c>
      <c r="F465" s="155"/>
      <c r="G465" s="157" t="n">
        <v>4</v>
      </c>
      <c r="H465" s="158"/>
      <c r="I465" s="155"/>
      <c r="J465" s="155"/>
      <c r="K465" s="146"/>
    </row>
    <row r="466">
      <c r="A466" s="154"/>
      <c r="B466" s="155"/>
      <c r="C466" s="155"/>
      <c r="D466" s="156" t="s">
        <v>140</v>
      </c>
      <c r="E466" s="156" t="s">
        <v>866</v>
      </c>
      <c r="F466" s="155"/>
      <c r="G466" s="157" t="n">
        <v>2</v>
      </c>
      <c r="H466" s="158"/>
      <c r="I466" s="155"/>
      <c r="J466" s="155"/>
      <c r="K466" s="146"/>
    </row>
    <row r="467">
      <c r="A467" s="154"/>
      <c r="B467" s="155"/>
      <c r="C467" s="155"/>
      <c r="D467" s="156" t="s">
        <v>867</v>
      </c>
      <c r="E467" s="156" t="s">
        <v>868</v>
      </c>
      <c r="F467" s="155"/>
      <c r="G467" s="157" t="n">
        <v>1.7</v>
      </c>
      <c r="H467" s="158"/>
      <c r="I467" s="155"/>
      <c r="J467" s="155"/>
      <c r="K467" s="146"/>
    </row>
    <row r="468">
      <c r="A468" s="154"/>
      <c r="B468" s="155"/>
      <c r="C468" s="155"/>
      <c r="D468" s="156" t="s">
        <v>140</v>
      </c>
      <c r="E468" s="156" t="s">
        <v>869</v>
      </c>
      <c r="F468" s="155"/>
      <c r="G468" s="157" t="n">
        <v>2</v>
      </c>
      <c r="H468" s="158"/>
      <c r="I468" s="155"/>
      <c r="J468" s="155"/>
      <c r="K468" s="146"/>
    </row>
    <row r="469">
      <c r="A469" s="154"/>
      <c r="B469" s="155"/>
      <c r="C469" s="155"/>
      <c r="D469" s="156" t="s">
        <v>867</v>
      </c>
      <c r="E469" s="156" t="s">
        <v>870</v>
      </c>
      <c r="F469" s="155"/>
      <c r="G469" s="157" t="n">
        <v>1.7</v>
      </c>
      <c r="H469" s="158"/>
      <c r="I469" s="155"/>
      <c r="J469" s="155"/>
      <c r="K469" s="146"/>
    </row>
    <row r="470">
      <c r="A470" s="154"/>
      <c r="B470" s="155"/>
      <c r="C470" s="155"/>
      <c r="D470" s="156" t="s">
        <v>871</v>
      </c>
      <c r="E470" s="156" t="s">
        <v>872</v>
      </c>
      <c r="F470" s="155"/>
      <c r="G470" s="157" t="n">
        <v>3.6</v>
      </c>
      <c r="H470" s="158"/>
      <c r="I470" s="155"/>
      <c r="J470" s="155"/>
      <c r="K470" s="146"/>
    </row>
    <row r="471">
      <c r="A471" s="154"/>
      <c r="B471" s="155"/>
      <c r="C471" s="155"/>
      <c r="D471" s="156" t="s">
        <v>867</v>
      </c>
      <c r="E471" s="156" t="s">
        <v>873</v>
      </c>
      <c r="F471" s="155"/>
      <c r="G471" s="157" t="n">
        <v>1.7</v>
      </c>
      <c r="H471" s="158"/>
      <c r="I471" s="155"/>
      <c r="J471" s="155"/>
      <c r="K471" s="146"/>
    </row>
    <row r="472">
      <c r="A472" s="154"/>
      <c r="B472" s="155"/>
      <c r="C472" s="155"/>
      <c r="D472" s="156" t="s">
        <v>874</v>
      </c>
      <c r="E472" s="156" t="s">
        <v>875</v>
      </c>
      <c r="F472" s="155"/>
      <c r="G472" s="157" t="n">
        <v>2.1</v>
      </c>
      <c r="H472" s="158"/>
      <c r="I472" s="155"/>
      <c r="J472" s="155"/>
      <c r="K472" s="146"/>
    </row>
    <row r="473">
      <c r="A473" s="154"/>
      <c r="B473" s="155"/>
      <c r="C473" s="155"/>
      <c r="D473" s="156" t="s">
        <v>867</v>
      </c>
      <c r="E473" s="156" t="s">
        <v>876</v>
      </c>
      <c r="F473" s="155"/>
      <c r="G473" s="157" t="n">
        <v>1.7</v>
      </c>
      <c r="H473" s="158"/>
      <c r="I473" s="155"/>
      <c r="J473" s="155"/>
      <c r="K473" s="146"/>
    </row>
    <row r="474">
      <c r="A474" s="154"/>
      <c r="B474" s="155"/>
      <c r="C474" s="155"/>
      <c r="D474" s="156" t="s">
        <v>874</v>
      </c>
      <c r="E474" s="156" t="s">
        <v>877</v>
      </c>
      <c r="F474" s="155"/>
      <c r="G474" s="157" t="n">
        <v>2.1</v>
      </c>
      <c r="H474" s="158"/>
      <c r="I474" s="155"/>
      <c r="J474" s="155"/>
      <c r="K474" s="146"/>
    </row>
    <row r="475">
      <c r="A475" s="9" t="s">
        <v>878</v>
      </c>
      <c r="B475" s="10" t="s">
        <v>84</v>
      </c>
      <c r="C475" s="10" t="s">
        <v>879</v>
      </c>
      <c r="D475" s="14" t="s">
        <v>880</v>
      </c>
      <c r="E475" s="10"/>
      <c r="F475" s="10" t="s">
        <v>145</v>
      </c>
      <c r="G475" s="111" t="n">
        <v>10.8</v>
      </c>
      <c r="H475" s="152" t="n">
        <v>0</v>
      </c>
      <c r="I475" s="111">
        <f>G475*H475</f>
      </c>
      <c r="J475" s="153" t="s">
        <v>134</v>
      </c>
      <c r="K475" s="146"/>
      <c r="Z475" s="111">
        <f>IF(AQ475="5",BJ475,0)</f>
      </c>
      <c r="AB475" s="111">
        <f>IF(AQ475="1",BH475,0)</f>
      </c>
      <c r="AC475" s="111">
        <f>IF(AQ475="1",BI475,0)</f>
      </c>
      <c r="AD475" s="111">
        <f>IF(AQ475="7",BH475,0)</f>
      </c>
      <c r="AE475" s="111">
        <f>IF(AQ475="7",BI475,0)</f>
      </c>
      <c r="AF475" s="111">
        <f>IF(AQ475="2",BH475,0)</f>
      </c>
      <c r="AG475" s="111">
        <f>IF(AQ475="2",BI475,0)</f>
      </c>
      <c r="AH475" s="111">
        <f>IF(AQ475="0",BJ475,0)</f>
      </c>
      <c r="AI475" s="132" t="s">
        <v>84</v>
      </c>
      <c r="AJ475" s="111">
        <f>IF(AN475=0,I475,0)</f>
      </c>
      <c r="AK475" s="111">
        <f>IF(AN475=12,I475,0)</f>
      </c>
      <c r="AL475" s="111">
        <f>IF(AN475=21,I475,0)</f>
      </c>
      <c r="AN475" s="111" t="n">
        <v>21</v>
      </c>
      <c r="AO475" s="111">
        <f>H475*0</f>
      </c>
      <c r="AP475" s="111">
        <f>H475*(1-0)</f>
      </c>
      <c r="AQ475" s="153" t="s">
        <v>130</v>
      </c>
      <c r="AV475" s="111">
        <f>AW475+AX475</f>
      </c>
      <c r="AW475" s="111">
        <f>G475*AO475</f>
      </c>
      <c r="AX475" s="111">
        <f>G475*AP475</f>
      </c>
      <c r="AY475" s="153" t="s">
        <v>718</v>
      </c>
      <c r="AZ475" s="153" t="s">
        <v>719</v>
      </c>
      <c r="BA475" s="132" t="s">
        <v>137</v>
      </c>
      <c r="BC475" s="111">
        <f>AW475+AX475</f>
      </c>
      <c r="BD475" s="111">
        <f>H475/(100-BE475)*100</f>
      </c>
      <c r="BE475" s="111" t="n">
        <v>0</v>
      </c>
      <c r="BF475" s="111">
        <f>475</f>
      </c>
      <c r="BH475" s="111">
        <f>G475*AO475</f>
      </c>
      <c r="BI475" s="111">
        <f>G475*AP475</f>
      </c>
      <c r="BJ475" s="111">
        <f>G475*H475</f>
      </c>
      <c r="BK475" s="111"/>
      <c r="BL475" s="111" t="n">
        <v>41</v>
      </c>
      <c r="BW475" s="111" t="n">
        <v>21</v>
      </c>
      <c r="BX475" s="14" t="s">
        <v>880</v>
      </c>
    </row>
    <row r="476">
      <c r="A476" s="154"/>
      <c r="B476" s="155"/>
      <c r="C476" s="155"/>
      <c r="D476" s="156" t="s">
        <v>140</v>
      </c>
      <c r="E476" s="156" t="s">
        <v>866</v>
      </c>
      <c r="F476" s="155"/>
      <c r="G476" s="157" t="n">
        <v>2</v>
      </c>
      <c r="H476" s="158"/>
      <c r="I476" s="155"/>
      <c r="J476" s="155"/>
      <c r="K476" s="146"/>
    </row>
    <row r="477">
      <c r="A477" s="154"/>
      <c r="B477" s="155"/>
      <c r="C477" s="155"/>
      <c r="D477" s="156" t="s">
        <v>867</v>
      </c>
      <c r="E477" s="156" t="s">
        <v>868</v>
      </c>
      <c r="F477" s="155"/>
      <c r="G477" s="157" t="n">
        <v>1.7</v>
      </c>
      <c r="H477" s="158"/>
      <c r="I477" s="155"/>
      <c r="J477" s="155"/>
      <c r="K477" s="146"/>
    </row>
    <row r="478">
      <c r="A478" s="154"/>
      <c r="B478" s="155"/>
      <c r="C478" s="155"/>
      <c r="D478" s="156" t="s">
        <v>140</v>
      </c>
      <c r="E478" s="156" t="s">
        <v>869</v>
      </c>
      <c r="F478" s="155"/>
      <c r="G478" s="157" t="n">
        <v>2</v>
      </c>
      <c r="H478" s="158"/>
      <c r="I478" s="155"/>
      <c r="J478" s="155"/>
      <c r="K478" s="146"/>
    </row>
    <row r="479">
      <c r="A479" s="154"/>
      <c r="B479" s="155"/>
      <c r="C479" s="155"/>
      <c r="D479" s="156" t="s">
        <v>867</v>
      </c>
      <c r="E479" s="156" t="s">
        <v>870</v>
      </c>
      <c r="F479" s="155"/>
      <c r="G479" s="157" t="n">
        <v>1.7</v>
      </c>
      <c r="H479" s="158"/>
      <c r="I479" s="155"/>
      <c r="J479" s="155"/>
      <c r="K479" s="146"/>
    </row>
    <row r="480">
      <c r="A480" s="154"/>
      <c r="B480" s="155"/>
      <c r="C480" s="155"/>
      <c r="D480" s="156" t="s">
        <v>867</v>
      </c>
      <c r="E480" s="156" t="s">
        <v>873</v>
      </c>
      <c r="F480" s="155"/>
      <c r="G480" s="157" t="n">
        <v>1.7</v>
      </c>
      <c r="H480" s="158"/>
      <c r="I480" s="155"/>
      <c r="J480" s="155"/>
      <c r="K480" s="146"/>
    </row>
    <row r="481">
      <c r="A481" s="154"/>
      <c r="B481" s="155"/>
      <c r="C481" s="155"/>
      <c r="D481" s="156" t="s">
        <v>867</v>
      </c>
      <c r="E481" s="156" t="s">
        <v>876</v>
      </c>
      <c r="F481" s="155"/>
      <c r="G481" s="157" t="n">
        <v>1.7</v>
      </c>
      <c r="H481" s="158"/>
      <c r="I481" s="155"/>
      <c r="J481" s="155"/>
      <c r="K481" s="146"/>
    </row>
    <row r="482">
      <c r="A482" s="9" t="s">
        <v>881</v>
      </c>
      <c r="B482" s="10" t="s">
        <v>84</v>
      </c>
      <c r="C482" s="10" t="s">
        <v>882</v>
      </c>
      <c r="D482" s="14" t="s">
        <v>883</v>
      </c>
      <c r="E482" s="10"/>
      <c r="F482" s="10" t="s">
        <v>145</v>
      </c>
      <c r="G482" s="111" t="n">
        <v>11.8</v>
      </c>
      <c r="H482" s="152" t="n">
        <v>0</v>
      </c>
      <c r="I482" s="111">
        <f>G482*H482</f>
      </c>
      <c r="J482" s="153" t="s">
        <v>134</v>
      </c>
      <c r="K482" s="146"/>
      <c r="Z482" s="111">
        <f>IF(AQ482="5",BJ482,0)</f>
      </c>
      <c r="AB482" s="111">
        <f>IF(AQ482="1",BH482,0)</f>
      </c>
      <c r="AC482" s="111">
        <f>IF(AQ482="1",BI482,0)</f>
      </c>
      <c r="AD482" s="111">
        <f>IF(AQ482="7",BH482,0)</f>
      </c>
      <c r="AE482" s="111">
        <f>IF(AQ482="7",BI482,0)</f>
      </c>
      <c r="AF482" s="111">
        <f>IF(AQ482="2",BH482,0)</f>
      </c>
      <c r="AG482" s="111">
        <f>IF(AQ482="2",BI482,0)</f>
      </c>
      <c r="AH482" s="111">
        <f>IF(AQ482="0",BJ482,0)</f>
      </c>
      <c r="AI482" s="132" t="s">
        <v>84</v>
      </c>
      <c r="AJ482" s="111">
        <f>IF(AN482=0,I482,0)</f>
      </c>
      <c r="AK482" s="111">
        <f>IF(AN482=12,I482,0)</f>
      </c>
      <c r="AL482" s="111">
        <f>IF(AN482=21,I482,0)</f>
      </c>
      <c r="AN482" s="111" t="n">
        <v>21</v>
      </c>
      <c r="AO482" s="111">
        <f>H482*0</f>
      </c>
      <c r="AP482" s="111">
        <f>H482*(1-0)</f>
      </c>
      <c r="AQ482" s="153" t="s">
        <v>130</v>
      </c>
      <c r="AV482" s="111">
        <f>AW482+AX482</f>
      </c>
      <c r="AW482" s="111">
        <f>G482*AO482</f>
      </c>
      <c r="AX482" s="111">
        <f>G482*AP482</f>
      </c>
      <c r="AY482" s="153" t="s">
        <v>718</v>
      </c>
      <c r="AZ482" s="153" t="s">
        <v>719</v>
      </c>
      <c r="BA482" s="132" t="s">
        <v>137</v>
      </c>
      <c r="BC482" s="111">
        <f>AW482+AX482</f>
      </c>
      <c r="BD482" s="111">
        <f>H482/(100-BE482)*100</f>
      </c>
      <c r="BE482" s="111" t="n">
        <v>0</v>
      </c>
      <c r="BF482" s="111">
        <f>482</f>
      </c>
      <c r="BH482" s="111">
        <f>G482*AO482</f>
      </c>
      <c r="BI482" s="111">
        <f>G482*AP482</f>
      </c>
      <c r="BJ482" s="111">
        <f>G482*H482</f>
      </c>
      <c r="BK482" s="111"/>
      <c r="BL482" s="111" t="n">
        <v>41</v>
      </c>
      <c r="BW482" s="111" t="n">
        <v>21</v>
      </c>
      <c r="BX482" s="14" t="s">
        <v>883</v>
      </c>
    </row>
    <row r="483">
      <c r="A483" s="154"/>
      <c r="B483" s="155"/>
      <c r="C483" s="155"/>
      <c r="D483" s="156" t="s">
        <v>149</v>
      </c>
      <c r="E483" s="156" t="s">
        <v>865</v>
      </c>
      <c r="F483" s="155"/>
      <c r="G483" s="157" t="n">
        <v>4</v>
      </c>
      <c r="H483" s="158"/>
      <c r="I483" s="155"/>
      <c r="J483" s="155"/>
      <c r="K483" s="146"/>
    </row>
    <row r="484">
      <c r="A484" s="154"/>
      <c r="B484" s="155"/>
      <c r="C484" s="155"/>
      <c r="D484" s="156" t="s">
        <v>871</v>
      </c>
      <c r="E484" s="156" t="s">
        <v>872</v>
      </c>
      <c r="F484" s="155"/>
      <c r="G484" s="157" t="n">
        <v>3.6</v>
      </c>
      <c r="H484" s="158"/>
      <c r="I484" s="155"/>
      <c r="J484" s="155"/>
      <c r="K484" s="146"/>
    </row>
    <row r="485">
      <c r="A485" s="154"/>
      <c r="B485" s="155"/>
      <c r="C485" s="155"/>
      <c r="D485" s="156" t="s">
        <v>874</v>
      </c>
      <c r="E485" s="156" t="s">
        <v>875</v>
      </c>
      <c r="F485" s="155"/>
      <c r="G485" s="157" t="n">
        <v>2.1</v>
      </c>
      <c r="H485" s="158"/>
      <c r="I485" s="155"/>
      <c r="J485" s="155"/>
      <c r="K485" s="146"/>
    </row>
    <row r="486">
      <c r="A486" s="154"/>
      <c r="B486" s="155"/>
      <c r="C486" s="155"/>
      <c r="D486" s="156" t="s">
        <v>874</v>
      </c>
      <c r="E486" s="156" t="s">
        <v>877</v>
      </c>
      <c r="F486" s="155"/>
      <c r="G486" s="157" t="n">
        <v>2.1</v>
      </c>
      <c r="H486" s="158"/>
      <c r="I486" s="155"/>
      <c r="J486" s="155"/>
      <c r="K486" s="146"/>
    </row>
    <row r="487">
      <c r="A487" s="9" t="s">
        <v>884</v>
      </c>
      <c r="B487" s="10" t="s">
        <v>84</v>
      </c>
      <c r="C487" s="10" t="s">
        <v>885</v>
      </c>
      <c r="D487" s="14" t="s">
        <v>886</v>
      </c>
      <c r="E487" s="10"/>
      <c r="F487" s="10" t="s">
        <v>145</v>
      </c>
      <c r="G487" s="111" t="n">
        <v>24.5</v>
      </c>
      <c r="H487" s="152" t="n">
        <v>0</v>
      </c>
      <c r="I487" s="111">
        <f>G487*H487</f>
      </c>
      <c r="J487" s="153" t="s">
        <v>134</v>
      </c>
      <c r="K487" s="146"/>
      <c r="Z487" s="111">
        <f>IF(AQ487="5",BJ487,0)</f>
      </c>
      <c r="AB487" s="111">
        <f>IF(AQ487="1",BH487,0)</f>
      </c>
      <c r="AC487" s="111">
        <f>IF(AQ487="1",BI487,0)</f>
      </c>
      <c r="AD487" s="111">
        <f>IF(AQ487="7",BH487,0)</f>
      </c>
      <c r="AE487" s="111">
        <f>IF(AQ487="7",BI487,0)</f>
      </c>
      <c r="AF487" s="111">
        <f>IF(AQ487="2",BH487,0)</f>
      </c>
      <c r="AG487" s="111">
        <f>IF(AQ487="2",BI487,0)</f>
      </c>
      <c r="AH487" s="111">
        <f>IF(AQ487="0",BJ487,0)</f>
      </c>
      <c r="AI487" s="132" t="s">
        <v>84</v>
      </c>
      <c r="AJ487" s="111">
        <f>IF(AN487=0,I487,0)</f>
      </c>
      <c r="AK487" s="111">
        <f>IF(AN487=12,I487,0)</f>
      </c>
      <c r="AL487" s="111">
        <f>IF(AN487=21,I487,0)</f>
      </c>
      <c r="AN487" s="111" t="n">
        <v>21</v>
      </c>
      <c r="AO487" s="111">
        <f>H487*0</f>
      </c>
      <c r="AP487" s="111">
        <f>H487*(1-0)</f>
      </c>
      <c r="AQ487" s="153" t="s">
        <v>130</v>
      </c>
      <c r="AV487" s="111">
        <f>AW487+AX487</f>
      </c>
      <c r="AW487" s="111">
        <f>G487*AO487</f>
      </c>
      <c r="AX487" s="111">
        <f>G487*AP487</f>
      </c>
      <c r="AY487" s="153" t="s">
        <v>718</v>
      </c>
      <c r="AZ487" s="153" t="s">
        <v>719</v>
      </c>
      <c r="BA487" s="132" t="s">
        <v>137</v>
      </c>
      <c r="BC487" s="111">
        <f>AW487+AX487</f>
      </c>
      <c r="BD487" s="111">
        <f>H487/(100-BE487)*100</f>
      </c>
      <c r="BE487" s="111" t="n">
        <v>0</v>
      </c>
      <c r="BF487" s="111">
        <f>487</f>
      </c>
      <c r="BH487" s="111">
        <f>G487*AO487</f>
      </c>
      <c r="BI487" s="111">
        <f>G487*AP487</f>
      </c>
      <c r="BJ487" s="111">
        <f>G487*H487</f>
      </c>
      <c r="BK487" s="111"/>
      <c r="BL487" s="111" t="n">
        <v>41</v>
      </c>
      <c r="BW487" s="111" t="n">
        <v>21</v>
      </c>
      <c r="BX487" s="14" t="s">
        <v>886</v>
      </c>
    </row>
    <row r="488">
      <c r="A488" s="154"/>
      <c r="B488" s="155"/>
      <c r="C488" s="155"/>
      <c r="D488" s="156" t="s">
        <v>186</v>
      </c>
      <c r="E488" s="156" t="s">
        <v>862</v>
      </c>
      <c r="F488" s="155"/>
      <c r="G488" s="157" t="n">
        <v>10</v>
      </c>
      <c r="H488" s="158"/>
      <c r="I488" s="155"/>
      <c r="J488" s="155"/>
      <c r="K488" s="146"/>
    </row>
    <row r="489">
      <c r="A489" s="154"/>
      <c r="B489" s="155"/>
      <c r="C489" s="155"/>
      <c r="D489" s="156" t="s">
        <v>863</v>
      </c>
      <c r="E489" s="156" t="s">
        <v>864</v>
      </c>
      <c r="F489" s="155"/>
      <c r="G489" s="157" t="n">
        <v>6.5</v>
      </c>
      <c r="H489" s="158"/>
      <c r="I489" s="155"/>
      <c r="J489" s="155"/>
      <c r="K489" s="146"/>
    </row>
    <row r="490">
      <c r="A490" s="154"/>
      <c r="B490" s="155"/>
      <c r="C490" s="155"/>
      <c r="D490" s="156" t="s">
        <v>176</v>
      </c>
      <c r="E490" s="156" t="s">
        <v>566</v>
      </c>
      <c r="F490" s="155"/>
      <c r="G490" s="157" t="n">
        <v>8</v>
      </c>
      <c r="H490" s="158"/>
      <c r="I490" s="155"/>
      <c r="J490" s="155"/>
      <c r="K490" s="146"/>
    </row>
    <row r="491">
      <c r="A491" s="9" t="s">
        <v>887</v>
      </c>
      <c r="B491" s="10" t="s">
        <v>84</v>
      </c>
      <c r="C491" s="10" t="s">
        <v>888</v>
      </c>
      <c r="D491" s="14" t="s">
        <v>889</v>
      </c>
      <c r="E491" s="10"/>
      <c r="F491" s="10" t="s">
        <v>145</v>
      </c>
      <c r="G491" s="111" t="n">
        <v>89.1</v>
      </c>
      <c r="H491" s="152" t="n">
        <v>0</v>
      </c>
      <c r="I491" s="111">
        <f>G491*H491</f>
      </c>
      <c r="J491" s="153" t="s">
        <v>134</v>
      </c>
      <c r="K491" s="146"/>
      <c r="Z491" s="111">
        <f>IF(AQ491="5",BJ491,0)</f>
      </c>
      <c r="AB491" s="111">
        <f>IF(AQ491="1",BH491,0)</f>
      </c>
      <c r="AC491" s="111">
        <f>IF(AQ491="1",BI491,0)</f>
      </c>
      <c r="AD491" s="111">
        <f>IF(AQ491="7",BH491,0)</f>
      </c>
      <c r="AE491" s="111">
        <f>IF(AQ491="7",BI491,0)</f>
      </c>
      <c r="AF491" s="111">
        <f>IF(AQ491="2",BH491,0)</f>
      </c>
      <c r="AG491" s="111">
        <f>IF(AQ491="2",BI491,0)</f>
      </c>
      <c r="AH491" s="111">
        <f>IF(AQ491="0",BJ491,0)</f>
      </c>
      <c r="AI491" s="132" t="s">
        <v>84</v>
      </c>
      <c r="AJ491" s="111">
        <f>IF(AN491=0,I491,0)</f>
      </c>
      <c r="AK491" s="111">
        <f>IF(AN491=12,I491,0)</f>
      </c>
      <c r="AL491" s="111">
        <f>IF(AN491=21,I491,0)</f>
      </c>
      <c r="AN491" s="111" t="n">
        <v>21</v>
      </c>
      <c r="AO491" s="111">
        <f>H491*0.808688946</f>
      </c>
      <c r="AP491" s="111">
        <f>H491*(1-0.808688946)</f>
      </c>
      <c r="AQ491" s="153" t="s">
        <v>130</v>
      </c>
      <c r="AV491" s="111">
        <f>AW491+AX491</f>
      </c>
      <c r="AW491" s="111">
        <f>G491*AO491</f>
      </c>
      <c r="AX491" s="111">
        <f>G491*AP491</f>
      </c>
      <c r="AY491" s="153" t="s">
        <v>718</v>
      </c>
      <c r="AZ491" s="153" t="s">
        <v>719</v>
      </c>
      <c r="BA491" s="132" t="s">
        <v>137</v>
      </c>
      <c r="BC491" s="111">
        <f>AW491+AX491</f>
      </c>
      <c r="BD491" s="111">
        <f>H491/(100-BE491)*100</f>
      </c>
      <c r="BE491" s="111" t="n">
        <v>0</v>
      </c>
      <c r="BF491" s="111">
        <f>491</f>
      </c>
      <c r="BH491" s="111">
        <f>G491*AO491</f>
      </c>
      <c r="BI491" s="111">
        <f>G491*AP491</f>
      </c>
      <c r="BJ491" s="111">
        <f>G491*H491</f>
      </c>
      <c r="BK491" s="111"/>
      <c r="BL491" s="111" t="n">
        <v>41</v>
      </c>
      <c r="BW491" s="111" t="n">
        <v>21</v>
      </c>
      <c r="BX491" s="14" t="s">
        <v>889</v>
      </c>
    </row>
    <row r="492" customHeight="true" ht="13.5">
      <c r="A492" s="159"/>
      <c r="C492" s="160" t="s">
        <v>146</v>
      </c>
      <c r="D492" s="161" t="s">
        <v>890</v>
      </c>
      <c r="E492" s="156"/>
      <c r="F492" s="156"/>
      <c r="G492" s="156"/>
      <c r="H492" s="162"/>
      <c r="I492" s="156"/>
      <c r="J492" s="156"/>
      <c r="K492" s="163"/>
    </row>
    <row r="493">
      <c r="A493" s="154"/>
      <c r="B493" s="155"/>
      <c r="C493" s="155"/>
      <c r="D493" s="156" t="s">
        <v>4</v>
      </c>
      <c r="E493" s="156" t="s">
        <v>891</v>
      </c>
      <c r="F493" s="155"/>
      <c r="G493" s="157" t="n">
        <v>0</v>
      </c>
      <c r="H493" s="158"/>
      <c r="I493" s="155"/>
      <c r="J493" s="155"/>
      <c r="K493" s="146"/>
    </row>
    <row r="494">
      <c r="A494" s="154"/>
      <c r="B494" s="155"/>
      <c r="C494" s="155"/>
      <c r="D494" s="156" t="s">
        <v>892</v>
      </c>
      <c r="E494" s="156" t="s">
        <v>893</v>
      </c>
      <c r="F494" s="155"/>
      <c r="G494" s="157" t="n">
        <v>89.1</v>
      </c>
      <c r="H494" s="158"/>
      <c r="I494" s="155"/>
      <c r="J494" s="155"/>
      <c r="K494" s="146"/>
    </row>
    <row r="495">
      <c r="A495" s="9" t="s">
        <v>894</v>
      </c>
      <c r="B495" s="10" t="s">
        <v>84</v>
      </c>
      <c r="C495" s="10" t="s">
        <v>895</v>
      </c>
      <c r="D495" s="14" t="s">
        <v>896</v>
      </c>
      <c r="E495" s="10"/>
      <c r="F495" s="10" t="s">
        <v>133</v>
      </c>
      <c r="G495" s="111" t="n">
        <v>8</v>
      </c>
      <c r="H495" s="152" t="n">
        <v>0</v>
      </c>
      <c r="I495" s="111">
        <f>G495*H495</f>
      </c>
      <c r="J495" s="153" t="s">
        <v>134</v>
      </c>
      <c r="K495" s="146"/>
      <c r="Z495" s="111">
        <f>IF(AQ495="5",BJ495,0)</f>
      </c>
      <c r="AB495" s="111">
        <f>IF(AQ495="1",BH495,0)</f>
      </c>
      <c r="AC495" s="111">
        <f>IF(AQ495="1",BI495,0)</f>
      </c>
      <c r="AD495" s="111">
        <f>IF(AQ495="7",BH495,0)</f>
      </c>
      <c r="AE495" s="111">
        <f>IF(AQ495="7",BI495,0)</f>
      </c>
      <c r="AF495" s="111">
        <f>IF(AQ495="2",BH495,0)</f>
      </c>
      <c r="AG495" s="111">
        <f>IF(AQ495="2",BI495,0)</f>
      </c>
      <c r="AH495" s="111">
        <f>IF(AQ495="0",BJ495,0)</f>
      </c>
      <c r="AI495" s="132" t="s">
        <v>84</v>
      </c>
      <c r="AJ495" s="111">
        <f>IF(AN495=0,I495,0)</f>
      </c>
      <c r="AK495" s="111">
        <f>IF(AN495=12,I495,0)</f>
      </c>
      <c r="AL495" s="111">
        <f>IF(AN495=21,I495,0)</f>
      </c>
      <c r="AN495" s="111" t="n">
        <v>21</v>
      </c>
      <c r="AO495" s="111">
        <f>H495*0.357566462</f>
      </c>
      <c r="AP495" s="111">
        <f>H495*(1-0.357566462)</f>
      </c>
      <c r="AQ495" s="153" t="s">
        <v>130</v>
      </c>
      <c r="AV495" s="111">
        <f>AW495+AX495</f>
      </c>
      <c r="AW495" s="111">
        <f>G495*AO495</f>
      </c>
      <c r="AX495" s="111">
        <f>G495*AP495</f>
      </c>
      <c r="AY495" s="153" t="s">
        <v>718</v>
      </c>
      <c r="AZ495" s="153" t="s">
        <v>719</v>
      </c>
      <c r="BA495" s="132" t="s">
        <v>137</v>
      </c>
      <c r="BC495" s="111">
        <f>AW495+AX495</f>
      </c>
      <c r="BD495" s="111">
        <f>H495/(100-BE495)*100</f>
      </c>
      <c r="BE495" s="111" t="n">
        <v>0</v>
      </c>
      <c r="BF495" s="111">
        <f>495</f>
      </c>
      <c r="BH495" s="111">
        <f>G495*AO495</f>
      </c>
      <c r="BI495" s="111">
        <f>G495*AP495</f>
      </c>
      <c r="BJ495" s="111">
        <f>G495*H495</f>
      </c>
      <c r="BK495" s="111"/>
      <c r="BL495" s="111" t="n">
        <v>41</v>
      </c>
      <c r="BW495" s="111" t="n">
        <v>21</v>
      </c>
      <c r="BX495" s="14" t="s">
        <v>896</v>
      </c>
    </row>
    <row r="496" customHeight="true" ht="13.5">
      <c r="A496" s="159"/>
      <c r="C496" s="160" t="s">
        <v>146</v>
      </c>
      <c r="D496" s="161" t="s">
        <v>897</v>
      </c>
      <c r="E496" s="156"/>
      <c r="F496" s="156"/>
      <c r="G496" s="156"/>
      <c r="H496" s="162"/>
      <c r="I496" s="156"/>
      <c r="J496" s="156"/>
      <c r="K496" s="163"/>
    </row>
    <row r="497">
      <c r="A497" s="154"/>
      <c r="B497" s="155"/>
      <c r="C497" s="155"/>
      <c r="D497" s="156" t="s">
        <v>176</v>
      </c>
      <c r="E497" s="156" t="s">
        <v>898</v>
      </c>
      <c r="F497" s="155"/>
      <c r="G497" s="157" t="n">
        <v>8</v>
      </c>
      <c r="H497" s="158"/>
      <c r="I497" s="155"/>
      <c r="J497" s="155"/>
      <c r="K497" s="146"/>
    </row>
    <row r="498">
      <c r="A498" s="9" t="s">
        <v>899</v>
      </c>
      <c r="B498" s="10" t="s">
        <v>84</v>
      </c>
      <c r="C498" s="10" t="s">
        <v>900</v>
      </c>
      <c r="D498" s="14" t="s">
        <v>901</v>
      </c>
      <c r="E498" s="10"/>
      <c r="F498" s="10" t="s">
        <v>282</v>
      </c>
      <c r="G498" s="111" t="n">
        <v>96.24</v>
      </c>
      <c r="H498" s="152" t="n">
        <v>0</v>
      </c>
      <c r="I498" s="111">
        <f>G498*H498</f>
      </c>
      <c r="J498" s="153" t="s">
        <v>134</v>
      </c>
      <c r="K498" s="146"/>
      <c r="Z498" s="111">
        <f>IF(AQ498="5",BJ498,0)</f>
      </c>
      <c r="AB498" s="111">
        <f>IF(AQ498="1",BH498,0)</f>
      </c>
      <c r="AC498" s="111">
        <f>IF(AQ498="1",BI498,0)</f>
      </c>
      <c r="AD498" s="111">
        <f>IF(AQ498="7",BH498,0)</f>
      </c>
      <c r="AE498" s="111">
        <f>IF(AQ498="7",BI498,0)</f>
      </c>
      <c r="AF498" s="111">
        <f>IF(AQ498="2",BH498,0)</f>
      </c>
      <c r="AG498" s="111">
        <f>IF(AQ498="2",BI498,0)</f>
      </c>
      <c r="AH498" s="111">
        <f>IF(AQ498="0",BJ498,0)</f>
      </c>
      <c r="AI498" s="132" t="s">
        <v>84</v>
      </c>
      <c r="AJ498" s="111">
        <f>IF(AN498=0,I498,0)</f>
      </c>
      <c r="AK498" s="111">
        <f>IF(AN498=12,I498,0)</f>
      </c>
      <c r="AL498" s="111">
        <f>IF(AN498=21,I498,0)</f>
      </c>
      <c r="AN498" s="111" t="n">
        <v>21</v>
      </c>
      <c r="AO498" s="111">
        <f>H498*0.407386536</f>
      </c>
      <c r="AP498" s="111">
        <f>H498*(1-0.407386536)</f>
      </c>
      <c r="AQ498" s="153" t="s">
        <v>130</v>
      </c>
      <c r="AV498" s="111">
        <f>AW498+AX498</f>
      </c>
      <c r="AW498" s="111">
        <f>G498*AO498</f>
      </c>
      <c r="AX498" s="111">
        <f>G498*AP498</f>
      </c>
      <c r="AY498" s="153" t="s">
        <v>718</v>
      </c>
      <c r="AZ498" s="153" t="s">
        <v>719</v>
      </c>
      <c r="BA498" s="132" t="s">
        <v>137</v>
      </c>
      <c r="BC498" s="111">
        <f>AW498+AX498</f>
      </c>
      <c r="BD498" s="111">
        <f>H498/(100-BE498)*100</f>
      </c>
      <c r="BE498" s="111" t="n">
        <v>0</v>
      </c>
      <c r="BF498" s="111">
        <f>498</f>
      </c>
      <c r="BH498" s="111">
        <f>G498*AO498</f>
      </c>
      <c r="BI498" s="111">
        <f>G498*AP498</f>
      </c>
      <c r="BJ498" s="111">
        <f>G498*H498</f>
      </c>
      <c r="BK498" s="111"/>
      <c r="BL498" s="111" t="n">
        <v>41</v>
      </c>
      <c r="BW498" s="111" t="n">
        <v>21</v>
      </c>
      <c r="BX498" s="14" t="s">
        <v>901</v>
      </c>
    </row>
    <row r="499" customHeight="true" ht="13.5">
      <c r="A499" s="159"/>
      <c r="C499" s="160" t="s">
        <v>146</v>
      </c>
      <c r="D499" s="161" t="s">
        <v>902</v>
      </c>
      <c r="E499" s="156"/>
      <c r="F499" s="156"/>
      <c r="G499" s="156"/>
      <c r="H499" s="162"/>
      <c r="I499" s="156"/>
      <c r="J499" s="156"/>
      <c r="K499" s="163"/>
    </row>
    <row r="500">
      <c r="A500" s="154"/>
      <c r="B500" s="155"/>
      <c r="C500" s="155"/>
      <c r="D500" s="156" t="s">
        <v>4</v>
      </c>
      <c r="E500" s="156" t="s">
        <v>903</v>
      </c>
      <c r="F500" s="155"/>
      <c r="G500" s="157" t="n">
        <v>0</v>
      </c>
      <c r="H500" s="158"/>
      <c r="I500" s="155"/>
      <c r="J500" s="155"/>
      <c r="K500" s="146"/>
    </row>
    <row r="501">
      <c r="A501" s="154"/>
      <c r="B501" s="155"/>
      <c r="C501" s="155"/>
      <c r="D501" s="156" t="s">
        <v>693</v>
      </c>
      <c r="E501" s="156" t="s">
        <v>679</v>
      </c>
      <c r="F501" s="155"/>
      <c r="G501" s="157" t="n">
        <v>8.47</v>
      </c>
      <c r="H501" s="158"/>
      <c r="I501" s="155"/>
      <c r="J501" s="155"/>
      <c r="K501" s="146"/>
    </row>
    <row r="502">
      <c r="A502" s="154"/>
      <c r="B502" s="155"/>
      <c r="C502" s="155"/>
      <c r="D502" s="156" t="s">
        <v>694</v>
      </c>
      <c r="E502" s="156" t="s">
        <v>681</v>
      </c>
      <c r="F502" s="155"/>
      <c r="G502" s="157" t="n">
        <v>4.22</v>
      </c>
      <c r="H502" s="158"/>
      <c r="I502" s="155"/>
      <c r="J502" s="155"/>
      <c r="K502" s="146"/>
    </row>
    <row r="503">
      <c r="A503" s="154"/>
      <c r="B503" s="155"/>
      <c r="C503" s="155"/>
      <c r="D503" s="156" t="s">
        <v>695</v>
      </c>
      <c r="E503" s="156" t="s">
        <v>683</v>
      </c>
      <c r="F503" s="155"/>
      <c r="G503" s="157" t="n">
        <v>13.27</v>
      </c>
      <c r="H503" s="158"/>
      <c r="I503" s="155"/>
      <c r="J503" s="155"/>
      <c r="K503" s="146"/>
    </row>
    <row r="504">
      <c r="A504" s="154"/>
      <c r="B504" s="155"/>
      <c r="C504" s="155"/>
      <c r="D504" s="156" t="s">
        <v>696</v>
      </c>
      <c r="E504" s="156" t="s">
        <v>685</v>
      </c>
      <c r="F504" s="155"/>
      <c r="G504" s="157" t="n">
        <v>35.63</v>
      </c>
      <c r="H504" s="158"/>
      <c r="I504" s="155"/>
      <c r="J504" s="155"/>
      <c r="K504" s="146"/>
    </row>
    <row r="505">
      <c r="A505" s="154"/>
      <c r="B505" s="155"/>
      <c r="C505" s="155"/>
      <c r="D505" s="156" t="s">
        <v>697</v>
      </c>
      <c r="E505" s="156" t="s">
        <v>687</v>
      </c>
      <c r="F505" s="155"/>
      <c r="G505" s="157" t="n">
        <v>34.65</v>
      </c>
      <c r="H505" s="158"/>
      <c r="I505" s="155"/>
      <c r="J505" s="155"/>
      <c r="K505" s="146"/>
    </row>
    <row r="506">
      <c r="A506" s="9" t="s">
        <v>904</v>
      </c>
      <c r="B506" s="10" t="s">
        <v>84</v>
      </c>
      <c r="C506" s="10" t="s">
        <v>905</v>
      </c>
      <c r="D506" s="14" t="s">
        <v>906</v>
      </c>
      <c r="E506" s="10"/>
      <c r="F506" s="10" t="s">
        <v>145</v>
      </c>
      <c r="G506" s="111" t="n">
        <v>10</v>
      </c>
      <c r="H506" s="152" t="n">
        <v>0</v>
      </c>
      <c r="I506" s="111">
        <f>G506*H506</f>
      </c>
      <c r="J506" s="153" t="s">
        <v>134</v>
      </c>
      <c r="K506" s="146"/>
      <c r="Z506" s="111">
        <f>IF(AQ506="5",BJ506,0)</f>
      </c>
      <c r="AB506" s="111">
        <f>IF(AQ506="1",BH506,0)</f>
      </c>
      <c r="AC506" s="111">
        <f>IF(AQ506="1",BI506,0)</f>
      </c>
      <c r="AD506" s="111">
        <f>IF(AQ506="7",BH506,0)</f>
      </c>
      <c r="AE506" s="111">
        <f>IF(AQ506="7",BI506,0)</f>
      </c>
      <c r="AF506" s="111">
        <f>IF(AQ506="2",BH506,0)</f>
      </c>
      <c r="AG506" s="111">
        <f>IF(AQ506="2",BI506,0)</f>
      </c>
      <c r="AH506" s="111">
        <f>IF(AQ506="0",BJ506,0)</f>
      </c>
      <c r="AI506" s="132" t="s">
        <v>84</v>
      </c>
      <c r="AJ506" s="111">
        <f>IF(AN506=0,I506,0)</f>
      </c>
      <c r="AK506" s="111">
        <f>IF(AN506=12,I506,0)</f>
      </c>
      <c r="AL506" s="111">
        <f>IF(AN506=21,I506,0)</f>
      </c>
      <c r="AN506" s="111" t="n">
        <v>21</v>
      </c>
      <c r="AO506" s="111">
        <f>H506*0.932798663</f>
      </c>
      <c r="AP506" s="111">
        <f>H506*(1-0.932798663)</f>
      </c>
      <c r="AQ506" s="153" t="s">
        <v>130</v>
      </c>
      <c r="AV506" s="111">
        <f>AW506+AX506</f>
      </c>
      <c r="AW506" s="111">
        <f>G506*AO506</f>
      </c>
      <c r="AX506" s="111">
        <f>G506*AP506</f>
      </c>
      <c r="AY506" s="153" t="s">
        <v>718</v>
      </c>
      <c r="AZ506" s="153" t="s">
        <v>719</v>
      </c>
      <c r="BA506" s="132" t="s">
        <v>137</v>
      </c>
      <c r="BC506" s="111">
        <f>AW506+AX506</f>
      </c>
      <c r="BD506" s="111">
        <f>H506/(100-BE506)*100</f>
      </c>
      <c r="BE506" s="111" t="n">
        <v>0</v>
      </c>
      <c r="BF506" s="111">
        <f>506</f>
      </c>
      <c r="BH506" s="111">
        <f>G506*AO506</f>
      </c>
      <c r="BI506" s="111">
        <f>G506*AP506</f>
      </c>
      <c r="BJ506" s="111">
        <f>G506*H506</f>
      </c>
      <c r="BK506" s="111"/>
      <c r="BL506" s="111" t="n">
        <v>41</v>
      </c>
      <c r="BW506" s="111" t="n">
        <v>21</v>
      </c>
      <c r="BX506" s="14" t="s">
        <v>906</v>
      </c>
    </row>
    <row r="507">
      <c r="A507" s="154"/>
      <c r="B507" s="155"/>
      <c r="C507" s="155"/>
      <c r="D507" s="156" t="s">
        <v>186</v>
      </c>
      <c r="E507" s="156" t="s">
        <v>907</v>
      </c>
      <c r="F507" s="155"/>
      <c r="G507" s="157" t="n">
        <v>10</v>
      </c>
      <c r="H507" s="158"/>
      <c r="I507" s="155"/>
      <c r="J507" s="155"/>
      <c r="K507" s="146"/>
    </row>
    <row r="508">
      <c r="A508" s="9" t="s">
        <v>908</v>
      </c>
      <c r="B508" s="10" t="s">
        <v>84</v>
      </c>
      <c r="C508" s="10" t="s">
        <v>909</v>
      </c>
      <c r="D508" s="14" t="s">
        <v>910</v>
      </c>
      <c r="E508" s="10"/>
      <c r="F508" s="10" t="s">
        <v>159</v>
      </c>
      <c r="G508" s="111" t="n">
        <v>1.3</v>
      </c>
      <c r="H508" s="152" t="n">
        <v>0</v>
      </c>
      <c r="I508" s="111">
        <f>G508*H508</f>
      </c>
      <c r="J508" s="153" t="s">
        <v>134</v>
      </c>
      <c r="K508" s="146"/>
      <c r="Z508" s="111">
        <f>IF(AQ508="5",BJ508,0)</f>
      </c>
      <c r="AB508" s="111">
        <f>IF(AQ508="1",BH508,0)</f>
      </c>
      <c r="AC508" s="111">
        <f>IF(AQ508="1",BI508,0)</f>
      </c>
      <c r="AD508" s="111">
        <f>IF(AQ508="7",BH508,0)</f>
      </c>
      <c r="AE508" s="111">
        <f>IF(AQ508="7",BI508,0)</f>
      </c>
      <c r="AF508" s="111">
        <f>IF(AQ508="2",BH508,0)</f>
      </c>
      <c r="AG508" s="111">
        <f>IF(AQ508="2",BI508,0)</f>
      </c>
      <c r="AH508" s="111">
        <f>IF(AQ508="0",BJ508,0)</f>
      </c>
      <c r="AI508" s="132" t="s">
        <v>84</v>
      </c>
      <c r="AJ508" s="111">
        <f>IF(AN508=0,I508,0)</f>
      </c>
      <c r="AK508" s="111">
        <f>IF(AN508=12,I508,0)</f>
      </c>
      <c r="AL508" s="111">
        <f>IF(AN508=21,I508,0)</f>
      </c>
      <c r="AN508" s="111" t="n">
        <v>21</v>
      </c>
      <c r="AO508" s="111">
        <f>H508*0.881729391</f>
      </c>
      <c r="AP508" s="111">
        <f>H508*(1-0.881729391)</f>
      </c>
      <c r="AQ508" s="153" t="s">
        <v>130</v>
      </c>
      <c r="AV508" s="111">
        <f>AW508+AX508</f>
      </c>
      <c r="AW508" s="111">
        <f>G508*AO508</f>
      </c>
      <c r="AX508" s="111">
        <f>G508*AP508</f>
      </c>
      <c r="AY508" s="153" t="s">
        <v>718</v>
      </c>
      <c r="AZ508" s="153" t="s">
        <v>719</v>
      </c>
      <c r="BA508" s="132" t="s">
        <v>137</v>
      </c>
      <c r="BC508" s="111">
        <f>AW508+AX508</f>
      </c>
      <c r="BD508" s="111">
        <f>H508/(100-BE508)*100</f>
      </c>
      <c r="BE508" s="111" t="n">
        <v>0</v>
      </c>
      <c r="BF508" s="111">
        <f>508</f>
      </c>
      <c r="BH508" s="111">
        <f>G508*AO508</f>
      </c>
      <c r="BI508" s="111">
        <f>G508*AP508</f>
      </c>
      <c r="BJ508" s="111">
        <f>G508*H508</f>
      </c>
      <c r="BK508" s="111"/>
      <c r="BL508" s="111" t="n">
        <v>41</v>
      </c>
      <c r="BW508" s="111" t="n">
        <v>21</v>
      </c>
      <c r="BX508" s="14" t="s">
        <v>910</v>
      </c>
    </row>
    <row r="509" customHeight="true" ht="13.5">
      <c r="A509" s="159"/>
      <c r="C509" s="160" t="s">
        <v>146</v>
      </c>
      <c r="D509" s="161" t="s">
        <v>911</v>
      </c>
      <c r="E509" s="156"/>
      <c r="F509" s="156"/>
      <c r="G509" s="156"/>
      <c r="H509" s="162"/>
      <c r="I509" s="156"/>
      <c r="J509" s="156"/>
      <c r="K509" s="163"/>
    </row>
    <row r="510">
      <c r="A510" s="154"/>
      <c r="B510" s="155"/>
      <c r="C510" s="155"/>
      <c r="D510" s="156" t="s">
        <v>912</v>
      </c>
      <c r="E510" s="156" t="s">
        <v>913</v>
      </c>
      <c r="F510" s="155"/>
      <c r="G510" s="157" t="n">
        <v>1.3</v>
      </c>
      <c r="H510" s="158"/>
      <c r="I510" s="155"/>
      <c r="J510" s="155"/>
      <c r="K510" s="146"/>
    </row>
    <row r="511">
      <c r="A511" s="9" t="s">
        <v>914</v>
      </c>
      <c r="B511" s="10" t="s">
        <v>84</v>
      </c>
      <c r="C511" s="10" t="s">
        <v>915</v>
      </c>
      <c r="D511" s="14" t="s">
        <v>916</v>
      </c>
      <c r="E511" s="10"/>
      <c r="F511" s="10" t="s">
        <v>145</v>
      </c>
      <c r="G511" s="111" t="n">
        <v>10</v>
      </c>
      <c r="H511" s="152" t="n">
        <v>0</v>
      </c>
      <c r="I511" s="111">
        <f>G511*H511</f>
      </c>
      <c r="J511" s="153" t="s">
        <v>134</v>
      </c>
      <c r="K511" s="146"/>
      <c r="Z511" s="111">
        <f>IF(AQ511="5",BJ511,0)</f>
      </c>
      <c r="AB511" s="111">
        <f>IF(AQ511="1",BH511,0)</f>
      </c>
      <c r="AC511" s="111">
        <f>IF(AQ511="1",BI511,0)</f>
      </c>
      <c r="AD511" s="111">
        <f>IF(AQ511="7",BH511,0)</f>
      </c>
      <c r="AE511" s="111">
        <f>IF(AQ511="7",BI511,0)</f>
      </c>
      <c r="AF511" s="111">
        <f>IF(AQ511="2",BH511,0)</f>
      </c>
      <c r="AG511" s="111">
        <f>IF(AQ511="2",BI511,0)</f>
      </c>
      <c r="AH511" s="111">
        <f>IF(AQ511="0",BJ511,0)</f>
      </c>
      <c r="AI511" s="132" t="s">
        <v>84</v>
      </c>
      <c r="AJ511" s="111">
        <f>IF(AN511=0,I511,0)</f>
      </c>
      <c r="AK511" s="111">
        <f>IF(AN511=12,I511,0)</f>
      </c>
      <c r="AL511" s="111">
        <f>IF(AN511=21,I511,0)</f>
      </c>
      <c r="AN511" s="111" t="n">
        <v>21</v>
      </c>
      <c r="AO511" s="111">
        <f>H511*0.128730903</f>
      </c>
      <c r="AP511" s="111">
        <f>H511*(1-0.128730903)</f>
      </c>
      <c r="AQ511" s="153" t="s">
        <v>130</v>
      </c>
      <c r="AV511" s="111">
        <f>AW511+AX511</f>
      </c>
      <c r="AW511" s="111">
        <f>G511*AO511</f>
      </c>
      <c r="AX511" s="111">
        <f>G511*AP511</f>
      </c>
      <c r="AY511" s="153" t="s">
        <v>718</v>
      </c>
      <c r="AZ511" s="153" t="s">
        <v>719</v>
      </c>
      <c r="BA511" s="132" t="s">
        <v>137</v>
      </c>
      <c r="BC511" s="111">
        <f>AW511+AX511</f>
      </c>
      <c r="BD511" s="111">
        <f>H511/(100-BE511)*100</f>
      </c>
      <c r="BE511" s="111" t="n">
        <v>0</v>
      </c>
      <c r="BF511" s="111">
        <f>511</f>
      </c>
      <c r="BH511" s="111">
        <f>G511*AO511</f>
      </c>
      <c r="BI511" s="111">
        <f>G511*AP511</f>
      </c>
      <c r="BJ511" s="111">
        <f>G511*H511</f>
      </c>
      <c r="BK511" s="111"/>
      <c r="BL511" s="111" t="n">
        <v>41</v>
      </c>
      <c r="BW511" s="111" t="n">
        <v>21</v>
      </c>
      <c r="BX511" s="14" t="s">
        <v>916</v>
      </c>
    </row>
    <row r="512">
      <c r="A512" s="154"/>
      <c r="B512" s="155"/>
      <c r="C512" s="155"/>
      <c r="D512" s="156" t="s">
        <v>186</v>
      </c>
      <c r="E512" s="156" t="s">
        <v>913</v>
      </c>
      <c r="F512" s="155"/>
      <c r="G512" s="157" t="n">
        <v>10</v>
      </c>
      <c r="H512" s="158"/>
      <c r="I512" s="155"/>
      <c r="J512" s="155"/>
      <c r="K512" s="146"/>
    </row>
    <row r="513">
      <c r="A513" s="9" t="s">
        <v>917</v>
      </c>
      <c r="B513" s="10" t="s">
        <v>84</v>
      </c>
      <c r="C513" s="10" t="s">
        <v>918</v>
      </c>
      <c r="D513" s="14" t="s">
        <v>919</v>
      </c>
      <c r="E513" s="10"/>
      <c r="F513" s="10" t="s">
        <v>145</v>
      </c>
      <c r="G513" s="111" t="n">
        <v>10</v>
      </c>
      <c r="H513" s="152" t="n">
        <v>0</v>
      </c>
      <c r="I513" s="111">
        <f>G513*H513</f>
      </c>
      <c r="J513" s="153" t="s">
        <v>134</v>
      </c>
      <c r="K513" s="146"/>
      <c r="Z513" s="111">
        <f>IF(AQ513="5",BJ513,0)</f>
      </c>
      <c r="AB513" s="111">
        <f>IF(AQ513="1",BH513,0)</f>
      </c>
      <c r="AC513" s="111">
        <f>IF(AQ513="1",BI513,0)</f>
      </c>
      <c r="AD513" s="111">
        <f>IF(AQ513="7",BH513,0)</f>
      </c>
      <c r="AE513" s="111">
        <f>IF(AQ513="7",BI513,0)</f>
      </c>
      <c r="AF513" s="111">
        <f>IF(AQ513="2",BH513,0)</f>
      </c>
      <c r="AG513" s="111">
        <f>IF(AQ513="2",BI513,0)</f>
      </c>
      <c r="AH513" s="111">
        <f>IF(AQ513="0",BJ513,0)</f>
      </c>
      <c r="AI513" s="132" t="s">
        <v>84</v>
      </c>
      <c r="AJ513" s="111">
        <f>IF(AN513=0,I513,0)</f>
      </c>
      <c r="AK513" s="111">
        <f>IF(AN513=12,I513,0)</f>
      </c>
      <c r="AL513" s="111">
        <f>IF(AN513=21,I513,0)</f>
      </c>
      <c r="AN513" s="111" t="n">
        <v>21</v>
      </c>
      <c r="AO513" s="111">
        <f>H513*0</f>
      </c>
      <c r="AP513" s="111">
        <f>H513*(1-0)</f>
      </c>
      <c r="AQ513" s="153" t="s">
        <v>130</v>
      </c>
      <c r="AV513" s="111">
        <f>AW513+AX513</f>
      </c>
      <c r="AW513" s="111">
        <f>G513*AO513</f>
      </c>
      <c r="AX513" s="111">
        <f>G513*AP513</f>
      </c>
      <c r="AY513" s="153" t="s">
        <v>718</v>
      </c>
      <c r="AZ513" s="153" t="s">
        <v>719</v>
      </c>
      <c r="BA513" s="132" t="s">
        <v>137</v>
      </c>
      <c r="BC513" s="111">
        <f>AW513+AX513</f>
      </c>
      <c r="BD513" s="111">
        <f>H513/(100-BE513)*100</f>
      </c>
      <c r="BE513" s="111" t="n">
        <v>0</v>
      </c>
      <c r="BF513" s="111">
        <f>513</f>
      </c>
      <c r="BH513" s="111">
        <f>G513*AO513</f>
      </c>
      <c r="BI513" s="111">
        <f>G513*AP513</f>
      </c>
      <c r="BJ513" s="111">
        <f>G513*H513</f>
      </c>
      <c r="BK513" s="111"/>
      <c r="BL513" s="111" t="n">
        <v>41</v>
      </c>
      <c r="BW513" s="111" t="n">
        <v>21</v>
      </c>
      <c r="BX513" s="14" t="s">
        <v>919</v>
      </c>
    </row>
    <row r="514">
      <c r="A514" s="154"/>
      <c r="B514" s="155"/>
      <c r="C514" s="155"/>
      <c r="D514" s="156" t="s">
        <v>186</v>
      </c>
      <c r="E514" s="156" t="s">
        <v>913</v>
      </c>
      <c r="F514" s="155"/>
      <c r="G514" s="157" t="n">
        <v>10</v>
      </c>
      <c r="H514" s="158"/>
      <c r="I514" s="155"/>
      <c r="J514" s="155"/>
      <c r="K514" s="146"/>
    </row>
    <row r="515">
      <c r="A515" s="9" t="s">
        <v>920</v>
      </c>
      <c r="B515" s="10" t="s">
        <v>84</v>
      </c>
      <c r="C515" s="10" t="s">
        <v>921</v>
      </c>
      <c r="D515" s="14" t="s">
        <v>922</v>
      </c>
      <c r="E515" s="10"/>
      <c r="F515" s="10" t="s">
        <v>229</v>
      </c>
      <c r="G515" s="111" t="n">
        <v>0.06349</v>
      </c>
      <c r="H515" s="152" t="n">
        <v>0</v>
      </c>
      <c r="I515" s="111">
        <f>G515*H515</f>
      </c>
      <c r="J515" s="153" t="s">
        <v>134</v>
      </c>
      <c r="K515" s="146"/>
      <c r="Z515" s="111">
        <f>IF(AQ515="5",BJ515,0)</f>
      </c>
      <c r="AB515" s="111">
        <f>IF(AQ515="1",BH515,0)</f>
      </c>
      <c r="AC515" s="111">
        <f>IF(AQ515="1",BI515,0)</f>
      </c>
      <c r="AD515" s="111">
        <f>IF(AQ515="7",BH515,0)</f>
      </c>
      <c r="AE515" s="111">
        <f>IF(AQ515="7",BI515,0)</f>
      </c>
      <c r="AF515" s="111">
        <f>IF(AQ515="2",BH515,0)</f>
      </c>
      <c r="AG515" s="111">
        <f>IF(AQ515="2",BI515,0)</f>
      </c>
      <c r="AH515" s="111">
        <f>IF(AQ515="0",BJ515,0)</f>
      </c>
      <c r="AI515" s="132" t="s">
        <v>84</v>
      </c>
      <c r="AJ515" s="111">
        <f>IF(AN515=0,I515,0)</f>
      </c>
      <c r="AK515" s="111">
        <f>IF(AN515=12,I515,0)</f>
      </c>
      <c r="AL515" s="111">
        <f>IF(AN515=21,I515,0)</f>
      </c>
      <c r="AN515" s="111" t="n">
        <v>21</v>
      </c>
      <c r="AO515" s="111">
        <f>H515*0.793421576</f>
      </c>
      <c r="AP515" s="111">
        <f>H515*(1-0.793421576)</f>
      </c>
      <c r="AQ515" s="153" t="s">
        <v>130</v>
      </c>
      <c r="AV515" s="111">
        <f>AW515+AX515</f>
      </c>
      <c r="AW515" s="111">
        <f>G515*AO515</f>
      </c>
      <c r="AX515" s="111">
        <f>G515*AP515</f>
      </c>
      <c r="AY515" s="153" t="s">
        <v>718</v>
      </c>
      <c r="AZ515" s="153" t="s">
        <v>719</v>
      </c>
      <c r="BA515" s="132" t="s">
        <v>137</v>
      </c>
      <c r="BC515" s="111">
        <f>AW515+AX515</f>
      </c>
      <c r="BD515" s="111">
        <f>H515/(100-BE515)*100</f>
      </c>
      <c r="BE515" s="111" t="n">
        <v>0</v>
      </c>
      <c r="BF515" s="111">
        <f>515</f>
      </c>
      <c r="BH515" s="111">
        <f>G515*AO515</f>
      </c>
      <c r="BI515" s="111">
        <f>G515*AP515</f>
      </c>
      <c r="BJ515" s="111">
        <f>G515*H515</f>
      </c>
      <c r="BK515" s="111"/>
      <c r="BL515" s="111" t="n">
        <v>41</v>
      </c>
      <c r="BW515" s="111" t="n">
        <v>21</v>
      </c>
      <c r="BX515" s="14" t="s">
        <v>922</v>
      </c>
    </row>
    <row r="516" customHeight="true" ht="13.5">
      <c r="A516" s="159"/>
      <c r="C516" s="160" t="s">
        <v>146</v>
      </c>
      <c r="D516" s="161" t="s">
        <v>923</v>
      </c>
      <c r="E516" s="156"/>
      <c r="F516" s="156"/>
      <c r="G516" s="156"/>
      <c r="H516" s="162"/>
      <c r="I516" s="156"/>
      <c r="J516" s="156"/>
      <c r="K516" s="163"/>
    </row>
    <row r="517">
      <c r="A517" s="154"/>
      <c r="B517" s="155"/>
      <c r="C517" s="155"/>
      <c r="D517" s="156" t="s">
        <v>924</v>
      </c>
      <c r="E517" s="156" t="s">
        <v>925</v>
      </c>
      <c r="F517" s="155"/>
      <c r="G517" s="157" t="n">
        <v>0.06349</v>
      </c>
      <c r="H517" s="158"/>
      <c r="I517" s="155"/>
      <c r="J517" s="155"/>
      <c r="K517" s="146"/>
    </row>
    <row r="518">
      <c r="A518" s="147" t="s">
        <v>4</v>
      </c>
      <c r="B518" s="148" t="s">
        <v>84</v>
      </c>
      <c r="C518" s="148" t="s">
        <v>416</v>
      </c>
      <c r="D518" s="149" t="s">
        <v>926</v>
      </c>
      <c r="E518" s="148"/>
      <c r="F518" s="150" t="s">
        <v>79</v>
      </c>
      <c r="G518" s="150" t="s">
        <v>79</v>
      </c>
      <c r="H518" s="151" t="s">
        <v>79</v>
      </c>
      <c r="I518" s="117">
        <f>SUM(I519:I519)</f>
      </c>
      <c r="J518" s="132" t="s">
        <v>4</v>
      </c>
      <c r="K518" s="146"/>
      <c r="AI518" s="132" t="s">
        <v>84</v>
      </c>
      <c r="AS518" s="117">
        <f>SUM(AJ519:AJ519)</f>
      </c>
      <c r="AT518" s="117">
        <f>SUM(AK519:AK519)</f>
      </c>
      <c r="AU518" s="117">
        <f>SUM(AL519:AL519)</f>
      </c>
    </row>
    <row r="519">
      <c r="A519" s="9" t="s">
        <v>927</v>
      </c>
      <c r="B519" s="10" t="s">
        <v>84</v>
      </c>
      <c r="C519" s="10" t="s">
        <v>928</v>
      </c>
      <c r="D519" s="14" t="s">
        <v>929</v>
      </c>
      <c r="E519" s="10"/>
      <c r="F519" s="10" t="s">
        <v>282</v>
      </c>
      <c r="G519" s="111" t="n">
        <v>7.66</v>
      </c>
      <c r="H519" s="152" t="n">
        <v>0</v>
      </c>
      <c r="I519" s="111">
        <f>G519*H519</f>
      </c>
      <c r="J519" s="153" t="s">
        <v>134</v>
      </c>
      <c r="K519" s="146"/>
      <c r="Z519" s="111">
        <f>IF(AQ519="5",BJ519,0)</f>
      </c>
      <c r="AB519" s="111">
        <f>IF(AQ519="1",BH519,0)</f>
      </c>
      <c r="AC519" s="111">
        <f>IF(AQ519="1",BI519,0)</f>
      </c>
      <c r="AD519" s="111">
        <f>IF(AQ519="7",BH519,0)</f>
      </c>
      <c r="AE519" s="111">
        <f>IF(AQ519="7",BI519,0)</f>
      </c>
      <c r="AF519" s="111">
        <f>IF(AQ519="2",BH519,0)</f>
      </c>
      <c r="AG519" s="111">
        <f>IF(AQ519="2",BI519,0)</f>
      </c>
      <c r="AH519" s="111">
        <f>IF(AQ519="0",BJ519,0)</f>
      </c>
      <c r="AI519" s="132" t="s">
        <v>84</v>
      </c>
      <c r="AJ519" s="111">
        <f>IF(AN519=0,I519,0)</f>
      </c>
      <c r="AK519" s="111">
        <f>IF(AN519=12,I519,0)</f>
      </c>
      <c r="AL519" s="111">
        <f>IF(AN519=21,I519,0)</f>
      </c>
      <c r="AN519" s="111" t="n">
        <v>21</v>
      </c>
      <c r="AO519" s="111">
        <f>H519*0.445953612</f>
      </c>
      <c r="AP519" s="111">
        <f>H519*(1-0.445953612)</f>
      </c>
      <c r="AQ519" s="153" t="s">
        <v>130</v>
      </c>
      <c r="AV519" s="111">
        <f>AW519+AX519</f>
      </c>
      <c r="AW519" s="111">
        <f>G519*AO519</f>
      </c>
      <c r="AX519" s="111">
        <f>G519*AP519</f>
      </c>
      <c r="AY519" s="153" t="s">
        <v>930</v>
      </c>
      <c r="AZ519" s="153" t="s">
        <v>719</v>
      </c>
      <c r="BA519" s="132" t="s">
        <v>137</v>
      </c>
      <c r="BC519" s="111">
        <f>AW519+AX519</f>
      </c>
      <c r="BD519" s="111">
        <f>H519/(100-BE519)*100</f>
      </c>
      <c r="BE519" s="111" t="n">
        <v>0</v>
      </c>
      <c r="BF519" s="111">
        <f>519</f>
      </c>
      <c r="BH519" s="111">
        <f>G519*AO519</f>
      </c>
      <c r="BI519" s="111">
        <f>G519*AP519</f>
      </c>
      <c r="BJ519" s="111">
        <f>G519*H519</f>
      </c>
      <c r="BK519" s="111"/>
      <c r="BL519" s="111" t="n">
        <v>43</v>
      </c>
      <c r="BW519" s="111" t="n">
        <v>21</v>
      </c>
      <c r="BX519" s="14" t="s">
        <v>929</v>
      </c>
    </row>
    <row r="520" customHeight="true" ht="13.5">
      <c r="A520" s="159"/>
      <c r="C520" s="160" t="s">
        <v>146</v>
      </c>
      <c r="D520" s="161" t="s">
        <v>931</v>
      </c>
      <c r="E520" s="156"/>
      <c r="F520" s="156"/>
      <c r="G520" s="156"/>
      <c r="H520" s="162"/>
      <c r="I520" s="156"/>
      <c r="J520" s="156"/>
      <c r="K520" s="163"/>
    </row>
    <row r="521">
      <c r="A521" s="154"/>
      <c r="B521" s="155"/>
      <c r="C521" s="155"/>
      <c r="D521" s="156" t="s">
        <v>932</v>
      </c>
      <c r="E521" s="156" t="s">
        <v>933</v>
      </c>
      <c r="F521" s="155"/>
      <c r="G521" s="157" t="n">
        <v>7.66</v>
      </c>
      <c r="H521" s="158"/>
      <c r="I521" s="155"/>
      <c r="J521" s="155"/>
      <c r="K521" s="146"/>
    </row>
    <row r="522">
      <c r="A522" s="147" t="s">
        <v>4</v>
      </c>
      <c r="B522" s="148" t="s">
        <v>84</v>
      </c>
      <c r="C522" s="148" t="s">
        <v>525</v>
      </c>
      <c r="D522" s="149" t="s">
        <v>934</v>
      </c>
      <c r="E522" s="148"/>
      <c r="F522" s="150" t="s">
        <v>79</v>
      </c>
      <c r="G522" s="150" t="s">
        <v>79</v>
      </c>
      <c r="H522" s="151" t="s">
        <v>79</v>
      </c>
      <c r="I522" s="117">
        <f>SUM(I523:I550)</f>
      </c>
      <c r="J522" s="132" t="s">
        <v>4</v>
      </c>
      <c r="K522" s="146"/>
      <c r="AI522" s="132" t="s">
        <v>84</v>
      </c>
      <c r="AS522" s="117">
        <f>SUM(AJ523:AJ550)</f>
      </c>
      <c r="AT522" s="117">
        <f>SUM(AK523:AK550)</f>
      </c>
      <c r="AU522" s="117">
        <f>SUM(AL523:AL550)</f>
      </c>
    </row>
    <row r="523">
      <c r="A523" s="9" t="s">
        <v>935</v>
      </c>
      <c r="B523" s="10" t="s">
        <v>84</v>
      </c>
      <c r="C523" s="10" t="s">
        <v>936</v>
      </c>
      <c r="D523" s="14" t="s">
        <v>937</v>
      </c>
      <c r="E523" s="10"/>
      <c r="F523" s="10" t="s">
        <v>145</v>
      </c>
      <c r="G523" s="111" t="n">
        <v>101.4035</v>
      </c>
      <c r="H523" s="152" t="n">
        <v>0</v>
      </c>
      <c r="I523" s="111">
        <f>G523*H523</f>
      </c>
      <c r="J523" s="153" t="s">
        <v>134</v>
      </c>
      <c r="K523" s="146"/>
      <c r="Z523" s="111">
        <f>IF(AQ523="5",BJ523,0)</f>
      </c>
      <c r="AB523" s="111">
        <f>IF(AQ523="1",BH523,0)</f>
      </c>
      <c r="AC523" s="111">
        <f>IF(AQ523="1",BI523,0)</f>
      </c>
      <c r="AD523" s="111">
        <f>IF(AQ523="7",BH523,0)</f>
      </c>
      <c r="AE523" s="111">
        <f>IF(AQ523="7",BI523,0)</f>
      </c>
      <c r="AF523" s="111">
        <f>IF(AQ523="2",BH523,0)</f>
      </c>
      <c r="AG523" s="111">
        <f>IF(AQ523="2",BI523,0)</f>
      </c>
      <c r="AH523" s="111">
        <f>IF(AQ523="0",BJ523,0)</f>
      </c>
      <c r="AI523" s="132" t="s">
        <v>84</v>
      </c>
      <c r="AJ523" s="111">
        <f>IF(AN523=0,I523,0)</f>
      </c>
      <c r="AK523" s="111">
        <f>IF(AN523=12,I523,0)</f>
      </c>
      <c r="AL523" s="111">
        <f>IF(AN523=21,I523,0)</f>
      </c>
      <c r="AN523" s="111" t="n">
        <v>21</v>
      </c>
      <c r="AO523" s="111">
        <f>H523*0.892780318</f>
      </c>
      <c r="AP523" s="111">
        <f>H523*(1-0.892780318)</f>
      </c>
      <c r="AQ523" s="153" t="s">
        <v>130</v>
      </c>
      <c r="AV523" s="111">
        <f>AW523+AX523</f>
      </c>
      <c r="AW523" s="111">
        <f>G523*AO523</f>
      </c>
      <c r="AX523" s="111">
        <f>G523*AP523</f>
      </c>
      <c r="AY523" s="153" t="s">
        <v>938</v>
      </c>
      <c r="AZ523" s="153" t="s">
        <v>939</v>
      </c>
      <c r="BA523" s="132" t="s">
        <v>137</v>
      </c>
      <c r="BC523" s="111">
        <f>AW523+AX523</f>
      </c>
      <c r="BD523" s="111">
        <f>H523/(100-BE523)*100</f>
      </c>
      <c r="BE523" s="111" t="n">
        <v>0</v>
      </c>
      <c r="BF523" s="111">
        <f>523</f>
      </c>
      <c r="BH523" s="111">
        <f>G523*AO523</f>
      </c>
      <c r="BI523" s="111">
        <f>G523*AP523</f>
      </c>
      <c r="BJ523" s="111">
        <f>G523*H523</f>
      </c>
      <c r="BK523" s="111"/>
      <c r="BL523" s="111" t="n">
        <v>59</v>
      </c>
      <c r="BW523" s="111" t="n">
        <v>21</v>
      </c>
      <c r="BX523" s="14" t="s">
        <v>937</v>
      </c>
    </row>
    <row r="524" customHeight="true" ht="13.5">
      <c r="A524" s="159"/>
      <c r="C524" s="160" t="s">
        <v>146</v>
      </c>
      <c r="D524" s="161" t="s">
        <v>940</v>
      </c>
      <c r="E524" s="156"/>
      <c r="F524" s="156"/>
      <c r="G524" s="156"/>
      <c r="H524" s="162"/>
      <c r="I524" s="156"/>
      <c r="J524" s="156"/>
      <c r="K524" s="163"/>
    </row>
    <row r="525">
      <c r="A525" s="154"/>
      <c r="B525" s="155"/>
      <c r="C525" s="155"/>
      <c r="D525" s="156" t="s">
        <v>4</v>
      </c>
      <c r="E525" s="156" t="s">
        <v>941</v>
      </c>
      <c r="F525" s="155"/>
      <c r="G525" s="157" t="n">
        <v>0</v>
      </c>
      <c r="H525" s="158"/>
      <c r="I525" s="155"/>
      <c r="J525" s="155"/>
      <c r="K525" s="146"/>
    </row>
    <row r="526">
      <c r="A526" s="154"/>
      <c r="B526" s="155"/>
      <c r="C526" s="155"/>
      <c r="D526" s="156" t="s">
        <v>942</v>
      </c>
      <c r="E526" s="156" t="s">
        <v>943</v>
      </c>
      <c r="F526" s="155"/>
      <c r="G526" s="157" t="n">
        <v>31.2875</v>
      </c>
      <c r="H526" s="158"/>
      <c r="I526" s="155"/>
      <c r="J526" s="155"/>
      <c r="K526" s="146"/>
    </row>
    <row r="527">
      <c r="A527" s="154"/>
      <c r="B527" s="155"/>
      <c r="C527" s="155"/>
      <c r="D527" s="156" t="s">
        <v>944</v>
      </c>
      <c r="E527" s="156" t="s">
        <v>4</v>
      </c>
      <c r="F527" s="155"/>
      <c r="G527" s="157" t="n">
        <v>2.616</v>
      </c>
      <c r="H527" s="158"/>
      <c r="I527" s="155"/>
      <c r="J527" s="155"/>
      <c r="K527" s="146"/>
    </row>
    <row r="528">
      <c r="A528" s="154"/>
      <c r="B528" s="155"/>
      <c r="C528" s="155"/>
      <c r="D528" s="156" t="s">
        <v>224</v>
      </c>
      <c r="E528" s="156" t="s">
        <v>945</v>
      </c>
      <c r="F528" s="155"/>
      <c r="G528" s="157" t="n">
        <v>15</v>
      </c>
      <c r="H528" s="158"/>
      <c r="I528" s="155"/>
      <c r="J528" s="155"/>
      <c r="K528" s="146"/>
    </row>
    <row r="529">
      <c r="A529" s="154"/>
      <c r="B529" s="155"/>
      <c r="C529" s="155"/>
      <c r="D529" s="156" t="s">
        <v>946</v>
      </c>
      <c r="E529" s="156" t="s">
        <v>947</v>
      </c>
      <c r="F529" s="155"/>
      <c r="G529" s="157" t="n">
        <v>52.5</v>
      </c>
      <c r="H529" s="158"/>
      <c r="I529" s="155"/>
      <c r="J529" s="155"/>
      <c r="K529" s="146"/>
    </row>
    <row r="530">
      <c r="A530" s="9" t="s">
        <v>948</v>
      </c>
      <c r="B530" s="10" t="s">
        <v>84</v>
      </c>
      <c r="C530" s="10" t="s">
        <v>949</v>
      </c>
      <c r="D530" s="14" t="s">
        <v>950</v>
      </c>
      <c r="E530" s="10"/>
      <c r="F530" s="10" t="s">
        <v>145</v>
      </c>
      <c r="G530" s="111" t="n">
        <v>101.4035</v>
      </c>
      <c r="H530" s="152" t="n">
        <v>0</v>
      </c>
      <c r="I530" s="111">
        <f>G530*H530</f>
      </c>
      <c r="J530" s="153" t="s">
        <v>134</v>
      </c>
      <c r="K530" s="146"/>
      <c r="Z530" s="111">
        <f>IF(AQ530="5",BJ530,0)</f>
      </c>
      <c r="AB530" s="111">
        <f>IF(AQ530="1",BH530,0)</f>
      </c>
      <c r="AC530" s="111">
        <f>IF(AQ530="1",BI530,0)</f>
      </c>
      <c r="AD530" s="111">
        <f>IF(AQ530="7",BH530,0)</f>
      </c>
      <c r="AE530" s="111">
        <f>IF(AQ530="7",BI530,0)</f>
      </c>
      <c r="AF530" s="111">
        <f>IF(AQ530="2",BH530,0)</f>
      </c>
      <c r="AG530" s="111">
        <f>IF(AQ530="2",BI530,0)</f>
      </c>
      <c r="AH530" s="111">
        <f>IF(AQ530="0",BJ530,0)</f>
      </c>
      <c r="AI530" s="132" t="s">
        <v>84</v>
      </c>
      <c r="AJ530" s="111">
        <f>IF(AN530=0,I530,0)</f>
      </c>
      <c r="AK530" s="111">
        <f>IF(AN530=12,I530,0)</f>
      </c>
      <c r="AL530" s="111">
        <f>IF(AN530=21,I530,0)</f>
      </c>
      <c r="AN530" s="111" t="n">
        <v>21</v>
      </c>
      <c r="AO530" s="111">
        <f>H530*0.171682856</f>
      </c>
      <c r="AP530" s="111">
        <f>H530*(1-0.171682856)</f>
      </c>
      <c r="AQ530" s="153" t="s">
        <v>130</v>
      </c>
      <c r="AV530" s="111">
        <f>AW530+AX530</f>
      </c>
      <c r="AW530" s="111">
        <f>G530*AO530</f>
      </c>
      <c r="AX530" s="111">
        <f>G530*AP530</f>
      </c>
      <c r="AY530" s="153" t="s">
        <v>938</v>
      </c>
      <c r="AZ530" s="153" t="s">
        <v>939</v>
      </c>
      <c r="BA530" s="132" t="s">
        <v>137</v>
      </c>
      <c r="BC530" s="111">
        <f>AW530+AX530</f>
      </c>
      <c r="BD530" s="111">
        <f>H530/(100-BE530)*100</f>
      </c>
      <c r="BE530" s="111" t="n">
        <v>0</v>
      </c>
      <c r="BF530" s="111">
        <f>530</f>
      </c>
      <c r="BH530" s="111">
        <f>G530*AO530</f>
      </c>
      <c r="BI530" s="111">
        <f>G530*AP530</f>
      </c>
      <c r="BJ530" s="111">
        <f>G530*H530</f>
      </c>
      <c r="BK530" s="111"/>
      <c r="BL530" s="111" t="n">
        <v>59</v>
      </c>
      <c r="BW530" s="111" t="n">
        <v>21</v>
      </c>
      <c r="BX530" s="14" t="s">
        <v>950</v>
      </c>
    </row>
    <row r="531">
      <c r="A531" s="154"/>
      <c r="B531" s="155"/>
      <c r="C531" s="155"/>
      <c r="D531" s="156" t="s">
        <v>4</v>
      </c>
      <c r="E531" s="156" t="s">
        <v>941</v>
      </c>
      <c r="F531" s="155"/>
      <c r="G531" s="157" t="n">
        <v>0</v>
      </c>
      <c r="H531" s="158"/>
      <c r="I531" s="155"/>
      <c r="J531" s="155"/>
      <c r="K531" s="146"/>
    </row>
    <row r="532">
      <c r="A532" s="154"/>
      <c r="B532" s="155"/>
      <c r="C532" s="155"/>
      <c r="D532" s="156" t="s">
        <v>942</v>
      </c>
      <c r="E532" s="156" t="s">
        <v>943</v>
      </c>
      <c r="F532" s="155"/>
      <c r="G532" s="157" t="n">
        <v>31.2875</v>
      </c>
      <c r="H532" s="158"/>
      <c r="I532" s="155"/>
      <c r="J532" s="155"/>
      <c r="K532" s="146"/>
    </row>
    <row r="533">
      <c r="A533" s="154"/>
      <c r="B533" s="155"/>
      <c r="C533" s="155"/>
      <c r="D533" s="156" t="s">
        <v>944</v>
      </c>
      <c r="E533" s="156" t="s">
        <v>4</v>
      </c>
      <c r="F533" s="155"/>
      <c r="G533" s="157" t="n">
        <v>2.616</v>
      </c>
      <c r="H533" s="158"/>
      <c r="I533" s="155"/>
      <c r="J533" s="155"/>
      <c r="K533" s="146"/>
    </row>
    <row r="534">
      <c r="A534" s="154"/>
      <c r="B534" s="155"/>
      <c r="C534" s="155"/>
      <c r="D534" s="156" t="s">
        <v>224</v>
      </c>
      <c r="E534" s="156" t="s">
        <v>945</v>
      </c>
      <c r="F534" s="155"/>
      <c r="G534" s="157" t="n">
        <v>15</v>
      </c>
      <c r="H534" s="158"/>
      <c r="I534" s="155"/>
      <c r="J534" s="155"/>
      <c r="K534" s="146"/>
    </row>
    <row r="535">
      <c r="A535" s="154"/>
      <c r="B535" s="155"/>
      <c r="C535" s="155"/>
      <c r="D535" s="156" t="s">
        <v>946</v>
      </c>
      <c r="E535" s="156" t="s">
        <v>947</v>
      </c>
      <c r="F535" s="155"/>
      <c r="G535" s="157" t="n">
        <v>52.5</v>
      </c>
      <c r="H535" s="158"/>
      <c r="I535" s="155"/>
      <c r="J535" s="155"/>
      <c r="K535" s="146"/>
    </row>
    <row r="536">
      <c r="A536" s="9" t="s">
        <v>951</v>
      </c>
      <c r="B536" s="10" t="s">
        <v>84</v>
      </c>
      <c r="C536" s="10" t="s">
        <v>952</v>
      </c>
      <c r="D536" s="14" t="s">
        <v>953</v>
      </c>
      <c r="E536" s="10"/>
      <c r="F536" s="10" t="s">
        <v>282</v>
      </c>
      <c r="G536" s="111" t="n">
        <v>71.44</v>
      </c>
      <c r="H536" s="152" t="n">
        <v>0</v>
      </c>
      <c r="I536" s="111">
        <f>G536*H536</f>
      </c>
      <c r="J536" s="153" t="s">
        <v>134</v>
      </c>
      <c r="K536" s="146"/>
      <c r="Z536" s="111">
        <f>IF(AQ536="5",BJ536,0)</f>
      </c>
      <c r="AB536" s="111">
        <f>IF(AQ536="1",BH536,0)</f>
      </c>
      <c r="AC536" s="111">
        <f>IF(AQ536="1",BI536,0)</f>
      </c>
      <c r="AD536" s="111">
        <f>IF(AQ536="7",BH536,0)</f>
      </c>
      <c r="AE536" s="111">
        <f>IF(AQ536="7",BI536,0)</f>
      </c>
      <c r="AF536" s="111">
        <f>IF(AQ536="2",BH536,0)</f>
      </c>
      <c r="AG536" s="111">
        <f>IF(AQ536="2",BI536,0)</f>
      </c>
      <c r="AH536" s="111">
        <f>IF(AQ536="0",BJ536,0)</f>
      </c>
      <c r="AI536" s="132" t="s">
        <v>84</v>
      </c>
      <c r="AJ536" s="111">
        <f>IF(AN536=0,I536,0)</f>
      </c>
      <c r="AK536" s="111">
        <f>IF(AN536=12,I536,0)</f>
      </c>
      <c r="AL536" s="111">
        <f>IF(AN536=21,I536,0)</f>
      </c>
      <c r="AN536" s="111" t="n">
        <v>21</v>
      </c>
      <c r="AO536" s="111">
        <f>H536*0.051523495</f>
      </c>
      <c r="AP536" s="111">
        <f>H536*(1-0.051523495)</f>
      </c>
      <c r="AQ536" s="153" t="s">
        <v>130</v>
      </c>
      <c r="AV536" s="111">
        <f>AW536+AX536</f>
      </c>
      <c r="AW536" s="111">
        <f>G536*AO536</f>
      </c>
      <c r="AX536" s="111">
        <f>G536*AP536</f>
      </c>
      <c r="AY536" s="153" t="s">
        <v>938</v>
      </c>
      <c r="AZ536" s="153" t="s">
        <v>939</v>
      </c>
      <c r="BA536" s="132" t="s">
        <v>137</v>
      </c>
      <c r="BC536" s="111">
        <f>AW536+AX536</f>
      </c>
      <c r="BD536" s="111">
        <f>H536/(100-BE536)*100</f>
      </c>
      <c r="BE536" s="111" t="n">
        <v>0</v>
      </c>
      <c r="BF536" s="111">
        <f>536</f>
      </c>
      <c r="BH536" s="111">
        <f>G536*AO536</f>
      </c>
      <c r="BI536" s="111">
        <f>G536*AP536</f>
      </c>
      <c r="BJ536" s="111">
        <f>G536*H536</f>
      </c>
      <c r="BK536" s="111"/>
      <c r="BL536" s="111" t="n">
        <v>59</v>
      </c>
      <c r="BW536" s="111" t="n">
        <v>21</v>
      </c>
      <c r="BX536" s="14" t="s">
        <v>953</v>
      </c>
    </row>
    <row r="537">
      <c r="A537" s="154"/>
      <c r="B537" s="155"/>
      <c r="C537" s="155"/>
      <c r="D537" s="156" t="s">
        <v>954</v>
      </c>
      <c r="E537" s="156" t="s">
        <v>947</v>
      </c>
      <c r="F537" s="155"/>
      <c r="G537" s="157" t="n">
        <v>40.8</v>
      </c>
      <c r="H537" s="158"/>
      <c r="I537" s="155"/>
      <c r="J537" s="155"/>
      <c r="K537" s="146"/>
    </row>
    <row r="538">
      <c r="A538" s="154"/>
      <c r="B538" s="155"/>
      <c r="C538" s="155"/>
      <c r="D538" s="156" t="s">
        <v>955</v>
      </c>
      <c r="E538" s="156" t="s">
        <v>956</v>
      </c>
      <c r="F538" s="155"/>
      <c r="G538" s="157" t="n">
        <v>22.64</v>
      </c>
      <c r="H538" s="158"/>
      <c r="I538" s="155"/>
      <c r="J538" s="155"/>
      <c r="K538" s="146"/>
    </row>
    <row r="539">
      <c r="A539" s="154"/>
      <c r="B539" s="155"/>
      <c r="C539" s="155"/>
      <c r="D539" s="156" t="s">
        <v>176</v>
      </c>
      <c r="E539" s="156" t="s">
        <v>945</v>
      </c>
      <c r="F539" s="155"/>
      <c r="G539" s="157" t="n">
        <v>8</v>
      </c>
      <c r="H539" s="158"/>
      <c r="I539" s="155"/>
      <c r="J539" s="155"/>
      <c r="K539" s="146"/>
    </row>
    <row r="540">
      <c r="A540" s="9" t="s">
        <v>957</v>
      </c>
      <c r="B540" s="10" t="s">
        <v>84</v>
      </c>
      <c r="C540" s="10" t="s">
        <v>958</v>
      </c>
      <c r="D540" s="14" t="s">
        <v>959</v>
      </c>
      <c r="E540" s="10"/>
      <c r="F540" s="10" t="s">
        <v>145</v>
      </c>
      <c r="G540" s="111" t="n">
        <v>108.5015</v>
      </c>
      <c r="H540" s="152" t="n">
        <v>0</v>
      </c>
      <c r="I540" s="111">
        <f>G540*H540</f>
      </c>
      <c r="J540" s="153" t="s">
        <v>134</v>
      </c>
      <c r="K540" s="146"/>
      <c r="Z540" s="111">
        <f>IF(AQ540="5",BJ540,0)</f>
      </c>
      <c r="AB540" s="111">
        <f>IF(AQ540="1",BH540,0)</f>
      </c>
      <c r="AC540" s="111">
        <f>IF(AQ540="1",BI540,0)</f>
      </c>
      <c r="AD540" s="111">
        <f>IF(AQ540="7",BH540,0)</f>
      </c>
      <c r="AE540" s="111">
        <f>IF(AQ540="7",BI540,0)</f>
      </c>
      <c r="AF540" s="111">
        <f>IF(AQ540="2",BH540,0)</f>
      </c>
      <c r="AG540" s="111">
        <f>IF(AQ540="2",BI540,0)</f>
      </c>
      <c r="AH540" s="111">
        <f>IF(AQ540="0",BJ540,0)</f>
      </c>
      <c r="AI540" s="132" t="s">
        <v>84</v>
      </c>
      <c r="AJ540" s="111">
        <f>IF(AN540=0,I540,0)</f>
      </c>
      <c r="AK540" s="111">
        <f>IF(AN540=12,I540,0)</f>
      </c>
      <c r="AL540" s="111">
        <f>IF(AN540=21,I540,0)</f>
      </c>
      <c r="AN540" s="111" t="n">
        <v>21</v>
      </c>
      <c r="AO540" s="111">
        <f>H540*1</f>
      </c>
      <c r="AP540" s="111">
        <f>H540*(1-1)</f>
      </c>
      <c r="AQ540" s="153" t="s">
        <v>130</v>
      </c>
      <c r="AV540" s="111">
        <f>AW540+AX540</f>
      </c>
      <c r="AW540" s="111">
        <f>G540*AO540</f>
      </c>
      <c r="AX540" s="111">
        <f>G540*AP540</f>
      </c>
      <c r="AY540" s="153" t="s">
        <v>938</v>
      </c>
      <c r="AZ540" s="153" t="s">
        <v>939</v>
      </c>
      <c r="BA540" s="132" t="s">
        <v>137</v>
      </c>
      <c r="BC540" s="111">
        <f>AW540+AX540</f>
      </c>
      <c r="BD540" s="111">
        <f>H540/(100-BE540)*100</f>
      </c>
      <c r="BE540" s="111" t="n">
        <v>0</v>
      </c>
      <c r="BF540" s="111">
        <f>540</f>
      </c>
      <c r="BH540" s="111">
        <f>G540*AO540</f>
      </c>
      <c r="BI540" s="111">
        <f>G540*AP540</f>
      </c>
      <c r="BJ540" s="111">
        <f>G540*H540</f>
      </c>
      <c r="BK540" s="111"/>
      <c r="BL540" s="111" t="n">
        <v>59</v>
      </c>
      <c r="BW540" s="111" t="n">
        <v>21</v>
      </c>
      <c r="BX540" s="14" t="s">
        <v>959</v>
      </c>
    </row>
    <row r="541">
      <c r="A541" s="154"/>
      <c r="B541" s="155"/>
      <c r="C541" s="155"/>
      <c r="D541" s="156" t="s">
        <v>4</v>
      </c>
      <c r="E541" s="156" t="s">
        <v>941</v>
      </c>
      <c r="F541" s="155"/>
      <c r="G541" s="157" t="n">
        <v>0</v>
      </c>
      <c r="H541" s="158"/>
      <c r="I541" s="155"/>
      <c r="J541" s="155"/>
      <c r="K541" s="146"/>
    </row>
    <row r="542">
      <c r="A542" s="154"/>
      <c r="B542" s="155"/>
      <c r="C542" s="155"/>
      <c r="D542" s="156" t="s">
        <v>942</v>
      </c>
      <c r="E542" s="156" t="s">
        <v>943</v>
      </c>
      <c r="F542" s="155"/>
      <c r="G542" s="157" t="n">
        <v>31.2875</v>
      </c>
      <c r="H542" s="158"/>
      <c r="I542" s="155"/>
      <c r="J542" s="155"/>
      <c r="K542" s="146"/>
    </row>
    <row r="543">
      <c r="A543" s="154"/>
      <c r="B543" s="155"/>
      <c r="C543" s="155"/>
      <c r="D543" s="156" t="s">
        <v>944</v>
      </c>
      <c r="E543" s="156" t="s">
        <v>4</v>
      </c>
      <c r="F543" s="155"/>
      <c r="G543" s="157" t="n">
        <v>2.616</v>
      </c>
      <c r="H543" s="158"/>
      <c r="I543" s="155"/>
      <c r="J543" s="155"/>
      <c r="K543" s="146"/>
    </row>
    <row r="544">
      <c r="A544" s="154"/>
      <c r="B544" s="155"/>
      <c r="C544" s="155"/>
      <c r="D544" s="156" t="s">
        <v>224</v>
      </c>
      <c r="E544" s="156" t="s">
        <v>945</v>
      </c>
      <c r="F544" s="155"/>
      <c r="G544" s="157" t="n">
        <v>15</v>
      </c>
      <c r="H544" s="158"/>
      <c r="I544" s="155"/>
      <c r="J544" s="155"/>
      <c r="K544" s="146"/>
    </row>
    <row r="545">
      <c r="A545" s="154"/>
      <c r="B545" s="155"/>
      <c r="C545" s="155"/>
      <c r="D545" s="156" t="s">
        <v>960</v>
      </c>
      <c r="E545" s="156" t="s">
        <v>961</v>
      </c>
      <c r="F545" s="155"/>
      <c r="G545" s="157" t="n">
        <v>7.098</v>
      </c>
      <c r="H545" s="158"/>
      <c r="I545" s="155"/>
      <c r="J545" s="155"/>
      <c r="K545" s="146"/>
    </row>
    <row r="546">
      <c r="A546" s="154"/>
      <c r="B546" s="155"/>
      <c r="C546" s="155"/>
      <c r="D546" s="156" t="s">
        <v>946</v>
      </c>
      <c r="E546" s="156" t="s">
        <v>947</v>
      </c>
      <c r="F546" s="155"/>
      <c r="G546" s="157" t="n">
        <v>52.5</v>
      </c>
      <c r="H546" s="158"/>
      <c r="I546" s="155"/>
      <c r="J546" s="155"/>
      <c r="K546" s="146"/>
    </row>
    <row r="547">
      <c r="A547" s="9" t="s">
        <v>962</v>
      </c>
      <c r="B547" s="10" t="s">
        <v>84</v>
      </c>
      <c r="C547" s="10" t="s">
        <v>963</v>
      </c>
      <c r="D547" s="14" t="s">
        <v>964</v>
      </c>
      <c r="E547" s="10"/>
      <c r="F547" s="10" t="s">
        <v>133</v>
      </c>
      <c r="G547" s="111" t="n">
        <v>3</v>
      </c>
      <c r="H547" s="152" t="n">
        <v>0</v>
      </c>
      <c r="I547" s="111">
        <f>G547*H547</f>
      </c>
      <c r="J547" s="153" t="s">
        <v>134</v>
      </c>
      <c r="K547" s="146"/>
      <c r="Z547" s="111">
        <f>IF(AQ547="5",BJ547,0)</f>
      </c>
      <c r="AB547" s="111">
        <f>IF(AQ547="1",BH547,0)</f>
      </c>
      <c r="AC547" s="111">
        <f>IF(AQ547="1",BI547,0)</f>
      </c>
      <c r="AD547" s="111">
        <f>IF(AQ547="7",BH547,0)</f>
      </c>
      <c r="AE547" s="111">
        <f>IF(AQ547="7",BI547,0)</f>
      </c>
      <c r="AF547" s="111">
        <f>IF(AQ547="2",BH547,0)</f>
      </c>
      <c r="AG547" s="111">
        <f>IF(AQ547="2",BI547,0)</f>
      </c>
      <c r="AH547" s="111">
        <f>IF(AQ547="0",BJ547,0)</f>
      </c>
      <c r="AI547" s="132" t="s">
        <v>84</v>
      </c>
      <c r="AJ547" s="111">
        <f>IF(AN547=0,I547,0)</f>
      </c>
      <c r="AK547" s="111">
        <f>IF(AN547=12,I547,0)</f>
      </c>
      <c r="AL547" s="111">
        <f>IF(AN547=21,I547,0)</f>
      </c>
      <c r="AN547" s="111" t="n">
        <v>21</v>
      </c>
      <c r="AO547" s="111">
        <f>H547*0.336335541</f>
      </c>
      <c r="AP547" s="111">
        <f>H547*(1-0.336335541)</f>
      </c>
      <c r="AQ547" s="153" t="s">
        <v>130</v>
      </c>
      <c r="AV547" s="111">
        <f>AW547+AX547</f>
      </c>
      <c r="AW547" s="111">
        <f>G547*AO547</f>
      </c>
      <c r="AX547" s="111">
        <f>G547*AP547</f>
      </c>
      <c r="AY547" s="153" t="s">
        <v>938</v>
      </c>
      <c r="AZ547" s="153" t="s">
        <v>939</v>
      </c>
      <c r="BA547" s="132" t="s">
        <v>137</v>
      </c>
      <c r="BC547" s="111">
        <f>AW547+AX547</f>
      </c>
      <c r="BD547" s="111">
        <f>H547/(100-BE547)*100</f>
      </c>
      <c r="BE547" s="111" t="n">
        <v>0</v>
      </c>
      <c r="BF547" s="111">
        <f>547</f>
      </c>
      <c r="BH547" s="111">
        <f>G547*AO547</f>
      </c>
      <c r="BI547" s="111">
        <f>G547*AP547</f>
      </c>
      <c r="BJ547" s="111">
        <f>G547*H547</f>
      </c>
      <c r="BK547" s="111"/>
      <c r="BL547" s="111" t="n">
        <v>59</v>
      </c>
      <c r="BW547" s="111" t="n">
        <v>21</v>
      </c>
      <c r="BX547" s="14" t="s">
        <v>964</v>
      </c>
    </row>
    <row r="548" customHeight="true" ht="13.5">
      <c r="A548" s="159"/>
      <c r="C548" s="160" t="s">
        <v>146</v>
      </c>
      <c r="D548" s="161" t="s">
        <v>965</v>
      </c>
      <c r="E548" s="156"/>
      <c r="F548" s="156"/>
      <c r="G548" s="156"/>
      <c r="H548" s="162"/>
      <c r="I548" s="156"/>
      <c r="J548" s="156"/>
      <c r="K548" s="163"/>
    </row>
    <row r="549">
      <c r="A549" s="154"/>
      <c r="B549" s="155"/>
      <c r="C549" s="155"/>
      <c r="D549" s="156" t="s">
        <v>138</v>
      </c>
      <c r="E549" s="156" t="s">
        <v>966</v>
      </c>
      <c r="F549" s="155"/>
      <c r="G549" s="157" t="n">
        <v>3</v>
      </c>
      <c r="H549" s="158"/>
      <c r="I549" s="155"/>
      <c r="J549" s="155"/>
      <c r="K549" s="146"/>
    </row>
    <row r="550">
      <c r="A550" s="9" t="s">
        <v>967</v>
      </c>
      <c r="B550" s="10" t="s">
        <v>84</v>
      </c>
      <c r="C550" s="10" t="s">
        <v>968</v>
      </c>
      <c r="D550" s="14" t="s">
        <v>969</v>
      </c>
      <c r="E550" s="10"/>
      <c r="F550" s="10" t="s">
        <v>229</v>
      </c>
      <c r="G550" s="111" t="n">
        <v>66.53993</v>
      </c>
      <c r="H550" s="152" t="n">
        <v>0</v>
      </c>
      <c r="I550" s="111">
        <f>G550*H550</f>
      </c>
      <c r="J550" s="153" t="s">
        <v>134</v>
      </c>
      <c r="K550" s="146"/>
      <c r="Z550" s="111">
        <f>IF(AQ550="5",BJ550,0)</f>
      </c>
      <c r="AB550" s="111">
        <f>IF(AQ550="1",BH550,0)</f>
      </c>
      <c r="AC550" s="111">
        <f>IF(AQ550="1",BI550,0)</f>
      </c>
      <c r="AD550" s="111">
        <f>IF(AQ550="7",BH550,0)</f>
      </c>
      <c r="AE550" s="111">
        <f>IF(AQ550="7",BI550,0)</f>
      </c>
      <c r="AF550" s="111">
        <f>IF(AQ550="2",BH550,0)</f>
      </c>
      <c r="AG550" s="111">
        <f>IF(AQ550="2",BI550,0)</f>
      </c>
      <c r="AH550" s="111">
        <f>IF(AQ550="0",BJ550,0)</f>
      </c>
      <c r="AI550" s="132" t="s">
        <v>84</v>
      </c>
      <c r="AJ550" s="111">
        <f>IF(AN550=0,I550,0)</f>
      </c>
      <c r="AK550" s="111">
        <f>IF(AN550=12,I550,0)</f>
      </c>
      <c r="AL550" s="111">
        <f>IF(AN550=21,I550,0)</f>
      </c>
      <c r="AN550" s="111" t="n">
        <v>21</v>
      </c>
      <c r="AO550" s="111">
        <f>H550*0</f>
      </c>
      <c r="AP550" s="111">
        <f>H550*(1-0)</f>
      </c>
      <c r="AQ550" s="153" t="s">
        <v>156</v>
      </c>
      <c r="AV550" s="111">
        <f>AW550+AX550</f>
      </c>
      <c r="AW550" s="111">
        <f>G550*AO550</f>
      </c>
      <c r="AX550" s="111">
        <f>G550*AP550</f>
      </c>
      <c r="AY550" s="153" t="s">
        <v>938</v>
      </c>
      <c r="AZ550" s="153" t="s">
        <v>939</v>
      </c>
      <c r="BA550" s="132" t="s">
        <v>137</v>
      </c>
      <c r="BC550" s="111">
        <f>AW550+AX550</f>
      </c>
      <c r="BD550" s="111">
        <f>H550/(100-BE550)*100</f>
      </c>
      <c r="BE550" s="111" t="n">
        <v>0</v>
      </c>
      <c r="BF550" s="111">
        <f>550</f>
      </c>
      <c r="BH550" s="111">
        <f>G550*AO550</f>
      </c>
      <c r="BI550" s="111">
        <f>G550*AP550</f>
      </c>
      <c r="BJ550" s="111">
        <f>G550*H550</f>
      </c>
      <c r="BK550" s="111"/>
      <c r="BL550" s="111" t="n">
        <v>59</v>
      </c>
      <c r="BW550" s="111" t="n">
        <v>21</v>
      </c>
      <c r="BX550" s="14" t="s">
        <v>969</v>
      </c>
    </row>
    <row r="551">
      <c r="A551" s="147" t="s">
        <v>4</v>
      </c>
      <c r="B551" s="148" t="s">
        <v>84</v>
      </c>
      <c r="C551" s="148" t="s">
        <v>534</v>
      </c>
      <c r="D551" s="149" t="s">
        <v>970</v>
      </c>
      <c r="E551" s="148"/>
      <c r="F551" s="150" t="s">
        <v>79</v>
      </c>
      <c r="G551" s="150" t="s">
        <v>79</v>
      </c>
      <c r="H551" s="151" t="s">
        <v>79</v>
      </c>
      <c r="I551" s="117">
        <f>SUM(I552:I596)</f>
      </c>
      <c r="J551" s="132" t="s">
        <v>4</v>
      </c>
      <c r="K551" s="146"/>
      <c r="AI551" s="132" t="s">
        <v>84</v>
      </c>
      <c r="AS551" s="117">
        <f>SUM(AJ552:AJ596)</f>
      </c>
      <c r="AT551" s="117">
        <f>SUM(AK552:AK596)</f>
      </c>
      <c r="AU551" s="117">
        <f>SUM(AL552:AL596)</f>
      </c>
    </row>
    <row r="552">
      <c r="A552" s="9" t="s">
        <v>971</v>
      </c>
      <c r="B552" s="10" t="s">
        <v>84</v>
      </c>
      <c r="C552" s="10" t="s">
        <v>972</v>
      </c>
      <c r="D552" s="14" t="s">
        <v>973</v>
      </c>
      <c r="E552" s="10"/>
      <c r="F552" s="10" t="s">
        <v>145</v>
      </c>
      <c r="G552" s="111" t="n">
        <v>789.3665</v>
      </c>
      <c r="H552" s="152" t="n">
        <v>0</v>
      </c>
      <c r="I552" s="111">
        <f>G552*H552</f>
      </c>
      <c r="J552" s="153" t="s">
        <v>134</v>
      </c>
      <c r="K552" s="146"/>
      <c r="Z552" s="111">
        <f>IF(AQ552="5",BJ552,0)</f>
      </c>
      <c r="AB552" s="111">
        <f>IF(AQ552="1",BH552,0)</f>
      </c>
      <c r="AC552" s="111">
        <f>IF(AQ552="1",BI552,0)</f>
      </c>
      <c r="AD552" s="111">
        <f>IF(AQ552="7",BH552,0)</f>
      </c>
      <c r="AE552" s="111">
        <f>IF(AQ552="7",BI552,0)</f>
      </c>
      <c r="AF552" s="111">
        <f>IF(AQ552="2",BH552,0)</f>
      </c>
      <c r="AG552" s="111">
        <f>IF(AQ552="2",BI552,0)</f>
      </c>
      <c r="AH552" s="111">
        <f>IF(AQ552="0",BJ552,0)</f>
      </c>
      <c r="AI552" s="132" t="s">
        <v>84</v>
      </c>
      <c r="AJ552" s="111">
        <f>IF(AN552=0,I552,0)</f>
      </c>
      <c r="AK552" s="111">
        <f>IF(AN552=12,I552,0)</f>
      </c>
      <c r="AL552" s="111">
        <f>IF(AN552=21,I552,0)</f>
      </c>
      <c r="AN552" s="111" t="n">
        <v>21</v>
      </c>
      <c r="AO552" s="111">
        <f>H552*0.131226055</f>
      </c>
      <c r="AP552" s="111">
        <f>H552*(1-0.131226055)</f>
      </c>
      <c r="AQ552" s="153" t="s">
        <v>130</v>
      </c>
      <c r="AV552" s="111">
        <f>AW552+AX552</f>
      </c>
      <c r="AW552" s="111">
        <f>G552*AO552</f>
      </c>
      <c r="AX552" s="111">
        <f>G552*AP552</f>
      </c>
      <c r="AY552" s="153" t="s">
        <v>974</v>
      </c>
      <c r="AZ552" s="153" t="s">
        <v>975</v>
      </c>
      <c r="BA552" s="132" t="s">
        <v>137</v>
      </c>
      <c r="BC552" s="111">
        <f>AW552+AX552</f>
      </c>
      <c r="BD552" s="111">
        <f>H552/(100-BE552)*100</f>
      </c>
      <c r="BE552" s="111" t="n">
        <v>0</v>
      </c>
      <c r="BF552" s="111">
        <f>552</f>
      </c>
      <c r="BH552" s="111">
        <f>G552*AO552</f>
      </c>
      <c r="BI552" s="111">
        <f>G552*AP552</f>
      </c>
      <c r="BJ552" s="111">
        <f>G552*H552</f>
      </c>
      <c r="BK552" s="111"/>
      <c r="BL552" s="111" t="n">
        <v>61</v>
      </c>
      <c r="BW552" s="111" t="n">
        <v>21</v>
      </c>
      <c r="BX552" s="14" t="s">
        <v>973</v>
      </c>
    </row>
    <row r="553">
      <c r="A553" s="154"/>
      <c r="B553" s="155"/>
      <c r="C553" s="155"/>
      <c r="D553" s="156" t="s">
        <v>976</v>
      </c>
      <c r="E553" s="156" t="s">
        <v>977</v>
      </c>
      <c r="F553" s="155"/>
      <c r="G553" s="157" t="n">
        <v>22.1275</v>
      </c>
      <c r="H553" s="158"/>
      <c r="I553" s="155"/>
      <c r="J553" s="155"/>
      <c r="K553" s="146"/>
    </row>
    <row r="554">
      <c r="A554" s="154"/>
      <c r="B554" s="155"/>
      <c r="C554" s="155"/>
      <c r="D554" s="156" t="s">
        <v>978</v>
      </c>
      <c r="E554" s="156" t="s">
        <v>4</v>
      </c>
      <c r="F554" s="155"/>
      <c r="G554" s="157" t="n">
        <v>-4.32</v>
      </c>
      <c r="H554" s="158"/>
      <c r="I554" s="155"/>
      <c r="J554" s="155"/>
      <c r="K554" s="146"/>
    </row>
    <row r="555">
      <c r="A555" s="154"/>
      <c r="B555" s="155"/>
      <c r="C555" s="155"/>
      <c r="D555" s="156" t="s">
        <v>979</v>
      </c>
      <c r="E555" s="156" t="s">
        <v>596</v>
      </c>
      <c r="F555" s="155"/>
      <c r="G555" s="157" t="n">
        <v>92.17</v>
      </c>
      <c r="H555" s="158"/>
      <c r="I555" s="155"/>
      <c r="J555" s="155"/>
      <c r="K555" s="146"/>
    </row>
    <row r="556">
      <c r="A556" s="154"/>
      <c r="B556" s="155"/>
      <c r="C556" s="155"/>
      <c r="D556" s="156" t="s">
        <v>980</v>
      </c>
      <c r="E556" s="156" t="s">
        <v>4</v>
      </c>
      <c r="F556" s="155"/>
      <c r="G556" s="157" t="n">
        <v>-3.85</v>
      </c>
      <c r="H556" s="158"/>
      <c r="I556" s="155"/>
      <c r="J556" s="155"/>
      <c r="K556" s="146"/>
    </row>
    <row r="557">
      <c r="A557" s="154"/>
      <c r="B557" s="155"/>
      <c r="C557" s="155"/>
      <c r="D557" s="156" t="s">
        <v>981</v>
      </c>
      <c r="E557" s="156" t="s">
        <v>982</v>
      </c>
      <c r="F557" s="155"/>
      <c r="G557" s="157" t="n">
        <v>41.101</v>
      </c>
      <c r="H557" s="158"/>
      <c r="I557" s="155"/>
      <c r="J557" s="155"/>
      <c r="K557" s="146"/>
    </row>
    <row r="558">
      <c r="A558" s="154"/>
      <c r="B558" s="155"/>
      <c r="C558" s="155"/>
      <c r="D558" s="156" t="s">
        <v>983</v>
      </c>
      <c r="E558" s="156" t="s">
        <v>862</v>
      </c>
      <c r="F558" s="155"/>
      <c r="G558" s="157" t="n">
        <v>36.818</v>
      </c>
      <c r="H558" s="158"/>
      <c r="I558" s="155"/>
      <c r="J558" s="155"/>
      <c r="K558" s="146"/>
    </row>
    <row r="559">
      <c r="A559" s="154"/>
      <c r="B559" s="155"/>
      <c r="C559" s="155"/>
      <c r="D559" s="156" t="s">
        <v>984</v>
      </c>
      <c r="E559" s="156" t="s">
        <v>985</v>
      </c>
      <c r="F559" s="155"/>
      <c r="G559" s="157" t="n">
        <v>264.108</v>
      </c>
      <c r="H559" s="158"/>
      <c r="I559" s="155"/>
      <c r="J559" s="155"/>
      <c r="K559" s="146"/>
    </row>
    <row r="560">
      <c r="A560" s="154"/>
      <c r="B560" s="155"/>
      <c r="C560" s="155"/>
      <c r="D560" s="156" t="s">
        <v>986</v>
      </c>
      <c r="E560" s="156" t="s">
        <v>987</v>
      </c>
      <c r="F560" s="155"/>
      <c r="G560" s="157" t="n">
        <v>0</v>
      </c>
      <c r="H560" s="158"/>
      <c r="I560" s="155"/>
      <c r="J560" s="155"/>
      <c r="K560" s="146"/>
    </row>
    <row r="561">
      <c r="A561" s="154"/>
      <c r="B561" s="155"/>
      <c r="C561" s="155"/>
      <c r="D561" s="156" t="s">
        <v>988</v>
      </c>
      <c r="E561" s="156" t="s">
        <v>989</v>
      </c>
      <c r="F561" s="155"/>
      <c r="G561" s="157" t="n">
        <v>40.238</v>
      </c>
      <c r="H561" s="158"/>
      <c r="I561" s="155"/>
      <c r="J561" s="155"/>
      <c r="K561" s="146"/>
    </row>
    <row r="562">
      <c r="A562" s="154"/>
      <c r="B562" s="155"/>
      <c r="C562" s="155"/>
      <c r="D562" s="156" t="s">
        <v>990</v>
      </c>
      <c r="E562" s="156" t="s">
        <v>991</v>
      </c>
      <c r="F562" s="155"/>
      <c r="G562" s="157" t="n">
        <v>14.195</v>
      </c>
      <c r="H562" s="158"/>
      <c r="I562" s="155"/>
      <c r="J562" s="155"/>
      <c r="K562" s="146"/>
    </row>
    <row r="563">
      <c r="A563" s="154"/>
      <c r="B563" s="155"/>
      <c r="C563" s="155"/>
      <c r="D563" s="156" t="s">
        <v>992</v>
      </c>
      <c r="E563" s="156" t="s">
        <v>993</v>
      </c>
      <c r="F563" s="155"/>
      <c r="G563" s="157" t="n">
        <v>15.678</v>
      </c>
      <c r="H563" s="158"/>
      <c r="I563" s="155"/>
      <c r="J563" s="155"/>
      <c r="K563" s="146"/>
    </row>
    <row r="564">
      <c r="A564" s="154"/>
      <c r="B564" s="155"/>
      <c r="C564" s="155"/>
      <c r="D564" s="156" t="s">
        <v>994</v>
      </c>
      <c r="E564" s="156" t="s">
        <v>995</v>
      </c>
      <c r="F564" s="155"/>
      <c r="G564" s="157" t="n">
        <v>13.984</v>
      </c>
      <c r="H564" s="158"/>
      <c r="I564" s="155"/>
      <c r="J564" s="155"/>
      <c r="K564" s="146"/>
    </row>
    <row r="565">
      <c r="A565" s="154"/>
      <c r="B565" s="155"/>
      <c r="C565" s="155"/>
      <c r="D565" s="156" t="s">
        <v>996</v>
      </c>
      <c r="E565" s="156" t="s">
        <v>997</v>
      </c>
      <c r="F565" s="155"/>
      <c r="G565" s="157" t="n">
        <v>38.675</v>
      </c>
      <c r="H565" s="158"/>
      <c r="I565" s="155"/>
      <c r="J565" s="155"/>
      <c r="K565" s="146"/>
    </row>
    <row r="566">
      <c r="A566" s="154"/>
      <c r="B566" s="155"/>
      <c r="C566" s="155"/>
      <c r="D566" s="156" t="s">
        <v>998</v>
      </c>
      <c r="E566" s="156" t="s">
        <v>4</v>
      </c>
      <c r="F566" s="155"/>
      <c r="G566" s="157" t="n">
        <v>-4.762</v>
      </c>
      <c r="H566" s="158"/>
      <c r="I566" s="155"/>
      <c r="J566" s="155"/>
      <c r="K566" s="146"/>
    </row>
    <row r="567">
      <c r="A567" s="154"/>
      <c r="B567" s="155"/>
      <c r="C567" s="155"/>
      <c r="D567" s="156" t="s">
        <v>999</v>
      </c>
      <c r="E567" s="156" t="s">
        <v>1000</v>
      </c>
      <c r="F567" s="155"/>
      <c r="G567" s="157" t="n">
        <v>38.451</v>
      </c>
      <c r="H567" s="158"/>
      <c r="I567" s="155"/>
      <c r="J567" s="155"/>
      <c r="K567" s="146"/>
    </row>
    <row r="568">
      <c r="A568" s="154"/>
      <c r="B568" s="155"/>
      <c r="C568" s="155"/>
      <c r="D568" s="156" t="s">
        <v>1001</v>
      </c>
      <c r="E568" s="156" t="s">
        <v>4</v>
      </c>
      <c r="F568" s="155"/>
      <c r="G568" s="157" t="n">
        <v>-7.718</v>
      </c>
      <c r="H568" s="158"/>
      <c r="I568" s="155"/>
      <c r="J568" s="155"/>
      <c r="K568" s="146"/>
    </row>
    <row r="569">
      <c r="A569" s="154"/>
      <c r="B569" s="155"/>
      <c r="C569" s="155"/>
      <c r="D569" s="156" t="s">
        <v>1002</v>
      </c>
      <c r="E569" s="156" t="s">
        <v>933</v>
      </c>
      <c r="F569" s="155"/>
      <c r="G569" s="157" t="n">
        <v>53.727</v>
      </c>
      <c r="H569" s="158"/>
      <c r="I569" s="155"/>
      <c r="J569" s="155"/>
      <c r="K569" s="146"/>
    </row>
    <row r="570">
      <c r="A570" s="154"/>
      <c r="B570" s="155"/>
      <c r="C570" s="155"/>
      <c r="D570" s="156" t="s">
        <v>1003</v>
      </c>
      <c r="E570" s="156" t="s">
        <v>4</v>
      </c>
      <c r="F570" s="155"/>
      <c r="G570" s="157" t="n">
        <v>-2.758</v>
      </c>
      <c r="H570" s="158"/>
      <c r="I570" s="155"/>
      <c r="J570" s="155"/>
      <c r="K570" s="146"/>
    </row>
    <row r="571">
      <c r="A571" s="154"/>
      <c r="B571" s="155"/>
      <c r="C571" s="155"/>
      <c r="D571" s="156" t="s">
        <v>1004</v>
      </c>
      <c r="E571" s="156" t="s">
        <v>1005</v>
      </c>
      <c r="F571" s="155"/>
      <c r="G571" s="157" t="n">
        <v>114.265</v>
      </c>
      <c r="H571" s="158"/>
      <c r="I571" s="155"/>
      <c r="J571" s="155"/>
      <c r="K571" s="146"/>
    </row>
    <row r="572">
      <c r="A572" s="154"/>
      <c r="B572" s="155"/>
      <c r="C572" s="155"/>
      <c r="D572" s="156" t="s">
        <v>1006</v>
      </c>
      <c r="E572" s="156" t="s">
        <v>4</v>
      </c>
      <c r="F572" s="155"/>
      <c r="G572" s="157" t="n">
        <v>-8.208</v>
      </c>
      <c r="H572" s="158"/>
      <c r="I572" s="155"/>
      <c r="J572" s="155"/>
      <c r="K572" s="146"/>
    </row>
    <row r="573">
      <c r="A573" s="154"/>
      <c r="B573" s="155"/>
      <c r="C573" s="155"/>
      <c r="D573" s="156" t="s">
        <v>1007</v>
      </c>
      <c r="E573" s="156" t="s">
        <v>1008</v>
      </c>
      <c r="F573" s="155"/>
      <c r="G573" s="157" t="n">
        <v>6.23</v>
      </c>
      <c r="H573" s="158"/>
      <c r="I573" s="155"/>
      <c r="J573" s="155"/>
      <c r="K573" s="146"/>
    </row>
    <row r="574">
      <c r="A574" s="154"/>
      <c r="B574" s="155"/>
      <c r="C574" s="155"/>
      <c r="D574" s="156" t="s">
        <v>1009</v>
      </c>
      <c r="E574" s="156" t="s">
        <v>1010</v>
      </c>
      <c r="F574" s="155"/>
      <c r="G574" s="157" t="n">
        <v>9.215</v>
      </c>
      <c r="H574" s="158"/>
      <c r="I574" s="155"/>
      <c r="J574" s="155"/>
      <c r="K574" s="146"/>
    </row>
    <row r="575">
      <c r="A575" s="154"/>
      <c r="B575" s="155"/>
      <c r="C575" s="155"/>
      <c r="D575" s="156" t="s">
        <v>255</v>
      </c>
      <c r="E575" s="156" t="s">
        <v>1011</v>
      </c>
      <c r="F575" s="155"/>
      <c r="G575" s="157" t="n">
        <v>20</v>
      </c>
      <c r="H575" s="158"/>
      <c r="I575" s="155"/>
      <c r="J575" s="155"/>
      <c r="K575" s="146"/>
    </row>
    <row r="576">
      <c r="A576" s="9" t="s">
        <v>1012</v>
      </c>
      <c r="B576" s="10" t="s">
        <v>84</v>
      </c>
      <c r="C576" s="10" t="s">
        <v>1013</v>
      </c>
      <c r="D576" s="14" t="s">
        <v>1014</v>
      </c>
      <c r="E576" s="10"/>
      <c r="F576" s="10" t="s">
        <v>145</v>
      </c>
      <c r="G576" s="111" t="n">
        <v>56.818</v>
      </c>
      <c r="H576" s="152" t="n">
        <v>0</v>
      </c>
      <c r="I576" s="111">
        <f>G576*H576</f>
      </c>
      <c r="J576" s="153" t="s">
        <v>134</v>
      </c>
      <c r="K576" s="146"/>
      <c r="Z576" s="111">
        <f>IF(AQ576="5",BJ576,0)</f>
      </c>
      <c r="AB576" s="111">
        <f>IF(AQ576="1",BH576,0)</f>
      </c>
      <c r="AC576" s="111">
        <f>IF(AQ576="1",BI576,0)</f>
      </c>
      <c r="AD576" s="111">
        <f>IF(AQ576="7",BH576,0)</f>
      </c>
      <c r="AE576" s="111">
        <f>IF(AQ576="7",BI576,0)</f>
      </c>
      <c r="AF576" s="111">
        <f>IF(AQ576="2",BH576,0)</f>
      </c>
      <c r="AG576" s="111">
        <f>IF(AQ576="2",BI576,0)</f>
      </c>
      <c r="AH576" s="111">
        <f>IF(AQ576="0",BJ576,0)</f>
      </c>
      <c r="AI576" s="132" t="s">
        <v>84</v>
      </c>
      <c r="AJ576" s="111">
        <f>IF(AN576=0,I576,0)</f>
      </c>
      <c r="AK576" s="111">
        <f>IF(AN576=12,I576,0)</f>
      </c>
      <c r="AL576" s="111">
        <f>IF(AN576=21,I576,0)</f>
      </c>
      <c r="AN576" s="111" t="n">
        <v>21</v>
      </c>
      <c r="AO576" s="111">
        <f>H576*0.326461465</f>
      </c>
      <c r="AP576" s="111">
        <f>H576*(1-0.326461465)</f>
      </c>
      <c r="AQ576" s="153" t="s">
        <v>130</v>
      </c>
      <c r="AV576" s="111">
        <f>AW576+AX576</f>
      </c>
      <c r="AW576" s="111">
        <f>G576*AO576</f>
      </c>
      <c r="AX576" s="111">
        <f>G576*AP576</f>
      </c>
      <c r="AY576" s="153" t="s">
        <v>974</v>
      </c>
      <c r="AZ576" s="153" t="s">
        <v>975</v>
      </c>
      <c r="BA576" s="132" t="s">
        <v>137</v>
      </c>
      <c r="BC576" s="111">
        <f>AW576+AX576</f>
      </c>
      <c r="BD576" s="111">
        <f>H576/(100-BE576)*100</f>
      </c>
      <c r="BE576" s="111" t="n">
        <v>0</v>
      </c>
      <c r="BF576" s="111">
        <f>576</f>
      </c>
      <c r="BH576" s="111">
        <f>G576*AO576</f>
      </c>
      <c r="BI576" s="111">
        <f>G576*AP576</f>
      </c>
      <c r="BJ576" s="111">
        <f>G576*H576</f>
      </c>
      <c r="BK576" s="111"/>
      <c r="BL576" s="111" t="n">
        <v>61</v>
      </c>
      <c r="BW576" s="111" t="n">
        <v>21</v>
      </c>
      <c r="BX576" s="14" t="s">
        <v>1014</v>
      </c>
    </row>
    <row r="577" customHeight="true" ht="13.5">
      <c r="A577" s="159"/>
      <c r="C577" s="160" t="s">
        <v>146</v>
      </c>
      <c r="D577" s="161" t="s">
        <v>1015</v>
      </c>
      <c r="E577" s="156"/>
      <c r="F577" s="156"/>
      <c r="G577" s="156"/>
      <c r="H577" s="162"/>
      <c r="I577" s="156"/>
      <c r="J577" s="156"/>
      <c r="K577" s="163"/>
    </row>
    <row r="578">
      <c r="A578" s="154"/>
      <c r="B578" s="155"/>
      <c r="C578" s="155"/>
      <c r="D578" s="156" t="s">
        <v>983</v>
      </c>
      <c r="E578" s="156" t="s">
        <v>1016</v>
      </c>
      <c r="F578" s="155"/>
      <c r="G578" s="157" t="n">
        <v>36.818</v>
      </c>
      <c r="H578" s="158"/>
      <c r="I578" s="155"/>
      <c r="J578" s="155"/>
      <c r="K578" s="146"/>
    </row>
    <row r="579">
      <c r="A579" s="154"/>
      <c r="B579" s="155"/>
      <c r="C579" s="155"/>
      <c r="D579" s="156" t="s">
        <v>255</v>
      </c>
      <c r="E579" s="156" t="s">
        <v>1011</v>
      </c>
      <c r="F579" s="155"/>
      <c r="G579" s="157" t="n">
        <v>20</v>
      </c>
      <c r="H579" s="158"/>
      <c r="I579" s="155"/>
      <c r="J579" s="155"/>
      <c r="K579" s="146"/>
    </row>
    <row r="580">
      <c r="A580" s="9" t="s">
        <v>1017</v>
      </c>
      <c r="B580" s="10" t="s">
        <v>84</v>
      </c>
      <c r="C580" s="10" t="s">
        <v>1018</v>
      </c>
      <c r="D580" s="14" t="s">
        <v>1019</v>
      </c>
      <c r="E580" s="10"/>
      <c r="F580" s="10" t="s">
        <v>145</v>
      </c>
      <c r="G580" s="111" t="n">
        <v>80</v>
      </c>
      <c r="H580" s="152" t="n">
        <v>0</v>
      </c>
      <c r="I580" s="111">
        <f>G580*H580</f>
      </c>
      <c r="J580" s="153" t="s">
        <v>134</v>
      </c>
      <c r="K580" s="146"/>
      <c r="Z580" s="111">
        <f>IF(AQ580="5",BJ580,0)</f>
      </c>
      <c r="AB580" s="111">
        <f>IF(AQ580="1",BH580,0)</f>
      </c>
      <c r="AC580" s="111">
        <f>IF(AQ580="1",BI580,0)</f>
      </c>
      <c r="AD580" s="111">
        <f>IF(AQ580="7",BH580,0)</f>
      </c>
      <c r="AE580" s="111">
        <f>IF(AQ580="7",BI580,0)</f>
      </c>
      <c r="AF580" s="111">
        <f>IF(AQ580="2",BH580,0)</f>
      </c>
      <c r="AG580" s="111">
        <f>IF(AQ580="2",BI580,0)</f>
      </c>
      <c r="AH580" s="111">
        <f>IF(AQ580="0",BJ580,0)</f>
      </c>
      <c r="AI580" s="132" t="s">
        <v>84</v>
      </c>
      <c r="AJ580" s="111">
        <f>IF(AN580=0,I580,0)</f>
      </c>
      <c r="AK580" s="111">
        <f>IF(AN580=12,I580,0)</f>
      </c>
      <c r="AL580" s="111">
        <f>IF(AN580=21,I580,0)</f>
      </c>
      <c r="AN580" s="111" t="n">
        <v>21</v>
      </c>
      <c r="AO580" s="111">
        <f>H580*0.462066116</f>
      </c>
      <c r="AP580" s="111">
        <f>H580*(1-0.462066116)</f>
      </c>
      <c r="AQ580" s="153" t="s">
        <v>130</v>
      </c>
      <c r="AV580" s="111">
        <f>AW580+AX580</f>
      </c>
      <c r="AW580" s="111">
        <f>G580*AO580</f>
      </c>
      <c r="AX580" s="111">
        <f>G580*AP580</f>
      </c>
      <c r="AY580" s="153" t="s">
        <v>974</v>
      </c>
      <c r="AZ580" s="153" t="s">
        <v>975</v>
      </c>
      <c r="BA580" s="132" t="s">
        <v>137</v>
      </c>
      <c r="BC580" s="111">
        <f>AW580+AX580</f>
      </c>
      <c r="BD580" s="111">
        <f>H580/(100-BE580)*100</f>
      </c>
      <c r="BE580" s="111" t="n">
        <v>0</v>
      </c>
      <c r="BF580" s="111">
        <f>580</f>
      </c>
      <c r="BH580" s="111">
        <f>G580*AO580</f>
      </c>
      <c r="BI580" s="111">
        <f>G580*AP580</f>
      </c>
      <c r="BJ580" s="111">
        <f>G580*H580</f>
      </c>
      <c r="BK580" s="111"/>
      <c r="BL580" s="111" t="n">
        <v>61</v>
      </c>
      <c r="BW580" s="111" t="n">
        <v>21</v>
      </c>
      <c r="BX580" s="14" t="s">
        <v>1019</v>
      </c>
    </row>
    <row r="581" customHeight="true" ht="13.5">
      <c r="A581" s="159"/>
      <c r="C581" s="160" t="s">
        <v>146</v>
      </c>
      <c r="D581" s="161" t="s">
        <v>1020</v>
      </c>
      <c r="E581" s="156"/>
      <c r="F581" s="156"/>
      <c r="G581" s="156"/>
      <c r="H581" s="162"/>
      <c r="I581" s="156"/>
      <c r="J581" s="156"/>
      <c r="K581" s="163"/>
    </row>
    <row r="582">
      <c r="A582" s="154"/>
      <c r="B582" s="155"/>
      <c r="C582" s="155"/>
      <c r="D582" s="156" t="s">
        <v>658</v>
      </c>
      <c r="E582" s="156" t="s">
        <v>1021</v>
      </c>
      <c r="F582" s="155"/>
      <c r="G582" s="157" t="n">
        <v>80</v>
      </c>
      <c r="H582" s="158"/>
      <c r="I582" s="155"/>
      <c r="J582" s="155"/>
      <c r="K582" s="146"/>
    </row>
    <row r="583">
      <c r="A583" s="9" t="s">
        <v>1022</v>
      </c>
      <c r="B583" s="10" t="s">
        <v>84</v>
      </c>
      <c r="C583" s="10" t="s">
        <v>1023</v>
      </c>
      <c r="D583" s="14" t="s">
        <v>1024</v>
      </c>
      <c r="E583" s="10"/>
      <c r="F583" s="10" t="s">
        <v>145</v>
      </c>
      <c r="G583" s="111" t="n">
        <v>156.794</v>
      </c>
      <c r="H583" s="152" t="n">
        <v>0</v>
      </c>
      <c r="I583" s="111">
        <f>G583*H583</f>
      </c>
      <c r="J583" s="153" t="s">
        <v>134</v>
      </c>
      <c r="K583" s="146"/>
      <c r="Z583" s="111">
        <f>IF(AQ583="5",BJ583,0)</f>
      </c>
      <c r="AB583" s="111">
        <f>IF(AQ583="1",BH583,0)</f>
      </c>
      <c r="AC583" s="111">
        <f>IF(AQ583="1",BI583,0)</f>
      </c>
      <c r="AD583" s="111">
        <f>IF(AQ583="7",BH583,0)</f>
      </c>
      <c r="AE583" s="111">
        <f>IF(AQ583="7",BI583,0)</f>
      </c>
      <c r="AF583" s="111">
        <f>IF(AQ583="2",BH583,0)</f>
      </c>
      <c r="AG583" s="111">
        <f>IF(AQ583="2",BI583,0)</f>
      </c>
      <c r="AH583" s="111">
        <f>IF(AQ583="0",BJ583,0)</f>
      </c>
      <c r="AI583" s="132" t="s">
        <v>84</v>
      </c>
      <c r="AJ583" s="111">
        <f>IF(AN583=0,I583,0)</f>
      </c>
      <c r="AK583" s="111">
        <f>IF(AN583=12,I583,0)</f>
      </c>
      <c r="AL583" s="111">
        <f>IF(AN583=21,I583,0)</f>
      </c>
      <c r="AN583" s="111" t="n">
        <v>21</v>
      </c>
      <c r="AO583" s="111">
        <f>H583*0.152220755</f>
      </c>
      <c r="AP583" s="111">
        <f>H583*(1-0.152220755)</f>
      </c>
      <c r="AQ583" s="153" t="s">
        <v>130</v>
      </c>
      <c r="AV583" s="111">
        <f>AW583+AX583</f>
      </c>
      <c r="AW583" s="111">
        <f>G583*AO583</f>
      </c>
      <c r="AX583" s="111">
        <f>G583*AP583</f>
      </c>
      <c r="AY583" s="153" t="s">
        <v>974</v>
      </c>
      <c r="AZ583" s="153" t="s">
        <v>975</v>
      </c>
      <c r="BA583" s="132" t="s">
        <v>137</v>
      </c>
      <c r="BC583" s="111">
        <f>AW583+AX583</f>
      </c>
      <c r="BD583" s="111">
        <f>H583/(100-BE583)*100</f>
      </c>
      <c r="BE583" s="111" t="n">
        <v>0</v>
      </c>
      <c r="BF583" s="111">
        <f>583</f>
      </c>
      <c r="BH583" s="111">
        <f>G583*AO583</f>
      </c>
      <c r="BI583" s="111">
        <f>G583*AP583</f>
      </c>
      <c r="BJ583" s="111">
        <f>G583*H583</f>
      </c>
      <c r="BK583" s="111"/>
      <c r="BL583" s="111" t="n">
        <v>61</v>
      </c>
      <c r="BW583" s="111" t="n">
        <v>21</v>
      </c>
      <c r="BX583" s="14" t="s">
        <v>1024</v>
      </c>
    </row>
    <row r="584" customHeight="true" ht="13.5">
      <c r="A584" s="159"/>
      <c r="C584" s="160" t="s">
        <v>146</v>
      </c>
      <c r="D584" s="161" t="s">
        <v>1025</v>
      </c>
      <c r="E584" s="156"/>
      <c r="F584" s="156"/>
      <c r="G584" s="156"/>
      <c r="H584" s="162"/>
      <c r="I584" s="156"/>
      <c r="J584" s="156"/>
      <c r="K584" s="163"/>
    </row>
    <row r="585">
      <c r="A585" s="154"/>
      <c r="B585" s="155"/>
      <c r="C585" s="155"/>
      <c r="D585" s="156" t="s">
        <v>1026</v>
      </c>
      <c r="E585" s="156" t="s">
        <v>864</v>
      </c>
      <c r="F585" s="155"/>
      <c r="G585" s="157" t="n">
        <v>25.896</v>
      </c>
      <c r="H585" s="158"/>
      <c r="I585" s="155"/>
      <c r="J585" s="155"/>
      <c r="K585" s="146"/>
    </row>
    <row r="586">
      <c r="A586" s="154"/>
      <c r="B586" s="155"/>
      <c r="C586" s="155"/>
      <c r="D586" s="156" t="s">
        <v>1027</v>
      </c>
      <c r="E586" s="156" t="s">
        <v>566</v>
      </c>
      <c r="F586" s="155"/>
      <c r="G586" s="157" t="n">
        <v>25.416</v>
      </c>
      <c r="H586" s="158"/>
      <c r="I586" s="155"/>
      <c r="J586" s="155"/>
      <c r="K586" s="146"/>
    </row>
    <row r="587">
      <c r="A587" s="154"/>
      <c r="B587" s="155"/>
      <c r="C587" s="155"/>
      <c r="D587" s="156" t="s">
        <v>1028</v>
      </c>
      <c r="E587" s="156" t="s">
        <v>865</v>
      </c>
      <c r="F587" s="155"/>
      <c r="G587" s="157" t="n">
        <v>18.342</v>
      </c>
      <c r="H587" s="158"/>
      <c r="I587" s="155"/>
      <c r="J587" s="155"/>
      <c r="K587" s="146"/>
    </row>
    <row r="588">
      <c r="A588" s="154"/>
      <c r="B588" s="155"/>
      <c r="C588" s="155"/>
      <c r="D588" s="156" t="s">
        <v>1029</v>
      </c>
      <c r="E588" s="156" t="s">
        <v>1030</v>
      </c>
      <c r="F588" s="155"/>
      <c r="G588" s="157" t="n">
        <v>17.236</v>
      </c>
      <c r="H588" s="158"/>
      <c r="I588" s="155"/>
      <c r="J588" s="155"/>
      <c r="K588" s="146"/>
    </row>
    <row r="589">
      <c r="A589" s="154"/>
      <c r="B589" s="155"/>
      <c r="C589" s="155"/>
      <c r="D589" s="156" t="s">
        <v>1031</v>
      </c>
      <c r="E589" s="156" t="s">
        <v>1032</v>
      </c>
      <c r="F589" s="155"/>
      <c r="G589" s="157" t="n">
        <v>25.429</v>
      </c>
      <c r="H589" s="158"/>
      <c r="I589" s="155"/>
      <c r="J589" s="155"/>
      <c r="K589" s="146"/>
    </row>
    <row r="590">
      <c r="A590" s="154"/>
      <c r="B590" s="155"/>
      <c r="C590" s="155"/>
      <c r="D590" s="156" t="s">
        <v>1033</v>
      </c>
      <c r="E590" s="156" t="s">
        <v>1034</v>
      </c>
      <c r="F590" s="155"/>
      <c r="G590" s="157" t="n">
        <v>12.973</v>
      </c>
      <c r="H590" s="158"/>
      <c r="I590" s="155"/>
      <c r="J590" s="155"/>
      <c r="K590" s="146"/>
    </row>
    <row r="591">
      <c r="A591" s="154"/>
      <c r="B591" s="155"/>
      <c r="C591" s="155"/>
      <c r="D591" s="156" t="s">
        <v>1035</v>
      </c>
      <c r="E591" s="156" t="s">
        <v>1008</v>
      </c>
      <c r="F591" s="155"/>
      <c r="G591" s="157" t="n">
        <v>15.441</v>
      </c>
      <c r="H591" s="158"/>
      <c r="I591" s="155"/>
      <c r="J591" s="155"/>
      <c r="K591" s="146"/>
    </row>
    <row r="592">
      <c r="A592" s="154"/>
      <c r="B592" s="155"/>
      <c r="C592" s="155"/>
      <c r="D592" s="156" t="s">
        <v>1036</v>
      </c>
      <c r="E592" s="156" t="s">
        <v>1010</v>
      </c>
      <c r="F592" s="155"/>
      <c r="G592" s="157" t="n">
        <v>16.061</v>
      </c>
      <c r="H592" s="158"/>
      <c r="I592" s="155"/>
      <c r="J592" s="155"/>
      <c r="K592" s="146"/>
    </row>
    <row r="593">
      <c r="A593" s="9" t="s">
        <v>1037</v>
      </c>
      <c r="B593" s="10" t="s">
        <v>84</v>
      </c>
      <c r="C593" s="10" t="s">
        <v>1038</v>
      </c>
      <c r="D593" s="14" t="s">
        <v>1039</v>
      </c>
      <c r="E593" s="10"/>
      <c r="F593" s="10" t="s">
        <v>145</v>
      </c>
      <c r="G593" s="111" t="n">
        <v>1.242</v>
      </c>
      <c r="H593" s="152" t="n">
        <v>0</v>
      </c>
      <c r="I593" s="111">
        <f>G593*H593</f>
      </c>
      <c r="J593" s="153" t="s">
        <v>134</v>
      </c>
      <c r="K593" s="146"/>
      <c r="Z593" s="111">
        <f>IF(AQ593="5",BJ593,0)</f>
      </c>
      <c r="AB593" s="111">
        <f>IF(AQ593="1",BH593,0)</f>
      </c>
      <c r="AC593" s="111">
        <f>IF(AQ593="1",BI593,0)</f>
      </c>
      <c r="AD593" s="111">
        <f>IF(AQ593="7",BH593,0)</f>
      </c>
      <c r="AE593" s="111">
        <f>IF(AQ593="7",BI593,0)</f>
      </c>
      <c r="AF593" s="111">
        <f>IF(AQ593="2",BH593,0)</f>
      </c>
      <c r="AG593" s="111">
        <f>IF(AQ593="2",BI593,0)</f>
      </c>
      <c r="AH593" s="111">
        <f>IF(AQ593="0",BJ593,0)</f>
      </c>
      <c r="AI593" s="132" t="s">
        <v>84</v>
      </c>
      <c r="AJ593" s="111">
        <f>IF(AN593=0,I593,0)</f>
      </c>
      <c r="AK593" s="111">
        <f>IF(AN593=12,I593,0)</f>
      </c>
      <c r="AL593" s="111">
        <f>IF(AN593=21,I593,0)</f>
      </c>
      <c r="AN593" s="111" t="n">
        <v>21</v>
      </c>
      <c r="AO593" s="111">
        <f>H593*0.330070597</f>
      </c>
      <c r="AP593" s="111">
        <f>H593*(1-0.330070597)</f>
      </c>
      <c r="AQ593" s="153" t="s">
        <v>130</v>
      </c>
      <c r="AV593" s="111">
        <f>AW593+AX593</f>
      </c>
      <c r="AW593" s="111">
        <f>G593*AO593</f>
      </c>
      <c r="AX593" s="111">
        <f>G593*AP593</f>
      </c>
      <c r="AY593" s="153" t="s">
        <v>974</v>
      </c>
      <c r="AZ593" s="153" t="s">
        <v>975</v>
      </c>
      <c r="BA593" s="132" t="s">
        <v>137</v>
      </c>
      <c r="BC593" s="111">
        <f>AW593+AX593</f>
      </c>
      <c r="BD593" s="111">
        <f>H593/(100-BE593)*100</f>
      </c>
      <c r="BE593" s="111" t="n">
        <v>0</v>
      </c>
      <c r="BF593" s="111">
        <f>593</f>
      </c>
      <c r="BH593" s="111">
        <f>G593*AO593</f>
      </c>
      <c r="BI593" s="111">
        <f>G593*AP593</f>
      </c>
      <c r="BJ593" s="111">
        <f>G593*H593</f>
      </c>
      <c r="BK593" s="111"/>
      <c r="BL593" s="111" t="n">
        <v>61</v>
      </c>
      <c r="BW593" s="111" t="n">
        <v>21</v>
      </c>
      <c r="BX593" s="14" t="s">
        <v>1039</v>
      </c>
    </row>
    <row r="594" customHeight="true" ht="13.5">
      <c r="A594" s="159"/>
      <c r="C594" s="160" t="s">
        <v>146</v>
      </c>
      <c r="D594" s="161" t="s">
        <v>707</v>
      </c>
      <c r="E594" s="156"/>
      <c r="F594" s="156"/>
      <c r="G594" s="156"/>
      <c r="H594" s="162"/>
      <c r="I594" s="156"/>
      <c r="J594" s="156"/>
      <c r="K594" s="163"/>
    </row>
    <row r="595">
      <c r="A595" s="154"/>
      <c r="B595" s="155"/>
      <c r="C595" s="155"/>
      <c r="D595" s="156" t="s">
        <v>1040</v>
      </c>
      <c r="E595" s="156" t="s">
        <v>1041</v>
      </c>
      <c r="F595" s="155"/>
      <c r="G595" s="157" t="n">
        <v>1.242</v>
      </c>
      <c r="H595" s="158"/>
      <c r="I595" s="155"/>
      <c r="J595" s="155"/>
      <c r="K595" s="146"/>
    </row>
    <row r="596">
      <c r="A596" s="9" t="s">
        <v>1042</v>
      </c>
      <c r="B596" s="10" t="s">
        <v>84</v>
      </c>
      <c r="C596" s="10" t="s">
        <v>1043</v>
      </c>
      <c r="D596" s="14" t="s">
        <v>1044</v>
      </c>
      <c r="E596" s="10"/>
      <c r="F596" s="10" t="s">
        <v>282</v>
      </c>
      <c r="G596" s="111" t="n">
        <v>115.65</v>
      </c>
      <c r="H596" s="152" t="n">
        <v>0</v>
      </c>
      <c r="I596" s="111">
        <f>G596*H596</f>
      </c>
      <c r="J596" s="153" t="s">
        <v>134</v>
      </c>
      <c r="K596" s="146"/>
      <c r="Z596" s="111">
        <f>IF(AQ596="5",BJ596,0)</f>
      </c>
      <c r="AB596" s="111">
        <f>IF(AQ596="1",BH596,0)</f>
      </c>
      <c r="AC596" s="111">
        <f>IF(AQ596="1",BI596,0)</f>
      </c>
      <c r="AD596" s="111">
        <f>IF(AQ596="7",BH596,0)</f>
      </c>
      <c r="AE596" s="111">
        <f>IF(AQ596="7",BI596,0)</f>
      </c>
      <c r="AF596" s="111">
        <f>IF(AQ596="2",BH596,0)</f>
      </c>
      <c r="AG596" s="111">
        <f>IF(AQ596="2",BI596,0)</f>
      </c>
      <c r="AH596" s="111">
        <f>IF(AQ596="0",BJ596,0)</f>
      </c>
      <c r="AI596" s="132" t="s">
        <v>84</v>
      </c>
      <c r="AJ596" s="111">
        <f>IF(AN596=0,I596,0)</f>
      </c>
      <c r="AK596" s="111">
        <f>IF(AN596=12,I596,0)</f>
      </c>
      <c r="AL596" s="111">
        <f>IF(AN596=21,I596,0)</f>
      </c>
      <c r="AN596" s="111" t="n">
        <v>21</v>
      </c>
      <c r="AO596" s="111">
        <f>H596*0.72339973</f>
      </c>
      <c r="AP596" s="111">
        <f>H596*(1-0.72339973)</f>
      </c>
      <c r="AQ596" s="153" t="s">
        <v>130</v>
      </c>
      <c r="AV596" s="111">
        <f>AW596+AX596</f>
      </c>
      <c r="AW596" s="111">
        <f>G596*AO596</f>
      </c>
      <c r="AX596" s="111">
        <f>G596*AP596</f>
      </c>
      <c r="AY596" s="153" t="s">
        <v>974</v>
      </c>
      <c r="AZ596" s="153" t="s">
        <v>975</v>
      </c>
      <c r="BA596" s="132" t="s">
        <v>137</v>
      </c>
      <c r="BC596" s="111">
        <f>AW596+AX596</f>
      </c>
      <c r="BD596" s="111">
        <f>H596/(100-BE596)*100</f>
      </c>
      <c r="BE596" s="111" t="n">
        <v>0</v>
      </c>
      <c r="BF596" s="111">
        <f>596</f>
      </c>
      <c r="BH596" s="111">
        <f>G596*AO596</f>
      </c>
      <c r="BI596" s="111">
        <f>G596*AP596</f>
      </c>
      <c r="BJ596" s="111">
        <f>G596*H596</f>
      </c>
      <c r="BK596" s="111"/>
      <c r="BL596" s="111" t="n">
        <v>61</v>
      </c>
      <c r="BW596" s="111" t="n">
        <v>21</v>
      </c>
      <c r="BX596" s="14" t="s">
        <v>1044</v>
      </c>
    </row>
    <row r="597" customHeight="true" ht="13.5">
      <c r="A597" s="159"/>
      <c r="C597" s="160" t="s">
        <v>146</v>
      </c>
      <c r="D597" s="161" t="s">
        <v>1020</v>
      </c>
      <c r="E597" s="156"/>
      <c r="F597" s="156"/>
      <c r="G597" s="156"/>
      <c r="H597" s="162"/>
      <c r="I597" s="156"/>
      <c r="J597" s="156"/>
      <c r="K597" s="163"/>
    </row>
    <row r="598">
      <c r="A598" s="154"/>
      <c r="B598" s="155"/>
      <c r="C598" s="155"/>
      <c r="D598" s="156" t="s">
        <v>1045</v>
      </c>
      <c r="E598" s="156" t="s">
        <v>1046</v>
      </c>
      <c r="F598" s="155"/>
      <c r="G598" s="157" t="n">
        <v>28.7</v>
      </c>
      <c r="H598" s="158"/>
      <c r="I598" s="155"/>
      <c r="J598" s="155"/>
      <c r="K598" s="146"/>
    </row>
    <row r="599">
      <c r="A599" s="154"/>
      <c r="B599" s="155"/>
      <c r="C599" s="155"/>
      <c r="D599" s="156" t="s">
        <v>1047</v>
      </c>
      <c r="E599" s="156" t="s">
        <v>1048</v>
      </c>
      <c r="F599" s="155"/>
      <c r="G599" s="157" t="n">
        <v>7.1</v>
      </c>
      <c r="H599" s="158"/>
      <c r="I599" s="155"/>
      <c r="J599" s="155"/>
      <c r="K599" s="146"/>
    </row>
    <row r="600">
      <c r="A600" s="154"/>
      <c r="B600" s="155"/>
      <c r="C600" s="155"/>
      <c r="D600" s="156" t="s">
        <v>1049</v>
      </c>
      <c r="E600" s="156" t="s">
        <v>1050</v>
      </c>
      <c r="F600" s="155"/>
      <c r="G600" s="157" t="n">
        <v>23.15</v>
      </c>
      <c r="H600" s="158"/>
      <c r="I600" s="155"/>
      <c r="J600" s="155"/>
      <c r="K600" s="146"/>
    </row>
    <row r="601">
      <c r="A601" s="154"/>
      <c r="B601" s="155"/>
      <c r="C601" s="155"/>
      <c r="D601" s="156" t="s">
        <v>1051</v>
      </c>
      <c r="E601" s="156" t="s">
        <v>1052</v>
      </c>
      <c r="F601" s="155"/>
      <c r="G601" s="157" t="n">
        <v>5.75</v>
      </c>
      <c r="H601" s="158"/>
      <c r="I601" s="155"/>
      <c r="J601" s="155"/>
      <c r="K601" s="146"/>
    </row>
    <row r="602">
      <c r="A602" s="154"/>
      <c r="B602" s="155"/>
      <c r="C602" s="155"/>
      <c r="D602" s="156" t="s">
        <v>1053</v>
      </c>
      <c r="E602" s="156" t="s">
        <v>1054</v>
      </c>
      <c r="F602" s="155"/>
      <c r="G602" s="157" t="n">
        <v>18.75</v>
      </c>
      <c r="H602" s="158"/>
      <c r="I602" s="155"/>
      <c r="J602" s="155"/>
      <c r="K602" s="146"/>
    </row>
    <row r="603">
      <c r="A603" s="154"/>
      <c r="B603" s="155"/>
      <c r="C603" s="155"/>
      <c r="D603" s="156" t="s">
        <v>1055</v>
      </c>
      <c r="E603" s="156" t="s">
        <v>1054</v>
      </c>
      <c r="F603" s="155"/>
      <c r="G603" s="157" t="n">
        <v>28.5</v>
      </c>
      <c r="H603" s="158"/>
      <c r="I603" s="155"/>
      <c r="J603" s="155"/>
      <c r="K603" s="146"/>
    </row>
    <row r="604">
      <c r="A604" s="154"/>
      <c r="B604" s="155"/>
      <c r="C604" s="155"/>
      <c r="D604" s="156" t="s">
        <v>1056</v>
      </c>
      <c r="E604" s="156" t="s">
        <v>1057</v>
      </c>
      <c r="F604" s="155"/>
      <c r="G604" s="157" t="n">
        <v>3.7</v>
      </c>
      <c r="H604" s="158"/>
      <c r="I604" s="155"/>
      <c r="J604" s="155"/>
      <c r="K604" s="146"/>
    </row>
    <row r="605">
      <c r="A605" s="147" t="s">
        <v>4</v>
      </c>
      <c r="B605" s="148" t="s">
        <v>84</v>
      </c>
      <c r="C605" s="148" t="s">
        <v>539</v>
      </c>
      <c r="D605" s="149" t="s">
        <v>1058</v>
      </c>
      <c r="E605" s="148"/>
      <c r="F605" s="150" t="s">
        <v>79</v>
      </c>
      <c r="G605" s="150" t="s">
        <v>79</v>
      </c>
      <c r="H605" s="151" t="s">
        <v>79</v>
      </c>
      <c r="I605" s="117">
        <f>SUM(I606:I698)</f>
      </c>
      <c r="J605" s="132" t="s">
        <v>4</v>
      </c>
      <c r="K605" s="146"/>
      <c r="AI605" s="132" t="s">
        <v>84</v>
      </c>
      <c r="AS605" s="117">
        <f>SUM(AJ606:AJ698)</f>
      </c>
      <c r="AT605" s="117">
        <f>SUM(AK606:AK698)</f>
      </c>
      <c r="AU605" s="117">
        <f>SUM(AL606:AL698)</f>
      </c>
    </row>
    <row r="606">
      <c r="A606" s="9" t="s">
        <v>1059</v>
      </c>
      <c r="B606" s="10" t="s">
        <v>84</v>
      </c>
      <c r="C606" s="10" t="s">
        <v>1060</v>
      </c>
      <c r="D606" s="14" t="s">
        <v>1061</v>
      </c>
      <c r="E606" s="10"/>
      <c r="F606" s="10" t="s">
        <v>145</v>
      </c>
      <c r="G606" s="111" t="n">
        <v>3.65</v>
      </c>
      <c r="H606" s="152" t="n">
        <v>0</v>
      </c>
      <c r="I606" s="111">
        <f>G606*H606</f>
      </c>
      <c r="J606" s="153" t="s">
        <v>134</v>
      </c>
      <c r="K606" s="146"/>
      <c r="Z606" s="111">
        <f>IF(AQ606="5",BJ606,0)</f>
      </c>
      <c r="AB606" s="111">
        <f>IF(AQ606="1",BH606,0)</f>
      </c>
      <c r="AC606" s="111">
        <f>IF(AQ606="1",BI606,0)</f>
      </c>
      <c r="AD606" s="111">
        <f>IF(AQ606="7",BH606,0)</f>
      </c>
      <c r="AE606" s="111">
        <f>IF(AQ606="7",BI606,0)</f>
      </c>
      <c r="AF606" s="111">
        <f>IF(AQ606="2",BH606,0)</f>
      </c>
      <c r="AG606" s="111">
        <f>IF(AQ606="2",BI606,0)</f>
      </c>
      <c r="AH606" s="111">
        <f>IF(AQ606="0",BJ606,0)</f>
      </c>
      <c r="AI606" s="132" t="s">
        <v>84</v>
      </c>
      <c r="AJ606" s="111">
        <f>IF(AN606=0,I606,0)</f>
      </c>
      <c r="AK606" s="111">
        <f>IF(AN606=12,I606,0)</f>
      </c>
      <c r="AL606" s="111">
        <f>IF(AN606=21,I606,0)</f>
      </c>
      <c r="AN606" s="111" t="n">
        <v>21</v>
      </c>
      <c r="AO606" s="111">
        <f>H606*0.744976281</f>
      </c>
      <c r="AP606" s="111">
        <f>H606*(1-0.744976281)</f>
      </c>
      <c r="AQ606" s="153" t="s">
        <v>130</v>
      </c>
      <c r="AV606" s="111">
        <f>AW606+AX606</f>
      </c>
      <c r="AW606" s="111">
        <f>G606*AO606</f>
      </c>
      <c r="AX606" s="111">
        <f>G606*AP606</f>
      </c>
      <c r="AY606" s="153" t="s">
        <v>1062</v>
      </c>
      <c r="AZ606" s="153" t="s">
        <v>975</v>
      </c>
      <c r="BA606" s="132" t="s">
        <v>137</v>
      </c>
      <c r="BC606" s="111">
        <f>AW606+AX606</f>
      </c>
      <c r="BD606" s="111">
        <f>H606/(100-BE606)*100</f>
      </c>
      <c r="BE606" s="111" t="n">
        <v>0</v>
      </c>
      <c r="BF606" s="111">
        <f>606</f>
      </c>
      <c r="BH606" s="111">
        <f>G606*AO606</f>
      </c>
      <c r="BI606" s="111">
        <f>G606*AP606</f>
      </c>
      <c r="BJ606" s="111">
        <f>G606*H606</f>
      </c>
      <c r="BK606" s="111"/>
      <c r="BL606" s="111" t="n">
        <v>62</v>
      </c>
      <c r="BW606" s="111" t="n">
        <v>21</v>
      </c>
      <c r="BX606" s="14" t="s">
        <v>1061</v>
      </c>
    </row>
    <row r="607" customHeight="true" ht="13.5">
      <c r="A607" s="159"/>
      <c r="C607" s="160" t="s">
        <v>146</v>
      </c>
      <c r="D607" s="161" t="s">
        <v>1063</v>
      </c>
      <c r="E607" s="156"/>
      <c r="F607" s="156"/>
      <c r="G607" s="156"/>
      <c r="H607" s="162"/>
      <c r="I607" s="156"/>
      <c r="J607" s="156"/>
      <c r="K607" s="163"/>
    </row>
    <row r="608">
      <c r="A608" s="154"/>
      <c r="B608" s="155"/>
      <c r="C608" s="155"/>
      <c r="D608" s="156" t="s">
        <v>1064</v>
      </c>
      <c r="E608" s="156" t="s">
        <v>846</v>
      </c>
      <c r="F608" s="155"/>
      <c r="G608" s="157" t="n">
        <v>3.65</v>
      </c>
      <c r="H608" s="158"/>
      <c r="I608" s="155"/>
      <c r="J608" s="155"/>
      <c r="K608" s="146"/>
    </row>
    <row r="609">
      <c r="A609" s="9" t="s">
        <v>1065</v>
      </c>
      <c r="B609" s="10" t="s">
        <v>84</v>
      </c>
      <c r="C609" s="10" t="s">
        <v>1066</v>
      </c>
      <c r="D609" s="14" t="s">
        <v>1067</v>
      </c>
      <c r="E609" s="10"/>
      <c r="F609" s="10" t="s">
        <v>145</v>
      </c>
      <c r="G609" s="111" t="n">
        <v>435.228</v>
      </c>
      <c r="H609" s="152" t="n">
        <v>0</v>
      </c>
      <c r="I609" s="111">
        <f>G609*H609</f>
      </c>
      <c r="J609" s="153" t="s">
        <v>134</v>
      </c>
      <c r="K609" s="146"/>
      <c r="Z609" s="111">
        <f>IF(AQ609="5",BJ609,0)</f>
      </c>
      <c r="AB609" s="111">
        <f>IF(AQ609="1",BH609,0)</f>
      </c>
      <c r="AC609" s="111">
        <f>IF(AQ609="1",BI609,0)</f>
      </c>
      <c r="AD609" s="111">
        <f>IF(AQ609="7",BH609,0)</f>
      </c>
      <c r="AE609" s="111">
        <f>IF(AQ609="7",BI609,0)</f>
      </c>
      <c r="AF609" s="111">
        <f>IF(AQ609="2",BH609,0)</f>
      </c>
      <c r="AG609" s="111">
        <f>IF(AQ609="2",BI609,0)</f>
      </c>
      <c r="AH609" s="111">
        <f>IF(AQ609="0",BJ609,0)</f>
      </c>
      <c r="AI609" s="132" t="s">
        <v>84</v>
      </c>
      <c r="AJ609" s="111">
        <f>IF(AN609=0,I609,0)</f>
      </c>
      <c r="AK609" s="111">
        <f>IF(AN609=12,I609,0)</f>
      </c>
      <c r="AL609" s="111">
        <f>IF(AN609=21,I609,0)</f>
      </c>
      <c r="AN609" s="111" t="n">
        <v>21</v>
      </c>
      <c r="AO609" s="111">
        <f>H609*0.074483772</f>
      </c>
      <c r="AP609" s="111">
        <f>H609*(1-0.074483772)</f>
      </c>
      <c r="AQ609" s="153" t="s">
        <v>130</v>
      </c>
      <c r="AV609" s="111">
        <f>AW609+AX609</f>
      </c>
      <c r="AW609" s="111">
        <f>G609*AO609</f>
      </c>
      <c r="AX609" s="111">
        <f>G609*AP609</f>
      </c>
      <c r="AY609" s="153" t="s">
        <v>1062</v>
      </c>
      <c r="AZ609" s="153" t="s">
        <v>975</v>
      </c>
      <c r="BA609" s="132" t="s">
        <v>137</v>
      </c>
      <c r="BC609" s="111">
        <f>AW609+AX609</f>
      </c>
      <c r="BD609" s="111">
        <f>H609/(100-BE609)*100</f>
      </c>
      <c r="BE609" s="111" t="n">
        <v>0</v>
      </c>
      <c r="BF609" s="111">
        <f>609</f>
      </c>
      <c r="BH609" s="111">
        <f>G609*AO609</f>
      </c>
      <c r="BI609" s="111">
        <f>G609*AP609</f>
      </c>
      <c r="BJ609" s="111">
        <f>G609*H609</f>
      </c>
      <c r="BK609" s="111"/>
      <c r="BL609" s="111" t="n">
        <v>62</v>
      </c>
      <c r="BW609" s="111" t="n">
        <v>21</v>
      </c>
      <c r="BX609" s="14" t="s">
        <v>1067</v>
      </c>
    </row>
    <row r="610">
      <c r="A610" s="154"/>
      <c r="B610" s="155"/>
      <c r="C610" s="155"/>
      <c r="D610" s="156" t="s">
        <v>1068</v>
      </c>
      <c r="E610" s="156" t="s">
        <v>1069</v>
      </c>
      <c r="F610" s="155"/>
      <c r="G610" s="157" t="n">
        <v>299.2</v>
      </c>
      <c r="H610" s="158"/>
      <c r="I610" s="155"/>
      <c r="J610" s="155"/>
      <c r="K610" s="146"/>
    </row>
    <row r="611">
      <c r="A611" s="154"/>
      <c r="B611" s="155"/>
      <c r="C611" s="155"/>
      <c r="D611" s="156" t="s">
        <v>1070</v>
      </c>
      <c r="E611" s="156" t="s">
        <v>1071</v>
      </c>
      <c r="F611" s="155"/>
      <c r="G611" s="157" t="n">
        <v>47.268</v>
      </c>
      <c r="H611" s="158"/>
      <c r="I611" s="155"/>
      <c r="J611" s="155"/>
      <c r="K611" s="146"/>
    </row>
    <row r="612">
      <c r="A612" s="154"/>
      <c r="B612" s="155"/>
      <c r="C612" s="155"/>
      <c r="D612" s="156" t="s">
        <v>1072</v>
      </c>
      <c r="E612" s="156" t="s">
        <v>1073</v>
      </c>
      <c r="F612" s="155"/>
      <c r="G612" s="157" t="n">
        <v>28.77</v>
      </c>
      <c r="H612" s="158"/>
      <c r="I612" s="155"/>
      <c r="J612" s="155"/>
      <c r="K612" s="146"/>
    </row>
    <row r="613">
      <c r="A613" s="154"/>
      <c r="B613" s="155"/>
      <c r="C613" s="155"/>
      <c r="D613" s="156" t="s">
        <v>1074</v>
      </c>
      <c r="E613" s="156" t="s">
        <v>1075</v>
      </c>
      <c r="F613" s="155"/>
      <c r="G613" s="157" t="n">
        <v>15.19</v>
      </c>
      <c r="H613" s="158"/>
      <c r="I613" s="155"/>
      <c r="J613" s="155"/>
      <c r="K613" s="146"/>
    </row>
    <row r="614">
      <c r="A614" s="154"/>
      <c r="B614" s="155"/>
      <c r="C614" s="155"/>
      <c r="D614" s="156" t="s">
        <v>1076</v>
      </c>
      <c r="E614" s="156" t="s">
        <v>1077</v>
      </c>
      <c r="F614" s="155"/>
      <c r="G614" s="157" t="n">
        <v>44.8</v>
      </c>
      <c r="H614" s="158"/>
      <c r="I614" s="155"/>
      <c r="J614" s="155"/>
      <c r="K614" s="146"/>
    </row>
    <row r="615">
      <c r="A615" s="9" t="s">
        <v>1078</v>
      </c>
      <c r="B615" s="10" t="s">
        <v>84</v>
      </c>
      <c r="C615" s="10" t="s">
        <v>1079</v>
      </c>
      <c r="D615" s="14" t="s">
        <v>1080</v>
      </c>
      <c r="E615" s="10"/>
      <c r="F615" s="10" t="s">
        <v>145</v>
      </c>
      <c r="G615" s="111" t="n">
        <v>153.7925</v>
      </c>
      <c r="H615" s="152" t="n">
        <v>0</v>
      </c>
      <c r="I615" s="111">
        <f>G615*H615</f>
      </c>
      <c r="J615" s="153" t="s">
        <v>134</v>
      </c>
      <c r="K615" s="146"/>
      <c r="Z615" s="111">
        <f>IF(AQ615="5",BJ615,0)</f>
      </c>
      <c r="AB615" s="111">
        <f>IF(AQ615="1",BH615,0)</f>
      </c>
      <c r="AC615" s="111">
        <f>IF(AQ615="1",BI615,0)</f>
      </c>
      <c r="AD615" s="111">
        <f>IF(AQ615="7",BH615,0)</f>
      </c>
      <c r="AE615" s="111">
        <f>IF(AQ615="7",BI615,0)</f>
      </c>
      <c r="AF615" s="111">
        <f>IF(AQ615="2",BH615,0)</f>
      </c>
      <c r="AG615" s="111">
        <f>IF(AQ615="2",BI615,0)</f>
      </c>
      <c r="AH615" s="111">
        <f>IF(AQ615="0",BJ615,0)</f>
      </c>
      <c r="AI615" s="132" t="s">
        <v>84</v>
      </c>
      <c r="AJ615" s="111">
        <f>IF(AN615=0,I615,0)</f>
      </c>
      <c r="AK615" s="111">
        <f>IF(AN615=12,I615,0)</f>
      </c>
      <c r="AL615" s="111">
        <f>IF(AN615=21,I615,0)</f>
      </c>
      <c r="AN615" s="111" t="n">
        <v>21</v>
      </c>
      <c r="AO615" s="111">
        <f>H615*0.791056231</f>
      </c>
      <c r="AP615" s="111">
        <f>H615*(1-0.791056231)</f>
      </c>
      <c r="AQ615" s="153" t="s">
        <v>130</v>
      </c>
      <c r="AV615" s="111">
        <f>AW615+AX615</f>
      </c>
      <c r="AW615" s="111">
        <f>G615*AO615</f>
      </c>
      <c r="AX615" s="111">
        <f>G615*AP615</f>
      </c>
      <c r="AY615" s="153" t="s">
        <v>1062</v>
      </c>
      <c r="AZ615" s="153" t="s">
        <v>975</v>
      </c>
      <c r="BA615" s="132" t="s">
        <v>137</v>
      </c>
      <c r="BC615" s="111">
        <f>AW615+AX615</f>
      </c>
      <c r="BD615" s="111">
        <f>H615/(100-BE615)*100</f>
      </c>
      <c r="BE615" s="111" t="n">
        <v>0</v>
      </c>
      <c r="BF615" s="111">
        <f>615</f>
      </c>
      <c r="BH615" s="111">
        <f>G615*AO615</f>
      </c>
      <c r="BI615" s="111">
        <f>G615*AP615</f>
      </c>
      <c r="BJ615" s="111">
        <f>G615*H615</f>
      </c>
      <c r="BK615" s="111"/>
      <c r="BL615" s="111" t="n">
        <v>62</v>
      </c>
      <c r="BW615" s="111" t="n">
        <v>21</v>
      </c>
      <c r="BX615" s="14" t="s">
        <v>1080</v>
      </c>
    </row>
    <row r="616" customHeight="true" ht="13.5">
      <c r="A616" s="159"/>
      <c r="C616" s="160" t="s">
        <v>146</v>
      </c>
      <c r="D616" s="161" t="s">
        <v>1081</v>
      </c>
      <c r="E616" s="156"/>
      <c r="F616" s="156"/>
      <c r="G616" s="156"/>
      <c r="H616" s="162"/>
      <c r="I616" s="156"/>
      <c r="J616" s="156"/>
      <c r="K616" s="163"/>
    </row>
    <row r="617">
      <c r="A617" s="154"/>
      <c r="B617" s="155"/>
      <c r="C617" s="155"/>
      <c r="D617" s="156" t="s">
        <v>4</v>
      </c>
      <c r="E617" s="156" t="s">
        <v>1082</v>
      </c>
      <c r="F617" s="155"/>
      <c r="G617" s="157" t="n">
        <v>0</v>
      </c>
      <c r="H617" s="158"/>
      <c r="I617" s="155"/>
      <c r="J617" s="155"/>
      <c r="K617" s="146"/>
    </row>
    <row r="618">
      <c r="A618" s="154"/>
      <c r="B618" s="155"/>
      <c r="C618" s="155"/>
      <c r="D618" s="156" t="s">
        <v>1083</v>
      </c>
      <c r="E618" s="156" t="s">
        <v>1046</v>
      </c>
      <c r="F618" s="155"/>
      <c r="G618" s="157" t="n">
        <v>17.2325</v>
      </c>
      <c r="H618" s="158"/>
      <c r="I618" s="155"/>
      <c r="J618" s="155"/>
      <c r="K618" s="146"/>
    </row>
    <row r="619">
      <c r="A619" s="154"/>
      <c r="B619" s="155"/>
      <c r="C619" s="155"/>
      <c r="D619" s="156" t="s">
        <v>1084</v>
      </c>
      <c r="E619" s="156" t="s">
        <v>1048</v>
      </c>
      <c r="F619" s="155"/>
      <c r="G619" s="157" t="n">
        <v>57.19</v>
      </c>
      <c r="H619" s="158"/>
      <c r="I619" s="155"/>
      <c r="J619" s="155"/>
      <c r="K619" s="146"/>
    </row>
    <row r="620">
      <c r="A620" s="154"/>
      <c r="B620" s="155"/>
      <c r="C620" s="155"/>
      <c r="D620" s="156" t="s">
        <v>1085</v>
      </c>
      <c r="E620" s="156" t="s">
        <v>1050</v>
      </c>
      <c r="F620" s="155"/>
      <c r="G620" s="157" t="n">
        <v>23.72</v>
      </c>
      <c r="H620" s="158"/>
      <c r="I620" s="155"/>
      <c r="J620" s="155"/>
      <c r="K620" s="146"/>
    </row>
    <row r="621">
      <c r="A621" s="154"/>
      <c r="B621" s="155"/>
      <c r="C621" s="155"/>
      <c r="D621" s="156" t="s">
        <v>1086</v>
      </c>
      <c r="E621" s="156" t="s">
        <v>1054</v>
      </c>
      <c r="F621" s="155"/>
      <c r="G621" s="157" t="n">
        <v>2.56</v>
      </c>
      <c r="H621" s="158"/>
      <c r="I621" s="155"/>
      <c r="J621" s="155"/>
      <c r="K621" s="146"/>
    </row>
    <row r="622">
      <c r="A622" s="154"/>
      <c r="B622" s="155"/>
      <c r="C622" s="155"/>
      <c r="D622" s="156" t="s">
        <v>1087</v>
      </c>
      <c r="E622" s="156" t="s">
        <v>1088</v>
      </c>
      <c r="F622" s="155"/>
      <c r="G622" s="157" t="n">
        <v>25.2</v>
      </c>
      <c r="H622" s="158"/>
      <c r="I622" s="155"/>
      <c r="J622" s="155"/>
      <c r="K622" s="146"/>
    </row>
    <row r="623">
      <c r="A623" s="154"/>
      <c r="B623" s="155"/>
      <c r="C623" s="155"/>
      <c r="D623" s="156" t="s">
        <v>1089</v>
      </c>
      <c r="E623" s="156" t="s">
        <v>1090</v>
      </c>
      <c r="F623" s="155"/>
      <c r="G623" s="157" t="n">
        <v>6.435</v>
      </c>
      <c r="H623" s="158"/>
      <c r="I623" s="155"/>
      <c r="J623" s="155"/>
      <c r="K623" s="146"/>
    </row>
    <row r="624">
      <c r="A624" s="154"/>
      <c r="B624" s="155"/>
      <c r="C624" s="155"/>
      <c r="D624" s="156" t="s">
        <v>1091</v>
      </c>
      <c r="E624" s="156" t="s">
        <v>1092</v>
      </c>
      <c r="F624" s="155"/>
      <c r="G624" s="157" t="n">
        <v>16.32</v>
      </c>
      <c r="H624" s="158"/>
      <c r="I624" s="155"/>
      <c r="J624" s="155"/>
      <c r="K624" s="146"/>
    </row>
    <row r="625">
      <c r="A625" s="154"/>
      <c r="B625" s="155"/>
      <c r="C625" s="155"/>
      <c r="D625" s="156" t="s">
        <v>1093</v>
      </c>
      <c r="E625" s="156" t="s">
        <v>1094</v>
      </c>
      <c r="F625" s="155"/>
      <c r="G625" s="157" t="n">
        <v>5.135</v>
      </c>
      <c r="H625" s="158"/>
      <c r="I625" s="155"/>
      <c r="J625" s="155"/>
      <c r="K625" s="146"/>
    </row>
    <row r="626">
      <c r="A626" s="9" t="s">
        <v>1095</v>
      </c>
      <c r="B626" s="10" t="s">
        <v>84</v>
      </c>
      <c r="C626" s="10" t="s">
        <v>1096</v>
      </c>
      <c r="D626" s="14" t="s">
        <v>1097</v>
      </c>
      <c r="E626" s="10"/>
      <c r="F626" s="10" t="s">
        <v>145</v>
      </c>
      <c r="G626" s="111" t="n">
        <v>4.02</v>
      </c>
      <c r="H626" s="152" t="n">
        <v>0</v>
      </c>
      <c r="I626" s="111">
        <f>G626*H626</f>
      </c>
      <c r="J626" s="153" t="s">
        <v>134</v>
      </c>
      <c r="K626" s="146"/>
      <c r="Z626" s="111">
        <f>IF(AQ626="5",BJ626,0)</f>
      </c>
      <c r="AB626" s="111">
        <f>IF(AQ626="1",BH626,0)</f>
      </c>
      <c r="AC626" s="111">
        <f>IF(AQ626="1",BI626,0)</f>
      </c>
      <c r="AD626" s="111">
        <f>IF(AQ626="7",BH626,0)</f>
      </c>
      <c r="AE626" s="111">
        <f>IF(AQ626="7",BI626,0)</f>
      </c>
      <c r="AF626" s="111">
        <f>IF(AQ626="2",BH626,0)</f>
      </c>
      <c r="AG626" s="111">
        <f>IF(AQ626="2",BI626,0)</f>
      </c>
      <c r="AH626" s="111">
        <f>IF(AQ626="0",BJ626,0)</f>
      </c>
      <c r="AI626" s="132" t="s">
        <v>84</v>
      </c>
      <c r="AJ626" s="111">
        <f>IF(AN626=0,I626,0)</f>
      </c>
      <c r="AK626" s="111">
        <f>IF(AN626=12,I626,0)</f>
      </c>
      <c r="AL626" s="111">
        <f>IF(AN626=21,I626,0)</f>
      </c>
      <c r="AN626" s="111" t="n">
        <v>21</v>
      </c>
      <c r="AO626" s="111">
        <f>H626*0.705914439</f>
      </c>
      <c r="AP626" s="111">
        <f>H626*(1-0.705914439)</f>
      </c>
      <c r="AQ626" s="153" t="s">
        <v>130</v>
      </c>
      <c r="AV626" s="111">
        <f>AW626+AX626</f>
      </c>
      <c r="AW626" s="111">
        <f>G626*AO626</f>
      </c>
      <c r="AX626" s="111">
        <f>G626*AP626</f>
      </c>
      <c r="AY626" s="153" t="s">
        <v>1062</v>
      </c>
      <c r="AZ626" s="153" t="s">
        <v>975</v>
      </c>
      <c r="BA626" s="132" t="s">
        <v>137</v>
      </c>
      <c r="BC626" s="111">
        <f>AW626+AX626</f>
      </c>
      <c r="BD626" s="111">
        <f>H626/(100-BE626)*100</f>
      </c>
      <c r="BE626" s="111" t="n">
        <v>0</v>
      </c>
      <c r="BF626" s="111">
        <f>626</f>
      </c>
      <c r="BH626" s="111">
        <f>G626*AO626</f>
      </c>
      <c r="BI626" s="111">
        <f>G626*AP626</f>
      </c>
      <c r="BJ626" s="111">
        <f>G626*H626</f>
      </c>
      <c r="BK626" s="111"/>
      <c r="BL626" s="111" t="n">
        <v>62</v>
      </c>
      <c r="BW626" s="111" t="n">
        <v>21</v>
      </c>
      <c r="BX626" s="14" t="s">
        <v>1097</v>
      </c>
    </row>
    <row r="627" customHeight="true" ht="13.5">
      <c r="A627" s="159"/>
      <c r="C627" s="160" t="s">
        <v>146</v>
      </c>
      <c r="D627" s="161" t="s">
        <v>1098</v>
      </c>
      <c r="E627" s="156"/>
      <c r="F627" s="156"/>
      <c r="G627" s="156"/>
      <c r="H627" s="162"/>
      <c r="I627" s="156"/>
      <c r="J627" s="156"/>
      <c r="K627" s="163"/>
    </row>
    <row r="628">
      <c r="A628" s="154"/>
      <c r="B628" s="155"/>
      <c r="C628" s="155"/>
      <c r="D628" s="156" t="s">
        <v>1099</v>
      </c>
      <c r="E628" s="156" t="s">
        <v>1100</v>
      </c>
      <c r="F628" s="155"/>
      <c r="G628" s="157" t="n">
        <v>4.02</v>
      </c>
      <c r="H628" s="158"/>
      <c r="I628" s="155"/>
      <c r="J628" s="155"/>
      <c r="K628" s="146"/>
    </row>
    <row r="629">
      <c r="A629" s="9" t="s">
        <v>1101</v>
      </c>
      <c r="B629" s="10" t="s">
        <v>84</v>
      </c>
      <c r="C629" s="10" t="s">
        <v>1102</v>
      </c>
      <c r="D629" s="14" t="s">
        <v>1103</v>
      </c>
      <c r="E629" s="10"/>
      <c r="F629" s="10" t="s">
        <v>145</v>
      </c>
      <c r="G629" s="111" t="n">
        <v>33.635</v>
      </c>
      <c r="H629" s="152" t="n">
        <v>0</v>
      </c>
      <c r="I629" s="111">
        <f>G629*H629</f>
      </c>
      <c r="J629" s="153" t="s">
        <v>134</v>
      </c>
      <c r="K629" s="146"/>
      <c r="Z629" s="111">
        <f>IF(AQ629="5",BJ629,0)</f>
      </c>
      <c r="AB629" s="111">
        <f>IF(AQ629="1",BH629,0)</f>
      </c>
      <c r="AC629" s="111">
        <f>IF(AQ629="1",BI629,0)</f>
      </c>
      <c r="AD629" s="111">
        <f>IF(AQ629="7",BH629,0)</f>
      </c>
      <c r="AE629" s="111">
        <f>IF(AQ629="7",BI629,0)</f>
      </c>
      <c r="AF629" s="111">
        <f>IF(AQ629="2",BH629,0)</f>
      </c>
      <c r="AG629" s="111">
        <f>IF(AQ629="2",BI629,0)</f>
      </c>
      <c r="AH629" s="111">
        <f>IF(AQ629="0",BJ629,0)</f>
      </c>
      <c r="AI629" s="132" t="s">
        <v>84</v>
      </c>
      <c r="AJ629" s="111">
        <f>IF(AN629=0,I629,0)</f>
      </c>
      <c r="AK629" s="111">
        <f>IF(AN629=12,I629,0)</f>
      </c>
      <c r="AL629" s="111">
        <f>IF(AN629=21,I629,0)</f>
      </c>
      <c r="AN629" s="111" t="n">
        <v>21</v>
      </c>
      <c r="AO629" s="111">
        <f>H629*0.67397224</f>
      </c>
      <c r="AP629" s="111">
        <f>H629*(1-0.67397224)</f>
      </c>
      <c r="AQ629" s="153" t="s">
        <v>130</v>
      </c>
      <c r="AV629" s="111">
        <f>AW629+AX629</f>
      </c>
      <c r="AW629" s="111">
        <f>G629*AO629</f>
      </c>
      <c r="AX629" s="111">
        <f>G629*AP629</f>
      </c>
      <c r="AY629" s="153" t="s">
        <v>1062</v>
      </c>
      <c r="AZ629" s="153" t="s">
        <v>975</v>
      </c>
      <c r="BA629" s="132" t="s">
        <v>137</v>
      </c>
      <c r="BC629" s="111">
        <f>AW629+AX629</f>
      </c>
      <c r="BD629" s="111">
        <f>H629/(100-BE629)*100</f>
      </c>
      <c r="BE629" s="111" t="n">
        <v>0</v>
      </c>
      <c r="BF629" s="111">
        <f>629</f>
      </c>
      <c r="BH629" s="111">
        <f>G629*AO629</f>
      </c>
      <c r="BI629" s="111">
        <f>G629*AP629</f>
      </c>
      <c r="BJ629" s="111">
        <f>G629*H629</f>
      </c>
      <c r="BK629" s="111"/>
      <c r="BL629" s="111" t="n">
        <v>62</v>
      </c>
      <c r="BW629" s="111" t="n">
        <v>21</v>
      </c>
      <c r="BX629" s="14" t="s">
        <v>1103</v>
      </c>
    </row>
    <row r="630" customHeight="true" ht="13.5">
      <c r="A630" s="159"/>
      <c r="C630" s="160" t="s">
        <v>146</v>
      </c>
      <c r="D630" s="161" t="s">
        <v>1104</v>
      </c>
      <c r="E630" s="156"/>
      <c r="F630" s="156"/>
      <c r="G630" s="156"/>
      <c r="H630" s="162"/>
      <c r="I630" s="156"/>
      <c r="J630" s="156"/>
      <c r="K630" s="163"/>
    </row>
    <row r="631">
      <c r="A631" s="154"/>
      <c r="B631" s="155"/>
      <c r="C631" s="155"/>
      <c r="D631" s="156" t="s">
        <v>1105</v>
      </c>
      <c r="E631" s="156" t="s">
        <v>1100</v>
      </c>
      <c r="F631" s="155"/>
      <c r="G631" s="157" t="n">
        <v>15.745</v>
      </c>
      <c r="H631" s="158"/>
      <c r="I631" s="155"/>
      <c r="J631" s="155"/>
      <c r="K631" s="146"/>
    </row>
    <row r="632">
      <c r="A632" s="154"/>
      <c r="B632" s="155"/>
      <c r="C632" s="155"/>
      <c r="D632" s="156" t="s">
        <v>1106</v>
      </c>
      <c r="E632" s="156" t="s">
        <v>1107</v>
      </c>
      <c r="F632" s="155"/>
      <c r="G632" s="157" t="n">
        <v>-5.58</v>
      </c>
      <c r="H632" s="158"/>
      <c r="I632" s="155"/>
      <c r="J632" s="155"/>
      <c r="K632" s="146"/>
    </row>
    <row r="633">
      <c r="A633" s="154"/>
      <c r="B633" s="155"/>
      <c r="C633" s="155"/>
      <c r="D633" s="156" t="s">
        <v>1074</v>
      </c>
      <c r="E633" s="156" t="s">
        <v>1075</v>
      </c>
      <c r="F633" s="155"/>
      <c r="G633" s="157" t="n">
        <v>15.19</v>
      </c>
      <c r="H633" s="158"/>
      <c r="I633" s="155"/>
      <c r="J633" s="155"/>
      <c r="K633" s="146"/>
    </row>
    <row r="634">
      <c r="A634" s="154"/>
      <c r="B634" s="155"/>
      <c r="C634" s="155"/>
      <c r="D634" s="156" t="s">
        <v>1108</v>
      </c>
      <c r="E634" s="156" t="s">
        <v>1109</v>
      </c>
      <c r="F634" s="155"/>
      <c r="G634" s="157" t="n">
        <v>12.3</v>
      </c>
      <c r="H634" s="158"/>
      <c r="I634" s="155"/>
      <c r="J634" s="155"/>
      <c r="K634" s="146"/>
    </row>
    <row r="635">
      <c r="A635" s="154"/>
      <c r="B635" s="155"/>
      <c r="C635" s="155"/>
      <c r="D635" s="156" t="s">
        <v>1110</v>
      </c>
      <c r="E635" s="156" t="s">
        <v>1111</v>
      </c>
      <c r="F635" s="155"/>
      <c r="G635" s="157" t="n">
        <v>-4.02</v>
      </c>
      <c r="H635" s="158"/>
      <c r="I635" s="155"/>
      <c r="J635" s="155"/>
      <c r="K635" s="146"/>
    </row>
    <row r="636">
      <c r="A636" s="9" t="s">
        <v>1112</v>
      </c>
      <c r="B636" s="10" t="s">
        <v>84</v>
      </c>
      <c r="C636" s="10" t="s">
        <v>1113</v>
      </c>
      <c r="D636" s="14" t="s">
        <v>1114</v>
      </c>
      <c r="E636" s="10"/>
      <c r="F636" s="10" t="s">
        <v>145</v>
      </c>
      <c r="G636" s="111" t="n">
        <v>87.987</v>
      </c>
      <c r="H636" s="152" t="n">
        <v>0</v>
      </c>
      <c r="I636" s="111">
        <f>G636*H636</f>
      </c>
      <c r="J636" s="153" t="s">
        <v>134</v>
      </c>
      <c r="K636" s="146"/>
      <c r="Z636" s="111">
        <f>IF(AQ636="5",BJ636,0)</f>
      </c>
      <c r="AB636" s="111">
        <f>IF(AQ636="1",BH636,0)</f>
      </c>
      <c r="AC636" s="111">
        <f>IF(AQ636="1",BI636,0)</f>
      </c>
      <c r="AD636" s="111">
        <f>IF(AQ636="7",BH636,0)</f>
      </c>
      <c r="AE636" s="111">
        <f>IF(AQ636="7",BI636,0)</f>
      </c>
      <c r="AF636" s="111">
        <f>IF(AQ636="2",BH636,0)</f>
      </c>
      <c r="AG636" s="111">
        <f>IF(AQ636="2",BI636,0)</f>
      </c>
      <c r="AH636" s="111">
        <f>IF(AQ636="0",BJ636,0)</f>
      </c>
      <c r="AI636" s="132" t="s">
        <v>84</v>
      </c>
      <c r="AJ636" s="111">
        <f>IF(AN636=0,I636,0)</f>
      </c>
      <c r="AK636" s="111">
        <f>IF(AN636=12,I636,0)</f>
      </c>
      <c r="AL636" s="111">
        <f>IF(AN636=21,I636,0)</f>
      </c>
      <c r="AN636" s="111" t="n">
        <v>21</v>
      </c>
      <c r="AO636" s="111">
        <f>H636*0.722652243</f>
      </c>
      <c r="AP636" s="111">
        <f>H636*(1-0.722652243)</f>
      </c>
      <c r="AQ636" s="153" t="s">
        <v>130</v>
      </c>
      <c r="AV636" s="111">
        <f>AW636+AX636</f>
      </c>
      <c r="AW636" s="111">
        <f>G636*AO636</f>
      </c>
      <c r="AX636" s="111">
        <f>G636*AP636</f>
      </c>
      <c r="AY636" s="153" t="s">
        <v>1062</v>
      </c>
      <c r="AZ636" s="153" t="s">
        <v>975</v>
      </c>
      <c r="BA636" s="132" t="s">
        <v>137</v>
      </c>
      <c r="BC636" s="111">
        <f>AW636+AX636</f>
      </c>
      <c r="BD636" s="111">
        <f>H636/(100-BE636)*100</f>
      </c>
      <c r="BE636" s="111" t="n">
        <v>0</v>
      </c>
      <c r="BF636" s="111">
        <f>636</f>
      </c>
      <c r="BH636" s="111">
        <f>G636*AO636</f>
      </c>
      <c r="BI636" s="111">
        <f>G636*AP636</f>
      </c>
      <c r="BJ636" s="111">
        <f>G636*H636</f>
      </c>
      <c r="BK636" s="111"/>
      <c r="BL636" s="111" t="n">
        <v>62</v>
      </c>
      <c r="BW636" s="111" t="n">
        <v>21</v>
      </c>
      <c r="BX636" s="14" t="s">
        <v>1114</v>
      </c>
    </row>
    <row r="637" customHeight="true" ht="13.5">
      <c r="A637" s="159"/>
      <c r="C637" s="160" t="s">
        <v>146</v>
      </c>
      <c r="D637" s="161" t="s">
        <v>1104</v>
      </c>
      <c r="E637" s="156"/>
      <c r="F637" s="156"/>
      <c r="G637" s="156"/>
      <c r="H637" s="162"/>
      <c r="I637" s="156"/>
      <c r="J637" s="156"/>
      <c r="K637" s="163"/>
    </row>
    <row r="638">
      <c r="A638" s="154"/>
      <c r="B638" s="155"/>
      <c r="C638" s="155"/>
      <c r="D638" s="156" t="s">
        <v>4</v>
      </c>
      <c r="E638" s="156" t="s">
        <v>1115</v>
      </c>
      <c r="F638" s="155"/>
      <c r="G638" s="157" t="n">
        <v>0</v>
      </c>
      <c r="H638" s="158"/>
      <c r="I638" s="155"/>
      <c r="J638" s="155"/>
      <c r="K638" s="146"/>
    </row>
    <row r="639">
      <c r="A639" s="154"/>
      <c r="B639" s="155"/>
      <c r="C639" s="155"/>
      <c r="D639" s="156" t="s">
        <v>1116</v>
      </c>
      <c r="E639" s="156" t="s">
        <v>1046</v>
      </c>
      <c r="F639" s="155"/>
      <c r="G639" s="157" t="n">
        <v>17.82</v>
      </c>
      <c r="H639" s="158"/>
      <c r="I639" s="155"/>
      <c r="J639" s="155"/>
      <c r="K639" s="146"/>
    </row>
    <row r="640">
      <c r="A640" s="154"/>
      <c r="B640" s="155"/>
      <c r="C640" s="155"/>
      <c r="D640" s="156" t="s">
        <v>1117</v>
      </c>
      <c r="E640" s="156" t="s">
        <v>1048</v>
      </c>
      <c r="F640" s="155"/>
      <c r="G640" s="157" t="n">
        <v>30.074</v>
      </c>
      <c r="H640" s="158"/>
      <c r="I640" s="155"/>
      <c r="J640" s="155"/>
      <c r="K640" s="146"/>
    </row>
    <row r="641">
      <c r="A641" s="154"/>
      <c r="B641" s="155"/>
      <c r="C641" s="155"/>
      <c r="D641" s="156" t="s">
        <v>1118</v>
      </c>
      <c r="E641" s="156" t="s">
        <v>1050</v>
      </c>
      <c r="F641" s="155"/>
      <c r="G641" s="157" t="n">
        <v>21.057</v>
      </c>
      <c r="H641" s="158"/>
      <c r="I641" s="155"/>
      <c r="J641" s="155"/>
      <c r="K641" s="146"/>
    </row>
    <row r="642">
      <c r="A642" s="154"/>
      <c r="B642" s="155"/>
      <c r="C642" s="155"/>
      <c r="D642" s="156" t="s">
        <v>1119</v>
      </c>
      <c r="E642" s="156" t="s">
        <v>1120</v>
      </c>
      <c r="F642" s="155"/>
      <c r="G642" s="157" t="n">
        <v>8.504</v>
      </c>
      <c r="H642" s="158"/>
      <c r="I642" s="155"/>
      <c r="J642" s="155"/>
      <c r="K642" s="146"/>
    </row>
    <row r="643">
      <c r="A643" s="154"/>
      <c r="B643" s="155"/>
      <c r="C643" s="155"/>
      <c r="D643" s="156" t="s">
        <v>1121</v>
      </c>
      <c r="E643" s="156" t="s">
        <v>1054</v>
      </c>
      <c r="F643" s="155"/>
      <c r="G643" s="157" t="n">
        <v>1.788</v>
      </c>
      <c r="H643" s="158"/>
      <c r="I643" s="155"/>
      <c r="J643" s="155"/>
      <c r="K643" s="146"/>
    </row>
    <row r="644">
      <c r="A644" s="154"/>
      <c r="B644" s="155"/>
      <c r="C644" s="155"/>
      <c r="D644" s="156" t="s">
        <v>1122</v>
      </c>
      <c r="E644" s="156" t="s">
        <v>1123</v>
      </c>
      <c r="F644" s="155"/>
      <c r="G644" s="157" t="n">
        <v>8.744</v>
      </c>
      <c r="H644" s="158"/>
      <c r="I644" s="155"/>
      <c r="J644" s="155"/>
      <c r="K644" s="146"/>
    </row>
    <row r="645">
      <c r="A645" s="9" t="s">
        <v>1124</v>
      </c>
      <c r="B645" s="10" t="s">
        <v>84</v>
      </c>
      <c r="C645" s="10" t="s">
        <v>1125</v>
      </c>
      <c r="D645" s="14" t="s">
        <v>1126</v>
      </c>
      <c r="E645" s="10"/>
      <c r="F645" s="10" t="s">
        <v>145</v>
      </c>
      <c r="G645" s="111" t="n">
        <v>221.2899</v>
      </c>
      <c r="H645" s="152" t="n">
        <v>0</v>
      </c>
      <c r="I645" s="111">
        <f>G645*H645</f>
      </c>
      <c r="J645" s="153" t="s">
        <v>134</v>
      </c>
      <c r="K645" s="146"/>
      <c r="Z645" s="111">
        <f>IF(AQ645="5",BJ645,0)</f>
      </c>
      <c r="AB645" s="111">
        <f>IF(AQ645="1",BH645,0)</f>
      </c>
      <c r="AC645" s="111">
        <f>IF(AQ645="1",BI645,0)</f>
      </c>
      <c r="AD645" s="111">
        <f>IF(AQ645="7",BH645,0)</f>
      </c>
      <c r="AE645" s="111">
        <f>IF(AQ645="7",BI645,0)</f>
      </c>
      <c r="AF645" s="111">
        <f>IF(AQ645="2",BH645,0)</f>
      </c>
      <c r="AG645" s="111">
        <f>IF(AQ645="2",BI645,0)</f>
      </c>
      <c r="AH645" s="111">
        <f>IF(AQ645="0",BJ645,0)</f>
      </c>
      <c r="AI645" s="132" t="s">
        <v>84</v>
      </c>
      <c r="AJ645" s="111">
        <f>IF(AN645=0,I645,0)</f>
      </c>
      <c r="AK645" s="111">
        <f>IF(AN645=12,I645,0)</f>
      </c>
      <c r="AL645" s="111">
        <f>IF(AN645=21,I645,0)</f>
      </c>
      <c r="AN645" s="111" t="n">
        <v>21</v>
      </c>
      <c r="AO645" s="111">
        <f>H645*0.703326949</f>
      </c>
      <c r="AP645" s="111">
        <f>H645*(1-0.703326949)</f>
      </c>
      <c r="AQ645" s="153" t="s">
        <v>130</v>
      </c>
      <c r="AV645" s="111">
        <f>AW645+AX645</f>
      </c>
      <c r="AW645" s="111">
        <f>G645*AO645</f>
      </c>
      <c r="AX645" s="111">
        <f>G645*AP645</f>
      </c>
      <c r="AY645" s="153" t="s">
        <v>1062</v>
      </c>
      <c r="AZ645" s="153" t="s">
        <v>975</v>
      </c>
      <c r="BA645" s="132" t="s">
        <v>137</v>
      </c>
      <c r="BC645" s="111">
        <f>AW645+AX645</f>
      </c>
      <c r="BD645" s="111">
        <f>H645/(100-BE645)*100</f>
      </c>
      <c r="BE645" s="111" t="n">
        <v>0</v>
      </c>
      <c r="BF645" s="111">
        <f>645</f>
      </c>
      <c r="BH645" s="111">
        <f>G645*AO645</f>
      </c>
      <c r="BI645" s="111">
        <f>G645*AP645</f>
      </c>
      <c r="BJ645" s="111">
        <f>G645*H645</f>
      </c>
      <c r="BK645" s="111"/>
      <c r="BL645" s="111" t="n">
        <v>62</v>
      </c>
      <c r="BW645" s="111" t="n">
        <v>21</v>
      </c>
      <c r="BX645" s="14" t="s">
        <v>1126</v>
      </c>
    </row>
    <row r="646" customHeight="true" ht="13.5">
      <c r="A646" s="159"/>
      <c r="C646" s="160" t="s">
        <v>146</v>
      </c>
      <c r="D646" s="161" t="s">
        <v>1127</v>
      </c>
      <c r="E646" s="156"/>
      <c r="F646" s="156"/>
      <c r="G646" s="156"/>
      <c r="H646" s="162"/>
      <c r="I646" s="156"/>
      <c r="J646" s="156"/>
      <c r="K646" s="163"/>
    </row>
    <row r="647">
      <c r="A647" s="154"/>
      <c r="B647" s="155"/>
      <c r="C647" s="155"/>
      <c r="D647" s="156" t="s">
        <v>4</v>
      </c>
      <c r="E647" s="156" t="s">
        <v>1128</v>
      </c>
      <c r="F647" s="155"/>
      <c r="G647" s="157" t="n">
        <v>0</v>
      </c>
      <c r="H647" s="158"/>
      <c r="I647" s="155"/>
      <c r="J647" s="155"/>
      <c r="K647" s="146"/>
    </row>
    <row r="648">
      <c r="A648" s="154"/>
      <c r="B648" s="155"/>
      <c r="C648" s="155"/>
      <c r="D648" s="156" t="s">
        <v>1129</v>
      </c>
      <c r="E648" s="156" t="s">
        <v>1046</v>
      </c>
      <c r="F648" s="155"/>
      <c r="G648" s="157" t="n">
        <v>46.322</v>
      </c>
      <c r="H648" s="158"/>
      <c r="I648" s="155"/>
      <c r="J648" s="155"/>
      <c r="K648" s="146"/>
    </row>
    <row r="649">
      <c r="A649" s="154"/>
      <c r="B649" s="155"/>
      <c r="C649" s="155"/>
      <c r="D649" s="156" t="s">
        <v>1130</v>
      </c>
      <c r="E649" s="156" t="s">
        <v>4</v>
      </c>
      <c r="F649" s="155"/>
      <c r="G649" s="157" t="n">
        <v>18.4245</v>
      </c>
      <c r="H649" s="158"/>
      <c r="I649" s="155"/>
      <c r="J649" s="155"/>
      <c r="K649" s="146"/>
    </row>
    <row r="650">
      <c r="A650" s="154"/>
      <c r="B650" s="155"/>
      <c r="C650" s="155"/>
      <c r="D650" s="156" t="s">
        <v>1131</v>
      </c>
      <c r="E650" s="156" t="s">
        <v>1048</v>
      </c>
      <c r="F650" s="155"/>
      <c r="G650" s="157" t="n">
        <v>11.031</v>
      </c>
      <c r="H650" s="158"/>
      <c r="I650" s="155"/>
      <c r="J650" s="155"/>
      <c r="K650" s="146"/>
    </row>
    <row r="651">
      <c r="A651" s="154"/>
      <c r="B651" s="155"/>
      <c r="C651" s="155"/>
      <c r="D651" s="156" t="s">
        <v>1132</v>
      </c>
      <c r="E651" s="156" t="s">
        <v>1050</v>
      </c>
      <c r="F651" s="155"/>
      <c r="G651" s="157" t="n">
        <v>38.1255</v>
      </c>
      <c r="H651" s="158"/>
      <c r="I651" s="155"/>
      <c r="J651" s="155"/>
      <c r="K651" s="146"/>
    </row>
    <row r="652">
      <c r="A652" s="154"/>
      <c r="B652" s="155"/>
      <c r="C652" s="155"/>
      <c r="D652" s="156" t="s">
        <v>1133</v>
      </c>
      <c r="E652" s="156" t="s">
        <v>1134</v>
      </c>
      <c r="F652" s="155"/>
      <c r="G652" s="157" t="n">
        <v>9.9</v>
      </c>
      <c r="H652" s="158"/>
      <c r="I652" s="155"/>
      <c r="J652" s="155"/>
      <c r="K652" s="146"/>
    </row>
    <row r="653">
      <c r="A653" s="154"/>
      <c r="B653" s="155"/>
      <c r="C653" s="155"/>
      <c r="D653" s="156" t="s">
        <v>1135</v>
      </c>
      <c r="E653" s="156" t="s">
        <v>1054</v>
      </c>
      <c r="F653" s="155"/>
      <c r="G653" s="157" t="n">
        <v>115.0824</v>
      </c>
      <c r="H653" s="158"/>
      <c r="I653" s="155"/>
      <c r="J653" s="155"/>
      <c r="K653" s="146"/>
    </row>
    <row r="654">
      <c r="A654" s="154"/>
      <c r="B654" s="155"/>
      <c r="C654" s="155"/>
      <c r="D654" s="156" t="s">
        <v>1136</v>
      </c>
      <c r="E654" s="156" t="s">
        <v>1137</v>
      </c>
      <c r="F654" s="155"/>
      <c r="G654" s="157" t="n">
        <v>-8.8725</v>
      </c>
      <c r="H654" s="158"/>
      <c r="I654" s="155"/>
      <c r="J654" s="155"/>
      <c r="K654" s="146"/>
    </row>
    <row r="655">
      <c r="A655" s="154"/>
      <c r="B655" s="155"/>
      <c r="C655" s="155"/>
      <c r="D655" s="156" t="s">
        <v>1138</v>
      </c>
      <c r="E655" s="156" t="s">
        <v>1139</v>
      </c>
      <c r="F655" s="155"/>
      <c r="G655" s="157" t="n">
        <v>-14.625</v>
      </c>
      <c r="H655" s="158"/>
      <c r="I655" s="155"/>
      <c r="J655" s="155"/>
      <c r="K655" s="146"/>
    </row>
    <row r="656">
      <c r="A656" s="154"/>
      <c r="B656" s="155"/>
      <c r="C656" s="155"/>
      <c r="D656" s="156" t="s">
        <v>1140</v>
      </c>
      <c r="E656" s="156" t="s">
        <v>1141</v>
      </c>
      <c r="F656" s="155"/>
      <c r="G656" s="157" t="n">
        <v>5.902</v>
      </c>
      <c r="H656" s="158"/>
      <c r="I656" s="155"/>
      <c r="J656" s="155"/>
      <c r="K656" s="146"/>
    </row>
    <row r="657">
      <c r="A657" s="9" t="s">
        <v>1142</v>
      </c>
      <c r="B657" s="10" t="s">
        <v>84</v>
      </c>
      <c r="C657" s="10" t="s">
        <v>1143</v>
      </c>
      <c r="D657" s="14" t="s">
        <v>1144</v>
      </c>
      <c r="E657" s="10"/>
      <c r="F657" s="10" t="s">
        <v>145</v>
      </c>
      <c r="G657" s="111" t="n">
        <v>9.9</v>
      </c>
      <c r="H657" s="152" t="n">
        <v>0</v>
      </c>
      <c r="I657" s="111">
        <f>G657*H657</f>
      </c>
      <c r="J657" s="153" t="s">
        <v>134</v>
      </c>
      <c r="K657" s="146"/>
      <c r="Z657" s="111">
        <f>IF(AQ657="5",BJ657,0)</f>
      </c>
      <c r="AB657" s="111">
        <f>IF(AQ657="1",BH657,0)</f>
      </c>
      <c r="AC657" s="111">
        <f>IF(AQ657="1",BI657,0)</f>
      </c>
      <c r="AD657" s="111">
        <f>IF(AQ657="7",BH657,0)</f>
      </c>
      <c r="AE657" s="111">
        <f>IF(AQ657="7",BI657,0)</f>
      </c>
      <c r="AF657" s="111">
        <f>IF(AQ657="2",BH657,0)</f>
      </c>
      <c r="AG657" s="111">
        <f>IF(AQ657="2",BI657,0)</f>
      </c>
      <c r="AH657" s="111">
        <f>IF(AQ657="0",BJ657,0)</f>
      </c>
      <c r="AI657" s="132" t="s">
        <v>84</v>
      </c>
      <c r="AJ657" s="111">
        <f>IF(AN657=0,I657,0)</f>
      </c>
      <c r="AK657" s="111">
        <f>IF(AN657=12,I657,0)</f>
      </c>
      <c r="AL657" s="111">
        <f>IF(AN657=21,I657,0)</f>
      </c>
      <c r="AN657" s="111" t="n">
        <v>21</v>
      </c>
      <c r="AO657" s="111">
        <f>H657*0</f>
      </c>
      <c r="AP657" s="111">
        <f>H657*(1-0)</f>
      </c>
      <c r="AQ657" s="153" t="s">
        <v>130</v>
      </c>
      <c r="AV657" s="111">
        <f>AW657+AX657</f>
      </c>
      <c r="AW657" s="111">
        <f>G657*AO657</f>
      </c>
      <c r="AX657" s="111">
        <f>G657*AP657</f>
      </c>
      <c r="AY657" s="153" t="s">
        <v>1062</v>
      </c>
      <c r="AZ657" s="153" t="s">
        <v>975</v>
      </c>
      <c r="BA657" s="132" t="s">
        <v>137</v>
      </c>
      <c r="BC657" s="111">
        <f>AW657+AX657</f>
      </c>
      <c r="BD657" s="111">
        <f>H657/(100-BE657)*100</f>
      </c>
      <c r="BE657" s="111" t="n">
        <v>0</v>
      </c>
      <c r="BF657" s="111">
        <f>657</f>
      </c>
      <c r="BH657" s="111">
        <f>G657*AO657</f>
      </c>
      <c r="BI657" s="111">
        <f>G657*AP657</f>
      </c>
      <c r="BJ657" s="111">
        <f>G657*H657</f>
      </c>
      <c r="BK657" s="111"/>
      <c r="BL657" s="111" t="n">
        <v>62</v>
      </c>
      <c r="BW657" s="111" t="n">
        <v>21</v>
      </c>
      <c r="BX657" s="14" t="s">
        <v>1144</v>
      </c>
    </row>
    <row r="658">
      <c r="A658" s="154"/>
      <c r="B658" s="155"/>
      <c r="C658" s="155"/>
      <c r="D658" s="156" t="s">
        <v>1133</v>
      </c>
      <c r="E658" s="156" t="s">
        <v>1134</v>
      </c>
      <c r="F658" s="155"/>
      <c r="G658" s="157" t="n">
        <v>9.9</v>
      </c>
      <c r="H658" s="158"/>
      <c r="I658" s="155"/>
      <c r="J658" s="155"/>
      <c r="K658" s="146"/>
    </row>
    <row r="659">
      <c r="A659" s="9" t="s">
        <v>1145</v>
      </c>
      <c r="B659" s="10" t="s">
        <v>84</v>
      </c>
      <c r="C659" s="10" t="s">
        <v>1146</v>
      </c>
      <c r="D659" s="14" t="s">
        <v>1147</v>
      </c>
      <c r="E659" s="10"/>
      <c r="F659" s="10" t="s">
        <v>145</v>
      </c>
      <c r="G659" s="111" t="n">
        <v>34</v>
      </c>
      <c r="H659" s="152" t="n">
        <v>0</v>
      </c>
      <c r="I659" s="111">
        <f>G659*H659</f>
      </c>
      <c r="J659" s="153" t="s">
        <v>134</v>
      </c>
      <c r="K659" s="146"/>
      <c r="Z659" s="111">
        <f>IF(AQ659="5",BJ659,0)</f>
      </c>
      <c r="AB659" s="111">
        <f>IF(AQ659="1",BH659,0)</f>
      </c>
      <c r="AC659" s="111">
        <f>IF(AQ659="1",BI659,0)</f>
      </c>
      <c r="AD659" s="111">
        <f>IF(AQ659="7",BH659,0)</f>
      </c>
      <c r="AE659" s="111">
        <f>IF(AQ659="7",BI659,0)</f>
      </c>
      <c r="AF659" s="111">
        <f>IF(AQ659="2",BH659,0)</f>
      </c>
      <c r="AG659" s="111">
        <f>IF(AQ659="2",BI659,0)</f>
      </c>
      <c r="AH659" s="111">
        <f>IF(AQ659="0",BJ659,0)</f>
      </c>
      <c r="AI659" s="132" t="s">
        <v>84</v>
      </c>
      <c r="AJ659" s="111">
        <f>IF(AN659=0,I659,0)</f>
      </c>
      <c r="AK659" s="111">
        <f>IF(AN659=12,I659,0)</f>
      </c>
      <c r="AL659" s="111">
        <f>IF(AN659=21,I659,0)</f>
      </c>
      <c r="AN659" s="111" t="n">
        <v>21</v>
      </c>
      <c r="AO659" s="111">
        <f>H659*0.689365924</f>
      </c>
      <c r="AP659" s="111">
        <f>H659*(1-0.689365924)</f>
      </c>
      <c r="AQ659" s="153" t="s">
        <v>130</v>
      </c>
      <c r="AV659" s="111">
        <f>AW659+AX659</f>
      </c>
      <c r="AW659" s="111">
        <f>G659*AO659</f>
      </c>
      <c r="AX659" s="111">
        <f>G659*AP659</f>
      </c>
      <c r="AY659" s="153" t="s">
        <v>1062</v>
      </c>
      <c r="AZ659" s="153" t="s">
        <v>975</v>
      </c>
      <c r="BA659" s="132" t="s">
        <v>137</v>
      </c>
      <c r="BC659" s="111">
        <f>AW659+AX659</f>
      </c>
      <c r="BD659" s="111">
        <f>H659/(100-BE659)*100</f>
      </c>
      <c r="BE659" s="111" t="n">
        <v>0</v>
      </c>
      <c r="BF659" s="111">
        <f>659</f>
      </c>
      <c r="BH659" s="111">
        <f>G659*AO659</f>
      </c>
      <c r="BI659" s="111">
        <f>G659*AP659</f>
      </c>
      <c r="BJ659" s="111">
        <f>G659*H659</f>
      </c>
      <c r="BK659" s="111"/>
      <c r="BL659" s="111" t="n">
        <v>62</v>
      </c>
      <c r="BW659" s="111" t="n">
        <v>21</v>
      </c>
      <c r="BX659" s="14" t="s">
        <v>1147</v>
      </c>
    </row>
    <row r="660" customHeight="true" ht="13.5">
      <c r="A660" s="159"/>
      <c r="C660" s="160" t="s">
        <v>146</v>
      </c>
      <c r="D660" s="161" t="s">
        <v>1127</v>
      </c>
      <c r="E660" s="156"/>
      <c r="F660" s="156"/>
      <c r="G660" s="156"/>
      <c r="H660" s="162"/>
      <c r="I660" s="156"/>
      <c r="J660" s="156"/>
      <c r="K660" s="163"/>
    </row>
    <row r="661">
      <c r="A661" s="154"/>
      <c r="B661" s="155"/>
      <c r="C661" s="155"/>
      <c r="D661" s="156" t="s">
        <v>1148</v>
      </c>
      <c r="E661" s="156" t="s">
        <v>1149</v>
      </c>
      <c r="F661" s="155"/>
      <c r="G661" s="157" t="n">
        <v>34</v>
      </c>
      <c r="H661" s="158"/>
      <c r="I661" s="155"/>
      <c r="J661" s="155"/>
      <c r="K661" s="146"/>
    </row>
    <row r="662">
      <c r="A662" s="9" t="s">
        <v>1150</v>
      </c>
      <c r="B662" s="10" t="s">
        <v>84</v>
      </c>
      <c r="C662" s="10" t="s">
        <v>1151</v>
      </c>
      <c r="D662" s="14" t="s">
        <v>1152</v>
      </c>
      <c r="E662" s="10"/>
      <c r="F662" s="10" t="s">
        <v>145</v>
      </c>
      <c r="G662" s="111" t="n">
        <v>17.3475</v>
      </c>
      <c r="H662" s="152" t="n">
        <v>0</v>
      </c>
      <c r="I662" s="111">
        <f>G662*H662</f>
      </c>
      <c r="J662" s="153" t="s">
        <v>134</v>
      </c>
      <c r="K662" s="146"/>
      <c r="Z662" s="111">
        <f>IF(AQ662="5",BJ662,0)</f>
      </c>
      <c r="AB662" s="111">
        <f>IF(AQ662="1",BH662,0)</f>
      </c>
      <c r="AC662" s="111">
        <f>IF(AQ662="1",BI662,0)</f>
      </c>
      <c r="AD662" s="111">
        <f>IF(AQ662="7",BH662,0)</f>
      </c>
      <c r="AE662" s="111">
        <f>IF(AQ662="7",BI662,0)</f>
      </c>
      <c r="AF662" s="111">
        <f>IF(AQ662="2",BH662,0)</f>
      </c>
      <c r="AG662" s="111">
        <f>IF(AQ662="2",BI662,0)</f>
      </c>
      <c r="AH662" s="111">
        <f>IF(AQ662="0",BJ662,0)</f>
      </c>
      <c r="AI662" s="132" t="s">
        <v>84</v>
      </c>
      <c r="AJ662" s="111">
        <f>IF(AN662=0,I662,0)</f>
      </c>
      <c r="AK662" s="111">
        <f>IF(AN662=12,I662,0)</f>
      </c>
      <c r="AL662" s="111">
        <f>IF(AN662=21,I662,0)</f>
      </c>
      <c r="AN662" s="111" t="n">
        <v>21</v>
      </c>
      <c r="AO662" s="111">
        <f>H662*0.503423834</f>
      </c>
      <c r="AP662" s="111">
        <f>H662*(1-0.503423834)</f>
      </c>
      <c r="AQ662" s="153" t="s">
        <v>130</v>
      </c>
      <c r="AV662" s="111">
        <f>AW662+AX662</f>
      </c>
      <c r="AW662" s="111">
        <f>G662*AO662</f>
      </c>
      <c r="AX662" s="111">
        <f>G662*AP662</f>
      </c>
      <c r="AY662" s="153" t="s">
        <v>1062</v>
      </c>
      <c r="AZ662" s="153" t="s">
        <v>975</v>
      </c>
      <c r="BA662" s="132" t="s">
        <v>137</v>
      </c>
      <c r="BC662" s="111">
        <f>AW662+AX662</f>
      </c>
      <c r="BD662" s="111">
        <f>H662/(100-BE662)*100</f>
      </c>
      <c r="BE662" s="111" t="n">
        <v>0</v>
      </c>
      <c r="BF662" s="111">
        <f>662</f>
      </c>
      <c r="BH662" s="111">
        <f>G662*AO662</f>
      </c>
      <c r="BI662" s="111">
        <f>G662*AP662</f>
      </c>
      <c r="BJ662" s="111">
        <f>G662*H662</f>
      </c>
      <c r="BK662" s="111"/>
      <c r="BL662" s="111" t="n">
        <v>62</v>
      </c>
      <c r="BW662" s="111" t="n">
        <v>21</v>
      </c>
      <c r="BX662" s="14" t="s">
        <v>1152</v>
      </c>
    </row>
    <row r="663" customHeight="true" ht="13.5">
      <c r="A663" s="159"/>
      <c r="C663" s="160" t="s">
        <v>146</v>
      </c>
      <c r="D663" s="161" t="s">
        <v>1153</v>
      </c>
      <c r="E663" s="156"/>
      <c r="F663" s="156"/>
      <c r="G663" s="156"/>
      <c r="H663" s="162"/>
      <c r="I663" s="156"/>
      <c r="J663" s="156"/>
      <c r="K663" s="163"/>
    </row>
    <row r="664">
      <c r="A664" s="154"/>
      <c r="B664" s="155"/>
      <c r="C664" s="155"/>
      <c r="D664" s="156" t="s">
        <v>4</v>
      </c>
      <c r="E664" s="156" t="s">
        <v>1128</v>
      </c>
      <c r="F664" s="155"/>
      <c r="G664" s="157" t="n">
        <v>0</v>
      </c>
      <c r="H664" s="158"/>
      <c r="I664" s="155"/>
      <c r="J664" s="155"/>
      <c r="K664" s="146"/>
    </row>
    <row r="665">
      <c r="A665" s="154"/>
      <c r="B665" s="155"/>
      <c r="C665" s="155"/>
      <c r="D665" s="156" t="s">
        <v>1154</v>
      </c>
      <c r="E665" s="156" t="s">
        <v>1046</v>
      </c>
      <c r="F665" s="155"/>
      <c r="G665" s="157" t="n">
        <v>4.305</v>
      </c>
      <c r="H665" s="158"/>
      <c r="I665" s="155"/>
      <c r="J665" s="155"/>
      <c r="K665" s="146"/>
    </row>
    <row r="666">
      <c r="A666" s="154"/>
      <c r="B666" s="155"/>
      <c r="C666" s="155"/>
      <c r="D666" s="156" t="s">
        <v>1155</v>
      </c>
      <c r="E666" s="156" t="s">
        <v>1048</v>
      </c>
      <c r="F666" s="155"/>
      <c r="G666" s="157" t="n">
        <v>1.065</v>
      </c>
      <c r="H666" s="158"/>
      <c r="I666" s="155"/>
      <c r="J666" s="155"/>
      <c r="K666" s="146"/>
    </row>
    <row r="667">
      <c r="A667" s="154"/>
      <c r="B667" s="155"/>
      <c r="C667" s="155"/>
      <c r="D667" s="156" t="s">
        <v>1156</v>
      </c>
      <c r="E667" s="156" t="s">
        <v>1050</v>
      </c>
      <c r="F667" s="155"/>
      <c r="G667" s="157" t="n">
        <v>3.4725</v>
      </c>
      <c r="H667" s="158"/>
      <c r="I667" s="155"/>
      <c r="J667" s="155"/>
      <c r="K667" s="146"/>
    </row>
    <row r="668">
      <c r="A668" s="154"/>
      <c r="B668" s="155"/>
      <c r="C668" s="155"/>
      <c r="D668" s="156" t="s">
        <v>1157</v>
      </c>
      <c r="E668" s="156" t="s">
        <v>1052</v>
      </c>
      <c r="F668" s="155"/>
      <c r="G668" s="157" t="n">
        <v>0.8625</v>
      </c>
      <c r="H668" s="158"/>
      <c r="I668" s="155"/>
      <c r="J668" s="155"/>
      <c r="K668" s="146"/>
    </row>
    <row r="669">
      <c r="A669" s="154"/>
      <c r="B669" s="155"/>
      <c r="C669" s="155"/>
      <c r="D669" s="156" t="s">
        <v>1158</v>
      </c>
      <c r="E669" s="156" t="s">
        <v>1054</v>
      </c>
      <c r="F669" s="155"/>
      <c r="G669" s="157" t="n">
        <v>2.8125</v>
      </c>
      <c r="H669" s="158"/>
      <c r="I669" s="155"/>
      <c r="J669" s="155"/>
      <c r="K669" s="146"/>
    </row>
    <row r="670">
      <c r="A670" s="154"/>
      <c r="B670" s="155"/>
      <c r="C670" s="155"/>
      <c r="D670" s="156" t="s">
        <v>1159</v>
      </c>
      <c r="E670" s="156" t="s">
        <v>1054</v>
      </c>
      <c r="F670" s="155"/>
      <c r="G670" s="157" t="n">
        <v>4.275</v>
      </c>
      <c r="H670" s="158"/>
      <c r="I670" s="155"/>
      <c r="J670" s="155"/>
      <c r="K670" s="146"/>
    </row>
    <row r="671">
      <c r="A671" s="154"/>
      <c r="B671" s="155"/>
      <c r="C671" s="155"/>
      <c r="D671" s="156" t="s">
        <v>1160</v>
      </c>
      <c r="E671" s="156" t="s">
        <v>1057</v>
      </c>
      <c r="F671" s="155"/>
      <c r="G671" s="157" t="n">
        <v>0.555</v>
      </c>
      <c r="H671" s="158"/>
      <c r="I671" s="155"/>
      <c r="J671" s="155"/>
      <c r="K671" s="146"/>
    </row>
    <row r="672">
      <c r="A672" s="9" t="s">
        <v>1161</v>
      </c>
      <c r="B672" s="10" t="s">
        <v>84</v>
      </c>
      <c r="C672" s="10" t="s">
        <v>1162</v>
      </c>
      <c r="D672" s="14" t="s">
        <v>1163</v>
      </c>
      <c r="E672" s="10"/>
      <c r="F672" s="10" t="s">
        <v>145</v>
      </c>
      <c r="G672" s="111" t="n">
        <v>4.71</v>
      </c>
      <c r="H672" s="152" t="n">
        <v>0</v>
      </c>
      <c r="I672" s="111">
        <f>G672*H672</f>
      </c>
      <c r="J672" s="153" t="s">
        <v>134</v>
      </c>
      <c r="K672" s="146"/>
      <c r="Z672" s="111">
        <f>IF(AQ672="5",BJ672,0)</f>
      </c>
      <c r="AB672" s="111">
        <f>IF(AQ672="1",BH672,0)</f>
      </c>
      <c r="AC672" s="111">
        <f>IF(AQ672="1",BI672,0)</f>
      </c>
      <c r="AD672" s="111">
        <f>IF(AQ672="7",BH672,0)</f>
      </c>
      <c r="AE672" s="111">
        <f>IF(AQ672="7",BI672,0)</f>
      </c>
      <c r="AF672" s="111">
        <f>IF(AQ672="2",BH672,0)</f>
      </c>
      <c r="AG672" s="111">
        <f>IF(AQ672="2",BI672,0)</f>
      </c>
      <c r="AH672" s="111">
        <f>IF(AQ672="0",BJ672,0)</f>
      </c>
      <c r="AI672" s="132" t="s">
        <v>84</v>
      </c>
      <c r="AJ672" s="111">
        <f>IF(AN672=0,I672,0)</f>
      </c>
      <c r="AK672" s="111">
        <f>IF(AN672=12,I672,0)</f>
      </c>
      <c r="AL672" s="111">
        <f>IF(AN672=21,I672,0)</f>
      </c>
      <c r="AN672" s="111" t="n">
        <v>21</v>
      </c>
      <c r="AO672" s="111">
        <f>H672*0.427123835</f>
      </c>
      <c r="AP672" s="111">
        <f>H672*(1-0.427123835)</f>
      </c>
      <c r="AQ672" s="153" t="s">
        <v>130</v>
      </c>
      <c r="AV672" s="111">
        <f>AW672+AX672</f>
      </c>
      <c r="AW672" s="111">
        <f>G672*AO672</f>
      </c>
      <c r="AX672" s="111">
        <f>G672*AP672</f>
      </c>
      <c r="AY672" s="153" t="s">
        <v>1062</v>
      </c>
      <c r="AZ672" s="153" t="s">
        <v>975</v>
      </c>
      <c r="BA672" s="132" t="s">
        <v>137</v>
      </c>
      <c r="BC672" s="111">
        <f>AW672+AX672</f>
      </c>
      <c r="BD672" s="111">
        <f>H672/(100-BE672)*100</f>
      </c>
      <c r="BE672" s="111" t="n">
        <v>0</v>
      </c>
      <c r="BF672" s="111">
        <f>672</f>
      </c>
      <c r="BH672" s="111">
        <f>G672*AO672</f>
      </c>
      <c r="BI672" s="111">
        <f>G672*AP672</f>
      </c>
      <c r="BJ672" s="111">
        <f>G672*H672</f>
      </c>
      <c r="BK672" s="111"/>
      <c r="BL672" s="111" t="n">
        <v>62</v>
      </c>
      <c r="BW672" s="111" t="n">
        <v>21</v>
      </c>
      <c r="BX672" s="14" t="s">
        <v>1163</v>
      </c>
    </row>
    <row r="673" customHeight="true" ht="13.5">
      <c r="A673" s="159"/>
      <c r="C673" s="160" t="s">
        <v>146</v>
      </c>
      <c r="D673" s="161" t="s">
        <v>1164</v>
      </c>
      <c r="E673" s="156"/>
      <c r="F673" s="156"/>
      <c r="G673" s="156"/>
      <c r="H673" s="162"/>
      <c r="I673" s="156"/>
      <c r="J673" s="156"/>
      <c r="K673" s="163"/>
    </row>
    <row r="674">
      <c r="A674" s="154"/>
      <c r="B674" s="155"/>
      <c r="C674" s="155"/>
      <c r="D674" s="156" t="s">
        <v>4</v>
      </c>
      <c r="E674" s="156" t="s">
        <v>1128</v>
      </c>
      <c r="F674" s="155"/>
      <c r="G674" s="157" t="n">
        <v>0</v>
      </c>
      <c r="H674" s="158"/>
      <c r="I674" s="155"/>
      <c r="J674" s="155"/>
      <c r="K674" s="146"/>
    </row>
    <row r="675">
      <c r="A675" s="154"/>
      <c r="B675" s="155"/>
      <c r="C675" s="155"/>
      <c r="D675" s="156" t="s">
        <v>1165</v>
      </c>
      <c r="E675" s="156" t="s">
        <v>1046</v>
      </c>
      <c r="F675" s="155"/>
      <c r="G675" s="157" t="n">
        <v>1.185</v>
      </c>
      <c r="H675" s="158"/>
      <c r="I675" s="155"/>
      <c r="J675" s="155"/>
      <c r="K675" s="146"/>
    </row>
    <row r="676">
      <c r="A676" s="154"/>
      <c r="B676" s="155"/>
      <c r="C676" s="155"/>
      <c r="D676" s="156" t="s">
        <v>1166</v>
      </c>
      <c r="E676" s="156" t="s">
        <v>1048</v>
      </c>
      <c r="F676" s="155"/>
      <c r="G676" s="157" t="n">
        <v>0.795</v>
      </c>
      <c r="H676" s="158"/>
      <c r="I676" s="155"/>
      <c r="J676" s="155"/>
      <c r="K676" s="146"/>
    </row>
    <row r="677">
      <c r="A677" s="154"/>
      <c r="B677" s="155"/>
      <c r="C677" s="155"/>
      <c r="D677" s="156" t="s">
        <v>1167</v>
      </c>
      <c r="E677" s="156" t="s">
        <v>1050</v>
      </c>
      <c r="F677" s="155"/>
      <c r="G677" s="157" t="n">
        <v>0.675</v>
      </c>
      <c r="H677" s="158"/>
      <c r="I677" s="155"/>
      <c r="J677" s="155"/>
      <c r="K677" s="146"/>
    </row>
    <row r="678">
      <c r="A678" s="154"/>
      <c r="B678" s="155"/>
      <c r="C678" s="155"/>
      <c r="D678" s="156" t="s">
        <v>1168</v>
      </c>
      <c r="E678" s="156" t="s">
        <v>1054</v>
      </c>
      <c r="F678" s="155"/>
      <c r="G678" s="157" t="n">
        <v>1.83</v>
      </c>
      <c r="H678" s="158"/>
      <c r="I678" s="155"/>
      <c r="J678" s="155"/>
      <c r="K678" s="146"/>
    </row>
    <row r="679">
      <c r="A679" s="154"/>
      <c r="B679" s="155"/>
      <c r="C679" s="155"/>
      <c r="D679" s="156" t="s">
        <v>1169</v>
      </c>
      <c r="E679" s="156" t="s">
        <v>1057</v>
      </c>
      <c r="F679" s="155"/>
      <c r="G679" s="157" t="n">
        <v>0.225</v>
      </c>
      <c r="H679" s="158"/>
      <c r="I679" s="155"/>
      <c r="J679" s="155"/>
      <c r="K679" s="146"/>
    </row>
    <row r="680">
      <c r="A680" s="9" t="s">
        <v>1170</v>
      </c>
      <c r="B680" s="10" t="s">
        <v>84</v>
      </c>
      <c r="C680" s="10" t="s">
        <v>1171</v>
      </c>
      <c r="D680" s="14" t="s">
        <v>1172</v>
      </c>
      <c r="E680" s="10"/>
      <c r="F680" s="10" t="s">
        <v>145</v>
      </c>
      <c r="G680" s="111" t="n">
        <v>7.955</v>
      </c>
      <c r="H680" s="152" t="n">
        <v>0</v>
      </c>
      <c r="I680" s="111">
        <f>G680*H680</f>
      </c>
      <c r="J680" s="153" t="s">
        <v>134</v>
      </c>
      <c r="K680" s="146"/>
      <c r="Z680" s="111">
        <f>IF(AQ680="5",BJ680,0)</f>
      </c>
      <c r="AB680" s="111">
        <f>IF(AQ680="1",BH680,0)</f>
      </c>
      <c r="AC680" s="111">
        <f>IF(AQ680="1",BI680,0)</f>
      </c>
      <c r="AD680" s="111">
        <f>IF(AQ680="7",BH680,0)</f>
      </c>
      <c r="AE680" s="111">
        <f>IF(AQ680="7",BI680,0)</f>
      </c>
      <c r="AF680" s="111">
        <f>IF(AQ680="2",BH680,0)</f>
      </c>
      <c r="AG680" s="111">
        <f>IF(AQ680="2",BI680,0)</f>
      </c>
      <c r="AH680" s="111">
        <f>IF(AQ680="0",BJ680,0)</f>
      </c>
      <c r="AI680" s="132" t="s">
        <v>84</v>
      </c>
      <c r="AJ680" s="111">
        <f>IF(AN680=0,I680,0)</f>
      </c>
      <c r="AK680" s="111">
        <f>IF(AN680=12,I680,0)</f>
      </c>
      <c r="AL680" s="111">
        <f>IF(AN680=21,I680,0)</f>
      </c>
      <c r="AN680" s="111" t="n">
        <v>21</v>
      </c>
      <c r="AO680" s="111">
        <f>H680*0.531037791</f>
      </c>
      <c r="AP680" s="111">
        <f>H680*(1-0.531037791)</f>
      </c>
      <c r="AQ680" s="153" t="s">
        <v>130</v>
      </c>
      <c r="AV680" s="111">
        <f>AW680+AX680</f>
      </c>
      <c r="AW680" s="111">
        <f>G680*AO680</f>
      </c>
      <c r="AX680" s="111">
        <f>G680*AP680</f>
      </c>
      <c r="AY680" s="153" t="s">
        <v>1062</v>
      </c>
      <c r="AZ680" s="153" t="s">
        <v>975</v>
      </c>
      <c r="BA680" s="132" t="s">
        <v>137</v>
      </c>
      <c r="BC680" s="111">
        <f>AW680+AX680</f>
      </c>
      <c r="BD680" s="111">
        <f>H680/(100-BE680)*100</f>
      </c>
      <c r="BE680" s="111" t="n">
        <v>0</v>
      </c>
      <c r="BF680" s="111">
        <f>680</f>
      </c>
      <c r="BH680" s="111">
        <f>G680*AO680</f>
      </c>
      <c r="BI680" s="111">
        <f>G680*AP680</f>
      </c>
      <c r="BJ680" s="111">
        <f>G680*H680</f>
      </c>
      <c r="BK680" s="111"/>
      <c r="BL680" s="111" t="n">
        <v>62</v>
      </c>
      <c r="BW680" s="111" t="n">
        <v>21</v>
      </c>
      <c r="BX680" s="14" t="s">
        <v>1172</v>
      </c>
    </row>
    <row r="681" customHeight="true" ht="13.5">
      <c r="A681" s="159"/>
      <c r="C681" s="160" t="s">
        <v>146</v>
      </c>
      <c r="D681" s="161" t="s">
        <v>1173</v>
      </c>
      <c r="E681" s="156"/>
      <c r="F681" s="156"/>
      <c r="G681" s="156"/>
      <c r="H681" s="162"/>
      <c r="I681" s="156"/>
      <c r="J681" s="156"/>
      <c r="K681" s="163"/>
    </row>
    <row r="682">
      <c r="A682" s="154"/>
      <c r="B682" s="155"/>
      <c r="C682" s="155"/>
      <c r="D682" s="156" t="s">
        <v>4</v>
      </c>
      <c r="E682" s="156" t="s">
        <v>1174</v>
      </c>
      <c r="F682" s="155"/>
      <c r="G682" s="157" t="n">
        <v>0</v>
      </c>
      <c r="H682" s="158"/>
      <c r="I682" s="155"/>
      <c r="J682" s="155"/>
      <c r="K682" s="146"/>
    </row>
    <row r="683">
      <c r="A683" s="154"/>
      <c r="B683" s="155"/>
      <c r="C683" s="155"/>
      <c r="D683" s="156" t="s">
        <v>1175</v>
      </c>
      <c r="E683" s="156" t="s">
        <v>1176</v>
      </c>
      <c r="F683" s="155"/>
      <c r="G683" s="157" t="n">
        <v>0.91</v>
      </c>
      <c r="H683" s="158"/>
      <c r="I683" s="155"/>
      <c r="J683" s="155"/>
      <c r="K683" s="146"/>
    </row>
    <row r="684">
      <c r="A684" s="154"/>
      <c r="B684" s="155"/>
      <c r="C684" s="155"/>
      <c r="D684" s="156" t="s">
        <v>1177</v>
      </c>
      <c r="E684" s="156" t="s">
        <v>1178</v>
      </c>
      <c r="F684" s="155"/>
      <c r="G684" s="157" t="n">
        <v>2.34</v>
      </c>
      <c r="H684" s="158"/>
      <c r="I684" s="155"/>
      <c r="J684" s="155"/>
      <c r="K684" s="146"/>
    </row>
    <row r="685">
      <c r="A685" s="154"/>
      <c r="B685" s="155"/>
      <c r="C685" s="155"/>
      <c r="D685" s="156" t="s">
        <v>1179</v>
      </c>
      <c r="E685" s="156" t="s">
        <v>1180</v>
      </c>
      <c r="F685" s="155"/>
      <c r="G685" s="157" t="n">
        <v>3.015</v>
      </c>
      <c r="H685" s="158"/>
      <c r="I685" s="155"/>
      <c r="J685" s="155"/>
      <c r="K685" s="146"/>
    </row>
    <row r="686">
      <c r="A686" s="154"/>
      <c r="B686" s="155"/>
      <c r="C686" s="155"/>
      <c r="D686" s="156" t="s">
        <v>1181</v>
      </c>
      <c r="E686" s="156" t="s">
        <v>1182</v>
      </c>
      <c r="F686" s="155"/>
      <c r="G686" s="157" t="n">
        <v>1.69</v>
      </c>
      <c r="H686" s="158"/>
      <c r="I686" s="155"/>
      <c r="J686" s="155"/>
      <c r="K686" s="146"/>
    </row>
    <row r="687">
      <c r="A687" s="9" t="s">
        <v>1183</v>
      </c>
      <c r="B687" s="10" t="s">
        <v>84</v>
      </c>
      <c r="C687" s="10" t="s">
        <v>1184</v>
      </c>
      <c r="D687" s="14" t="s">
        <v>1185</v>
      </c>
      <c r="E687" s="10"/>
      <c r="F687" s="10" t="s">
        <v>145</v>
      </c>
      <c r="G687" s="111" t="n">
        <v>19.98</v>
      </c>
      <c r="H687" s="152" t="n">
        <v>0</v>
      </c>
      <c r="I687" s="111">
        <f>G687*H687</f>
      </c>
      <c r="J687" s="153" t="s">
        <v>134</v>
      </c>
      <c r="K687" s="146"/>
      <c r="Z687" s="111">
        <f>IF(AQ687="5",BJ687,0)</f>
      </c>
      <c r="AB687" s="111">
        <f>IF(AQ687="1",BH687,0)</f>
      </c>
      <c r="AC687" s="111">
        <f>IF(AQ687="1",BI687,0)</f>
      </c>
      <c r="AD687" s="111">
        <f>IF(AQ687="7",BH687,0)</f>
      </c>
      <c r="AE687" s="111">
        <f>IF(AQ687="7",BI687,0)</f>
      </c>
      <c r="AF687" s="111">
        <f>IF(AQ687="2",BH687,0)</f>
      </c>
      <c r="AG687" s="111">
        <f>IF(AQ687="2",BI687,0)</f>
      </c>
      <c r="AH687" s="111">
        <f>IF(AQ687="0",BJ687,0)</f>
      </c>
      <c r="AI687" s="132" t="s">
        <v>84</v>
      </c>
      <c r="AJ687" s="111">
        <f>IF(AN687=0,I687,0)</f>
      </c>
      <c r="AK687" s="111">
        <f>IF(AN687=12,I687,0)</f>
      </c>
      <c r="AL687" s="111">
        <f>IF(AN687=21,I687,0)</f>
      </c>
      <c r="AN687" s="111" t="n">
        <v>21</v>
      </c>
      <c r="AO687" s="111">
        <f>H687*0.680610832</f>
      </c>
      <c r="AP687" s="111">
        <f>H687*(1-0.680610832)</f>
      </c>
      <c r="AQ687" s="153" t="s">
        <v>130</v>
      </c>
      <c r="AV687" s="111">
        <f>AW687+AX687</f>
      </c>
      <c r="AW687" s="111">
        <f>G687*AO687</f>
      </c>
      <c r="AX687" s="111">
        <f>G687*AP687</f>
      </c>
      <c r="AY687" s="153" t="s">
        <v>1062</v>
      </c>
      <c r="AZ687" s="153" t="s">
        <v>975</v>
      </c>
      <c r="BA687" s="132" t="s">
        <v>137</v>
      </c>
      <c r="BC687" s="111">
        <f>AW687+AX687</f>
      </c>
      <c r="BD687" s="111">
        <f>H687/(100-BE687)*100</f>
      </c>
      <c r="BE687" s="111" t="n">
        <v>0</v>
      </c>
      <c r="BF687" s="111">
        <f>687</f>
      </c>
      <c r="BH687" s="111">
        <f>G687*AO687</f>
      </c>
      <c r="BI687" s="111">
        <f>G687*AP687</f>
      </c>
      <c r="BJ687" s="111">
        <f>G687*H687</f>
      </c>
      <c r="BK687" s="111"/>
      <c r="BL687" s="111" t="n">
        <v>62</v>
      </c>
      <c r="BW687" s="111" t="n">
        <v>21</v>
      </c>
      <c r="BX687" s="14" t="s">
        <v>1185</v>
      </c>
    </row>
    <row r="688" customHeight="true" ht="13.5">
      <c r="A688" s="159"/>
      <c r="C688" s="160" t="s">
        <v>146</v>
      </c>
      <c r="D688" s="161" t="s">
        <v>1173</v>
      </c>
      <c r="E688" s="156"/>
      <c r="F688" s="156"/>
      <c r="G688" s="156"/>
      <c r="H688" s="162"/>
      <c r="I688" s="156"/>
      <c r="J688" s="156"/>
      <c r="K688" s="163"/>
    </row>
    <row r="689">
      <c r="A689" s="154"/>
      <c r="B689" s="155"/>
      <c r="C689" s="155"/>
      <c r="D689" s="156" t="s">
        <v>1186</v>
      </c>
      <c r="E689" s="156" t="s">
        <v>1187</v>
      </c>
      <c r="F689" s="155"/>
      <c r="G689" s="157" t="n">
        <v>19.98</v>
      </c>
      <c r="H689" s="158"/>
      <c r="I689" s="155"/>
      <c r="J689" s="155"/>
      <c r="K689" s="146"/>
    </row>
    <row r="690">
      <c r="A690" s="9" t="s">
        <v>1188</v>
      </c>
      <c r="B690" s="10" t="s">
        <v>84</v>
      </c>
      <c r="C690" s="10" t="s">
        <v>1189</v>
      </c>
      <c r="D690" s="14" t="s">
        <v>1190</v>
      </c>
      <c r="E690" s="10"/>
      <c r="F690" s="10" t="s">
        <v>145</v>
      </c>
      <c r="G690" s="111" t="n">
        <v>219.088</v>
      </c>
      <c r="H690" s="152" t="n">
        <v>0</v>
      </c>
      <c r="I690" s="111">
        <f>G690*H690</f>
      </c>
      <c r="J690" s="153" t="s">
        <v>134</v>
      </c>
      <c r="K690" s="146"/>
      <c r="Z690" s="111">
        <f>IF(AQ690="5",BJ690,0)</f>
      </c>
      <c r="AB690" s="111">
        <f>IF(AQ690="1",BH690,0)</f>
      </c>
      <c r="AC690" s="111">
        <f>IF(AQ690="1",BI690,0)</f>
      </c>
      <c r="AD690" s="111">
        <f>IF(AQ690="7",BH690,0)</f>
      </c>
      <c r="AE690" s="111">
        <f>IF(AQ690="7",BI690,0)</f>
      </c>
      <c r="AF690" s="111">
        <f>IF(AQ690="2",BH690,0)</f>
      </c>
      <c r="AG690" s="111">
        <f>IF(AQ690="2",BI690,0)</f>
      </c>
      <c r="AH690" s="111">
        <f>IF(AQ690="0",BJ690,0)</f>
      </c>
      <c r="AI690" s="132" t="s">
        <v>84</v>
      </c>
      <c r="AJ690" s="111">
        <f>IF(AN690=0,I690,0)</f>
      </c>
      <c r="AK690" s="111">
        <f>IF(AN690=12,I690,0)</f>
      </c>
      <c r="AL690" s="111">
        <f>IF(AN690=21,I690,0)</f>
      </c>
      <c r="AN690" s="111" t="n">
        <v>21</v>
      </c>
      <c r="AO690" s="111">
        <f>H690*0.562101644</f>
      </c>
      <c r="AP690" s="111">
        <f>H690*(1-0.562101644)</f>
      </c>
      <c r="AQ690" s="153" t="s">
        <v>130</v>
      </c>
      <c r="AV690" s="111">
        <f>AW690+AX690</f>
      </c>
      <c r="AW690" s="111">
        <f>G690*AO690</f>
      </c>
      <c r="AX690" s="111">
        <f>G690*AP690</f>
      </c>
      <c r="AY690" s="153" t="s">
        <v>1062</v>
      </c>
      <c r="AZ690" s="153" t="s">
        <v>975</v>
      </c>
      <c r="BA690" s="132" t="s">
        <v>137</v>
      </c>
      <c r="BC690" s="111">
        <f>AW690+AX690</f>
      </c>
      <c r="BD690" s="111">
        <f>H690/(100-BE690)*100</f>
      </c>
      <c r="BE690" s="111" t="n">
        <v>0</v>
      </c>
      <c r="BF690" s="111">
        <f>690</f>
      </c>
      <c r="BH690" s="111">
        <f>G690*AO690</f>
      </c>
      <c r="BI690" s="111">
        <f>G690*AP690</f>
      </c>
      <c r="BJ690" s="111">
        <f>G690*H690</f>
      </c>
      <c r="BK690" s="111"/>
      <c r="BL690" s="111" t="n">
        <v>62</v>
      </c>
      <c r="BW690" s="111" t="n">
        <v>21</v>
      </c>
      <c r="BX690" s="14" t="s">
        <v>1190</v>
      </c>
    </row>
    <row r="691">
      <c r="A691" s="154"/>
      <c r="B691" s="155"/>
      <c r="C691" s="155"/>
      <c r="D691" s="156" t="s">
        <v>1191</v>
      </c>
      <c r="E691" s="156" t="s">
        <v>1192</v>
      </c>
      <c r="F691" s="155"/>
      <c r="G691" s="157" t="n">
        <v>21.48</v>
      </c>
      <c r="H691" s="158"/>
      <c r="I691" s="155"/>
      <c r="J691" s="155"/>
      <c r="K691" s="146"/>
    </row>
    <row r="692">
      <c r="A692" s="154"/>
      <c r="B692" s="155"/>
      <c r="C692" s="155"/>
      <c r="D692" s="156" t="s">
        <v>1193</v>
      </c>
      <c r="E692" s="156" t="s">
        <v>1194</v>
      </c>
      <c r="F692" s="155"/>
      <c r="G692" s="157" t="n">
        <v>6.15</v>
      </c>
      <c r="H692" s="158"/>
      <c r="I692" s="155"/>
      <c r="J692" s="155"/>
      <c r="K692" s="146"/>
    </row>
    <row r="693">
      <c r="A693" s="154"/>
      <c r="B693" s="155"/>
      <c r="C693" s="155"/>
      <c r="D693" s="156" t="s">
        <v>1195</v>
      </c>
      <c r="E693" s="156" t="s">
        <v>1196</v>
      </c>
      <c r="F693" s="155"/>
      <c r="G693" s="157" t="n">
        <v>87.99</v>
      </c>
      <c r="H693" s="158"/>
      <c r="I693" s="155"/>
      <c r="J693" s="155"/>
      <c r="K693" s="146"/>
    </row>
    <row r="694">
      <c r="A694" s="154"/>
      <c r="B694" s="155"/>
      <c r="C694" s="155"/>
      <c r="D694" s="156" t="s">
        <v>1197</v>
      </c>
      <c r="E694" s="156" t="s">
        <v>1198</v>
      </c>
      <c r="F694" s="155"/>
      <c r="G694" s="157" t="n">
        <v>4.71</v>
      </c>
      <c r="H694" s="158"/>
      <c r="I694" s="155"/>
      <c r="J694" s="155"/>
      <c r="K694" s="146"/>
    </row>
    <row r="695">
      <c r="A695" s="154"/>
      <c r="B695" s="155"/>
      <c r="C695" s="155"/>
      <c r="D695" s="156" t="s">
        <v>1199</v>
      </c>
      <c r="E695" s="156" t="s">
        <v>1200</v>
      </c>
      <c r="F695" s="155"/>
      <c r="G695" s="157" t="n">
        <v>27.94</v>
      </c>
      <c r="H695" s="158"/>
      <c r="I695" s="155"/>
      <c r="J695" s="155"/>
      <c r="K695" s="146"/>
    </row>
    <row r="696">
      <c r="A696" s="154"/>
      <c r="B696" s="155"/>
      <c r="C696" s="155"/>
      <c r="D696" s="156" t="s">
        <v>366</v>
      </c>
      <c r="E696" s="156" t="s">
        <v>1201</v>
      </c>
      <c r="F696" s="155"/>
      <c r="G696" s="157" t="n">
        <v>34</v>
      </c>
      <c r="H696" s="158"/>
      <c r="I696" s="155"/>
      <c r="J696" s="155"/>
      <c r="K696" s="146"/>
    </row>
    <row r="697">
      <c r="A697" s="154"/>
      <c r="B697" s="155"/>
      <c r="C697" s="155"/>
      <c r="D697" s="156" t="s">
        <v>983</v>
      </c>
      <c r="E697" s="156" t="s">
        <v>1016</v>
      </c>
      <c r="F697" s="155"/>
      <c r="G697" s="157" t="n">
        <v>36.818</v>
      </c>
      <c r="H697" s="158"/>
      <c r="I697" s="155"/>
      <c r="J697" s="155"/>
      <c r="K697" s="146"/>
    </row>
    <row r="698">
      <c r="A698" s="9" t="s">
        <v>1202</v>
      </c>
      <c r="B698" s="10" t="s">
        <v>84</v>
      </c>
      <c r="C698" s="10" t="s">
        <v>1203</v>
      </c>
      <c r="D698" s="14" t="s">
        <v>1204</v>
      </c>
      <c r="E698" s="10"/>
      <c r="F698" s="10" t="s">
        <v>145</v>
      </c>
      <c r="G698" s="111" t="n">
        <v>52.38</v>
      </c>
      <c r="H698" s="152" t="n">
        <v>0</v>
      </c>
      <c r="I698" s="111">
        <f>G698*H698</f>
      </c>
      <c r="J698" s="153" t="s">
        <v>134</v>
      </c>
      <c r="K698" s="146"/>
      <c r="Z698" s="111">
        <f>IF(AQ698="5",BJ698,0)</f>
      </c>
      <c r="AB698" s="111">
        <f>IF(AQ698="1",BH698,0)</f>
      </c>
      <c r="AC698" s="111">
        <f>IF(AQ698="1",BI698,0)</f>
      </c>
      <c r="AD698" s="111">
        <f>IF(AQ698="7",BH698,0)</f>
      </c>
      <c r="AE698" s="111">
        <f>IF(AQ698="7",BI698,0)</f>
      </c>
      <c r="AF698" s="111">
        <f>IF(AQ698="2",BH698,0)</f>
      </c>
      <c r="AG698" s="111">
        <f>IF(AQ698="2",BI698,0)</f>
      </c>
      <c r="AH698" s="111">
        <f>IF(AQ698="0",BJ698,0)</f>
      </c>
      <c r="AI698" s="132" t="s">
        <v>84</v>
      </c>
      <c r="AJ698" s="111">
        <f>IF(AN698=0,I698,0)</f>
      </c>
      <c r="AK698" s="111">
        <f>IF(AN698=12,I698,0)</f>
      </c>
      <c r="AL698" s="111">
        <f>IF(AN698=21,I698,0)</f>
      </c>
      <c r="AN698" s="111" t="n">
        <v>21</v>
      </c>
      <c r="AO698" s="111">
        <f>H698*0.335233382</f>
      </c>
      <c r="AP698" s="111">
        <f>H698*(1-0.335233382)</f>
      </c>
      <c r="AQ698" s="153" t="s">
        <v>130</v>
      </c>
      <c r="AV698" s="111">
        <f>AW698+AX698</f>
      </c>
      <c r="AW698" s="111">
        <f>G698*AO698</f>
      </c>
      <c r="AX698" s="111">
        <f>G698*AP698</f>
      </c>
      <c r="AY698" s="153" t="s">
        <v>1062</v>
      </c>
      <c r="AZ698" s="153" t="s">
        <v>975</v>
      </c>
      <c r="BA698" s="132" t="s">
        <v>137</v>
      </c>
      <c r="BC698" s="111">
        <f>AW698+AX698</f>
      </c>
      <c r="BD698" s="111">
        <f>H698/(100-BE698)*100</f>
      </c>
      <c r="BE698" s="111" t="n">
        <v>0</v>
      </c>
      <c r="BF698" s="111">
        <f>698</f>
      </c>
      <c r="BH698" s="111">
        <f>G698*AO698</f>
      </c>
      <c r="BI698" s="111">
        <f>G698*AP698</f>
      </c>
      <c r="BJ698" s="111">
        <f>G698*H698</f>
      </c>
      <c r="BK698" s="111"/>
      <c r="BL698" s="111" t="n">
        <v>62</v>
      </c>
      <c r="BW698" s="111" t="n">
        <v>21</v>
      </c>
      <c r="BX698" s="14" t="s">
        <v>1204</v>
      </c>
    </row>
    <row r="699">
      <c r="A699" s="154"/>
      <c r="B699" s="155"/>
      <c r="C699" s="155"/>
      <c r="D699" s="156" t="s">
        <v>1205</v>
      </c>
      <c r="E699" s="156" t="s">
        <v>1046</v>
      </c>
      <c r="F699" s="155"/>
      <c r="G699" s="157" t="n">
        <v>10.32</v>
      </c>
      <c r="H699" s="158"/>
      <c r="I699" s="155"/>
      <c r="J699" s="155"/>
      <c r="K699" s="146"/>
    </row>
    <row r="700">
      <c r="A700" s="154"/>
      <c r="B700" s="155"/>
      <c r="C700" s="155"/>
      <c r="D700" s="156" t="s">
        <v>1206</v>
      </c>
      <c r="E700" s="156" t="s">
        <v>1048</v>
      </c>
      <c r="F700" s="155"/>
      <c r="G700" s="157" t="n">
        <v>4.77</v>
      </c>
      <c r="H700" s="158"/>
      <c r="I700" s="155"/>
      <c r="J700" s="155"/>
      <c r="K700" s="146"/>
    </row>
    <row r="701">
      <c r="A701" s="154"/>
      <c r="B701" s="155"/>
      <c r="C701" s="155"/>
      <c r="D701" s="156" t="s">
        <v>1207</v>
      </c>
      <c r="E701" s="156" t="s">
        <v>1050</v>
      </c>
      <c r="F701" s="155"/>
      <c r="G701" s="157" t="n">
        <v>12.1425</v>
      </c>
      <c r="H701" s="158"/>
      <c r="I701" s="155"/>
      <c r="J701" s="155"/>
      <c r="K701" s="146"/>
    </row>
    <row r="702">
      <c r="A702" s="154"/>
      <c r="B702" s="155"/>
      <c r="C702" s="155"/>
      <c r="D702" s="156" t="s">
        <v>1208</v>
      </c>
      <c r="E702" s="156" t="s">
        <v>1054</v>
      </c>
      <c r="F702" s="155"/>
      <c r="G702" s="157" t="n">
        <v>8.8725</v>
      </c>
      <c r="H702" s="158"/>
      <c r="I702" s="155"/>
      <c r="J702" s="155"/>
      <c r="K702" s="146"/>
    </row>
    <row r="703">
      <c r="A703" s="154"/>
      <c r="B703" s="155"/>
      <c r="C703" s="155"/>
      <c r="D703" s="156" t="s">
        <v>1209</v>
      </c>
      <c r="E703" s="156" t="s">
        <v>1139</v>
      </c>
      <c r="F703" s="155"/>
      <c r="G703" s="157" t="n">
        <v>14.625</v>
      </c>
      <c r="H703" s="158"/>
      <c r="I703" s="155"/>
      <c r="J703" s="155"/>
      <c r="K703" s="146"/>
    </row>
    <row r="704">
      <c r="A704" s="154"/>
      <c r="B704" s="155"/>
      <c r="C704" s="155"/>
      <c r="D704" s="156" t="s">
        <v>1210</v>
      </c>
      <c r="E704" s="156" t="s">
        <v>1141</v>
      </c>
      <c r="F704" s="155"/>
      <c r="G704" s="157" t="n">
        <v>1.65</v>
      </c>
      <c r="H704" s="158"/>
      <c r="I704" s="155"/>
      <c r="J704" s="155"/>
      <c r="K704" s="146"/>
    </row>
    <row r="705">
      <c r="A705" s="147" t="s">
        <v>4</v>
      </c>
      <c r="B705" s="148" t="s">
        <v>84</v>
      </c>
      <c r="C705" s="148" t="s">
        <v>543</v>
      </c>
      <c r="D705" s="149" t="s">
        <v>1211</v>
      </c>
      <c r="E705" s="148"/>
      <c r="F705" s="150" t="s">
        <v>79</v>
      </c>
      <c r="G705" s="150" t="s">
        <v>79</v>
      </c>
      <c r="H705" s="151" t="s">
        <v>79</v>
      </c>
      <c r="I705" s="117">
        <f>SUM(I706:I749)</f>
      </c>
      <c r="J705" s="132" t="s">
        <v>4</v>
      </c>
      <c r="K705" s="146"/>
      <c r="AI705" s="132" t="s">
        <v>84</v>
      </c>
      <c r="AS705" s="117">
        <f>SUM(AJ706:AJ749)</f>
      </c>
      <c r="AT705" s="117">
        <f>SUM(AK706:AK749)</f>
      </c>
      <c r="AU705" s="117">
        <f>SUM(AL706:AL749)</f>
      </c>
    </row>
    <row r="706">
      <c r="A706" s="9" t="s">
        <v>1212</v>
      </c>
      <c r="B706" s="10" t="s">
        <v>84</v>
      </c>
      <c r="C706" s="10" t="s">
        <v>1213</v>
      </c>
      <c r="D706" s="14" t="s">
        <v>1214</v>
      </c>
      <c r="E706" s="10"/>
      <c r="F706" s="10" t="s">
        <v>145</v>
      </c>
      <c r="G706" s="111" t="n">
        <v>89.1</v>
      </c>
      <c r="H706" s="152" t="n">
        <v>0</v>
      </c>
      <c r="I706" s="111">
        <f>G706*H706</f>
      </c>
      <c r="J706" s="153" t="s">
        <v>134</v>
      </c>
      <c r="K706" s="146"/>
      <c r="Z706" s="111">
        <f>IF(AQ706="5",BJ706,0)</f>
      </c>
      <c r="AB706" s="111">
        <f>IF(AQ706="1",BH706,0)</f>
      </c>
      <c r="AC706" s="111">
        <f>IF(AQ706="1",BI706,0)</f>
      </c>
      <c r="AD706" s="111">
        <f>IF(AQ706="7",BH706,0)</f>
      </c>
      <c r="AE706" s="111">
        <f>IF(AQ706="7",BI706,0)</f>
      </c>
      <c r="AF706" s="111">
        <f>IF(AQ706="2",BH706,0)</f>
      </c>
      <c r="AG706" s="111">
        <f>IF(AQ706="2",BI706,0)</f>
      </c>
      <c r="AH706" s="111">
        <f>IF(AQ706="0",BJ706,0)</f>
      </c>
      <c r="AI706" s="132" t="s">
        <v>84</v>
      </c>
      <c r="AJ706" s="111">
        <f>IF(AN706=0,I706,0)</f>
      </c>
      <c r="AK706" s="111">
        <f>IF(AN706=12,I706,0)</f>
      </c>
      <c r="AL706" s="111">
        <f>IF(AN706=21,I706,0)</f>
      </c>
      <c r="AN706" s="111" t="n">
        <v>21</v>
      </c>
      <c r="AO706" s="111">
        <f>H706*0.777596482</f>
      </c>
      <c r="AP706" s="111">
        <f>H706*(1-0.777596482)</f>
      </c>
      <c r="AQ706" s="153" t="s">
        <v>130</v>
      </c>
      <c r="AV706" s="111">
        <f>AW706+AX706</f>
      </c>
      <c r="AW706" s="111">
        <f>G706*AO706</f>
      </c>
      <c r="AX706" s="111">
        <f>G706*AP706</f>
      </c>
      <c r="AY706" s="153" t="s">
        <v>1215</v>
      </c>
      <c r="AZ706" s="153" t="s">
        <v>975</v>
      </c>
      <c r="BA706" s="132" t="s">
        <v>137</v>
      </c>
      <c r="BC706" s="111">
        <f>AW706+AX706</f>
      </c>
      <c r="BD706" s="111">
        <f>H706/(100-BE706)*100</f>
      </c>
      <c r="BE706" s="111" t="n">
        <v>0</v>
      </c>
      <c r="BF706" s="111">
        <f>706</f>
      </c>
      <c r="BH706" s="111">
        <f>G706*AO706</f>
      </c>
      <c r="BI706" s="111">
        <f>G706*AP706</f>
      </c>
      <c r="BJ706" s="111">
        <f>G706*H706</f>
      </c>
      <c r="BK706" s="111"/>
      <c r="BL706" s="111" t="n">
        <v>63</v>
      </c>
      <c r="BW706" s="111" t="n">
        <v>21</v>
      </c>
      <c r="BX706" s="14" t="s">
        <v>1214</v>
      </c>
    </row>
    <row r="707" customHeight="true" ht="13.5">
      <c r="A707" s="159"/>
      <c r="C707" s="160" t="s">
        <v>146</v>
      </c>
      <c r="D707" s="161" t="s">
        <v>1216</v>
      </c>
      <c r="E707" s="156"/>
      <c r="F707" s="156"/>
      <c r="G707" s="156"/>
      <c r="H707" s="162"/>
      <c r="I707" s="156"/>
      <c r="J707" s="156"/>
      <c r="K707" s="163"/>
    </row>
    <row r="708">
      <c r="A708" s="154"/>
      <c r="B708" s="155"/>
      <c r="C708" s="155"/>
      <c r="D708" s="156" t="s">
        <v>892</v>
      </c>
      <c r="E708" s="156" t="s">
        <v>1217</v>
      </c>
      <c r="F708" s="155"/>
      <c r="G708" s="157" t="n">
        <v>89.1</v>
      </c>
      <c r="H708" s="158"/>
      <c r="I708" s="155"/>
      <c r="J708" s="155"/>
      <c r="K708" s="146"/>
    </row>
    <row r="709">
      <c r="A709" s="9" t="s">
        <v>1218</v>
      </c>
      <c r="B709" s="10" t="s">
        <v>84</v>
      </c>
      <c r="C709" s="10" t="s">
        <v>1219</v>
      </c>
      <c r="D709" s="14" t="s">
        <v>1220</v>
      </c>
      <c r="E709" s="10"/>
      <c r="F709" s="10" t="s">
        <v>145</v>
      </c>
      <c r="G709" s="111" t="n">
        <v>89.1</v>
      </c>
      <c r="H709" s="152" t="n">
        <v>0</v>
      </c>
      <c r="I709" s="111">
        <f>G709*H709</f>
      </c>
      <c r="J709" s="153" t="s">
        <v>134</v>
      </c>
      <c r="K709" s="146"/>
      <c r="Z709" s="111">
        <f>IF(AQ709="5",BJ709,0)</f>
      </c>
      <c r="AB709" s="111">
        <f>IF(AQ709="1",BH709,0)</f>
      </c>
      <c r="AC709" s="111">
        <f>IF(AQ709="1",BI709,0)</f>
      </c>
      <c r="AD709" s="111">
        <f>IF(AQ709="7",BH709,0)</f>
      </c>
      <c r="AE709" s="111">
        <f>IF(AQ709="7",BI709,0)</f>
      </c>
      <c r="AF709" s="111">
        <f>IF(AQ709="2",BH709,0)</f>
      </c>
      <c r="AG709" s="111">
        <f>IF(AQ709="2",BI709,0)</f>
      </c>
      <c r="AH709" s="111">
        <f>IF(AQ709="0",BJ709,0)</f>
      </c>
      <c r="AI709" s="132" t="s">
        <v>84</v>
      </c>
      <c r="AJ709" s="111">
        <f>IF(AN709=0,I709,0)</f>
      </c>
      <c r="AK709" s="111">
        <f>IF(AN709=12,I709,0)</f>
      </c>
      <c r="AL709" s="111">
        <f>IF(AN709=21,I709,0)</f>
      </c>
      <c r="AN709" s="111" t="n">
        <v>21</v>
      </c>
      <c r="AO709" s="111">
        <f>H709*0</f>
      </c>
      <c r="AP709" s="111">
        <f>H709*(1-0)</f>
      </c>
      <c r="AQ709" s="153" t="s">
        <v>130</v>
      </c>
      <c r="AV709" s="111">
        <f>AW709+AX709</f>
      </c>
      <c r="AW709" s="111">
        <f>G709*AO709</f>
      </c>
      <c r="AX709" s="111">
        <f>G709*AP709</f>
      </c>
      <c r="AY709" s="153" t="s">
        <v>1215</v>
      </c>
      <c r="AZ709" s="153" t="s">
        <v>975</v>
      </c>
      <c r="BA709" s="132" t="s">
        <v>137</v>
      </c>
      <c r="BC709" s="111">
        <f>AW709+AX709</f>
      </c>
      <c r="BD709" s="111">
        <f>H709/(100-BE709)*100</f>
      </c>
      <c r="BE709" s="111" t="n">
        <v>0</v>
      </c>
      <c r="BF709" s="111">
        <f>709</f>
      </c>
      <c r="BH709" s="111">
        <f>G709*AO709</f>
      </c>
      <c r="BI709" s="111">
        <f>G709*AP709</f>
      </c>
      <c r="BJ709" s="111">
        <f>G709*H709</f>
      </c>
      <c r="BK709" s="111"/>
      <c r="BL709" s="111" t="n">
        <v>63</v>
      </c>
      <c r="BW709" s="111" t="n">
        <v>21</v>
      </c>
      <c r="BX709" s="14" t="s">
        <v>1220</v>
      </c>
    </row>
    <row r="710">
      <c r="A710" s="154"/>
      <c r="B710" s="155"/>
      <c r="C710" s="155"/>
      <c r="D710" s="156" t="s">
        <v>892</v>
      </c>
      <c r="E710" s="156" t="s">
        <v>1217</v>
      </c>
      <c r="F710" s="155"/>
      <c r="G710" s="157" t="n">
        <v>89.1</v>
      </c>
      <c r="H710" s="158"/>
      <c r="I710" s="155"/>
      <c r="J710" s="155"/>
      <c r="K710" s="146"/>
    </row>
    <row r="711">
      <c r="A711" s="9" t="s">
        <v>1221</v>
      </c>
      <c r="B711" s="10" t="s">
        <v>84</v>
      </c>
      <c r="C711" s="10" t="s">
        <v>1222</v>
      </c>
      <c r="D711" s="14" t="s">
        <v>1223</v>
      </c>
      <c r="E711" s="10"/>
      <c r="F711" s="10" t="s">
        <v>145</v>
      </c>
      <c r="G711" s="111" t="n">
        <v>267.3</v>
      </c>
      <c r="H711" s="152" t="n">
        <v>0</v>
      </c>
      <c r="I711" s="111">
        <f>G711*H711</f>
      </c>
      <c r="J711" s="153" t="s">
        <v>134</v>
      </c>
      <c r="K711" s="146"/>
      <c r="Z711" s="111">
        <f>IF(AQ711="5",BJ711,0)</f>
      </c>
      <c r="AB711" s="111">
        <f>IF(AQ711="1",BH711,0)</f>
      </c>
      <c r="AC711" s="111">
        <f>IF(AQ711="1",BI711,0)</f>
      </c>
      <c r="AD711" s="111">
        <f>IF(AQ711="7",BH711,0)</f>
      </c>
      <c r="AE711" s="111">
        <f>IF(AQ711="7",BI711,0)</f>
      </c>
      <c r="AF711" s="111">
        <f>IF(AQ711="2",BH711,0)</f>
      </c>
      <c r="AG711" s="111">
        <f>IF(AQ711="2",BI711,0)</f>
      </c>
      <c r="AH711" s="111">
        <f>IF(AQ711="0",BJ711,0)</f>
      </c>
      <c r="AI711" s="132" t="s">
        <v>84</v>
      </c>
      <c r="AJ711" s="111">
        <f>IF(AN711=0,I711,0)</f>
      </c>
      <c r="AK711" s="111">
        <f>IF(AN711=12,I711,0)</f>
      </c>
      <c r="AL711" s="111">
        <f>IF(AN711=21,I711,0)</f>
      </c>
      <c r="AN711" s="111" t="n">
        <v>21</v>
      </c>
      <c r="AO711" s="111">
        <f>H711*0.892408377</f>
      </c>
      <c r="AP711" s="111">
        <f>H711*(1-0.892408377)</f>
      </c>
      <c r="AQ711" s="153" t="s">
        <v>130</v>
      </c>
      <c r="AV711" s="111">
        <f>AW711+AX711</f>
      </c>
      <c r="AW711" s="111">
        <f>G711*AO711</f>
      </c>
      <c r="AX711" s="111">
        <f>G711*AP711</f>
      </c>
      <c r="AY711" s="153" t="s">
        <v>1215</v>
      </c>
      <c r="AZ711" s="153" t="s">
        <v>975</v>
      </c>
      <c r="BA711" s="132" t="s">
        <v>137</v>
      </c>
      <c r="BC711" s="111">
        <f>AW711+AX711</f>
      </c>
      <c r="BD711" s="111">
        <f>H711/(100-BE711)*100</f>
      </c>
      <c r="BE711" s="111" t="n">
        <v>0</v>
      </c>
      <c r="BF711" s="111">
        <f>711</f>
      </c>
      <c r="BH711" s="111">
        <f>G711*AO711</f>
      </c>
      <c r="BI711" s="111">
        <f>G711*AP711</f>
      </c>
      <c r="BJ711" s="111">
        <f>G711*H711</f>
      </c>
      <c r="BK711" s="111"/>
      <c r="BL711" s="111" t="n">
        <v>63</v>
      </c>
      <c r="BW711" s="111" t="n">
        <v>21</v>
      </c>
      <c r="BX711" s="14" t="s">
        <v>1223</v>
      </c>
    </row>
    <row r="712" customHeight="true" ht="13.5">
      <c r="A712" s="159"/>
      <c r="C712" s="160" t="s">
        <v>146</v>
      </c>
      <c r="D712" s="161" t="s">
        <v>1224</v>
      </c>
      <c r="E712" s="156"/>
      <c r="F712" s="156"/>
      <c r="G712" s="156"/>
      <c r="H712" s="162"/>
      <c r="I712" s="156"/>
      <c r="J712" s="156"/>
      <c r="K712" s="163"/>
    </row>
    <row r="713">
      <c r="A713" s="154"/>
      <c r="B713" s="155"/>
      <c r="C713" s="155"/>
      <c r="D713" s="156" t="s">
        <v>1225</v>
      </c>
      <c r="E713" s="156" t="s">
        <v>1226</v>
      </c>
      <c r="F713" s="155"/>
      <c r="G713" s="157" t="n">
        <v>267.3</v>
      </c>
      <c r="H713" s="158"/>
      <c r="I713" s="155"/>
      <c r="J713" s="155"/>
      <c r="K713" s="146"/>
    </row>
    <row r="714">
      <c r="A714" s="9" t="s">
        <v>1227</v>
      </c>
      <c r="B714" s="10" t="s">
        <v>84</v>
      </c>
      <c r="C714" s="10" t="s">
        <v>1228</v>
      </c>
      <c r="D714" s="14" t="s">
        <v>1229</v>
      </c>
      <c r="E714" s="10"/>
      <c r="F714" s="10" t="s">
        <v>159</v>
      </c>
      <c r="G714" s="111" t="n">
        <v>27.3085</v>
      </c>
      <c r="H714" s="152" t="n">
        <v>0</v>
      </c>
      <c r="I714" s="111">
        <f>G714*H714</f>
      </c>
      <c r="J714" s="153" t="s">
        <v>134</v>
      </c>
      <c r="K714" s="146"/>
      <c r="Z714" s="111">
        <f>IF(AQ714="5",BJ714,0)</f>
      </c>
      <c r="AB714" s="111">
        <f>IF(AQ714="1",BH714,0)</f>
      </c>
      <c r="AC714" s="111">
        <f>IF(AQ714="1",BI714,0)</f>
      </c>
      <c r="AD714" s="111">
        <f>IF(AQ714="7",BH714,0)</f>
      </c>
      <c r="AE714" s="111">
        <f>IF(AQ714="7",BI714,0)</f>
      </c>
      <c r="AF714" s="111">
        <f>IF(AQ714="2",BH714,0)</f>
      </c>
      <c r="AG714" s="111">
        <f>IF(AQ714="2",BI714,0)</f>
      </c>
      <c r="AH714" s="111">
        <f>IF(AQ714="0",BJ714,0)</f>
      </c>
      <c r="AI714" s="132" t="s">
        <v>84</v>
      </c>
      <c r="AJ714" s="111">
        <f>IF(AN714=0,I714,0)</f>
      </c>
      <c r="AK714" s="111">
        <f>IF(AN714=12,I714,0)</f>
      </c>
      <c r="AL714" s="111">
        <f>IF(AN714=21,I714,0)</f>
      </c>
      <c r="AN714" s="111" t="n">
        <v>21</v>
      </c>
      <c r="AO714" s="111">
        <f>H714*0.680208511</f>
      </c>
      <c r="AP714" s="111">
        <f>H714*(1-0.680208511)</f>
      </c>
      <c r="AQ714" s="153" t="s">
        <v>130</v>
      </c>
      <c r="AV714" s="111">
        <f>AW714+AX714</f>
      </c>
      <c r="AW714" s="111">
        <f>G714*AO714</f>
      </c>
      <c r="AX714" s="111">
        <f>G714*AP714</f>
      </c>
      <c r="AY714" s="153" t="s">
        <v>1215</v>
      </c>
      <c r="AZ714" s="153" t="s">
        <v>975</v>
      </c>
      <c r="BA714" s="132" t="s">
        <v>137</v>
      </c>
      <c r="BC714" s="111">
        <f>AW714+AX714</f>
      </c>
      <c r="BD714" s="111">
        <f>H714/(100-BE714)*100</f>
      </c>
      <c r="BE714" s="111" t="n">
        <v>0</v>
      </c>
      <c r="BF714" s="111">
        <f>714</f>
      </c>
      <c r="BH714" s="111">
        <f>G714*AO714</f>
      </c>
      <c r="BI714" s="111">
        <f>G714*AP714</f>
      </c>
      <c r="BJ714" s="111">
        <f>G714*H714</f>
      </c>
      <c r="BK714" s="111"/>
      <c r="BL714" s="111" t="n">
        <v>63</v>
      </c>
      <c r="BW714" s="111" t="n">
        <v>21</v>
      </c>
      <c r="BX714" s="14" t="s">
        <v>1229</v>
      </c>
    </row>
    <row r="715" customHeight="true" ht="13.5">
      <c r="A715" s="159"/>
      <c r="C715" s="160" t="s">
        <v>146</v>
      </c>
      <c r="D715" s="161" t="s">
        <v>1230</v>
      </c>
      <c r="E715" s="156"/>
      <c r="F715" s="156"/>
      <c r="G715" s="156"/>
      <c r="H715" s="162"/>
      <c r="I715" s="156"/>
      <c r="J715" s="156"/>
      <c r="K715" s="163"/>
    </row>
    <row r="716">
      <c r="A716" s="154"/>
      <c r="B716" s="155"/>
      <c r="C716" s="155"/>
      <c r="D716" s="156" t="s">
        <v>1231</v>
      </c>
      <c r="E716" s="156" t="s">
        <v>1232</v>
      </c>
      <c r="F716" s="155"/>
      <c r="G716" s="157" t="n">
        <v>0.494</v>
      </c>
      <c r="H716" s="158"/>
      <c r="I716" s="155"/>
      <c r="J716" s="155"/>
      <c r="K716" s="146"/>
    </row>
    <row r="717">
      <c r="A717" s="154"/>
      <c r="B717" s="155"/>
      <c r="C717" s="155"/>
      <c r="D717" s="156" t="s">
        <v>1233</v>
      </c>
      <c r="E717" s="156" t="s">
        <v>1234</v>
      </c>
      <c r="F717" s="155"/>
      <c r="G717" s="157" t="n">
        <v>11.725</v>
      </c>
      <c r="H717" s="158"/>
      <c r="I717" s="155"/>
      <c r="J717" s="155"/>
      <c r="K717" s="146"/>
    </row>
    <row r="718">
      <c r="A718" s="154"/>
      <c r="B718" s="155"/>
      <c r="C718" s="155"/>
      <c r="D718" s="156" t="s">
        <v>1235</v>
      </c>
      <c r="E718" s="156" t="s">
        <v>1236</v>
      </c>
      <c r="F718" s="155"/>
      <c r="G718" s="157" t="n">
        <v>3.0745</v>
      </c>
      <c r="H718" s="158"/>
      <c r="I718" s="155"/>
      <c r="J718" s="155"/>
      <c r="K718" s="146"/>
    </row>
    <row r="719">
      <c r="A719" s="154"/>
      <c r="B719" s="155"/>
      <c r="C719" s="155"/>
      <c r="D719" s="156" t="s">
        <v>1237</v>
      </c>
      <c r="E719" s="156" t="s">
        <v>1238</v>
      </c>
      <c r="F719" s="155"/>
      <c r="G719" s="157" t="n">
        <v>12.015</v>
      </c>
      <c r="H719" s="158"/>
      <c r="I719" s="155"/>
      <c r="J719" s="155"/>
      <c r="K719" s="146"/>
    </row>
    <row r="720">
      <c r="A720" s="9" t="s">
        <v>1239</v>
      </c>
      <c r="B720" s="10" t="s">
        <v>84</v>
      </c>
      <c r="C720" s="10" t="s">
        <v>1240</v>
      </c>
      <c r="D720" s="14" t="s">
        <v>1241</v>
      </c>
      <c r="E720" s="10"/>
      <c r="F720" s="10" t="s">
        <v>1242</v>
      </c>
      <c r="G720" s="111" t="n">
        <v>61.174</v>
      </c>
      <c r="H720" s="152" t="n">
        <v>0</v>
      </c>
      <c r="I720" s="111">
        <f>G720*H720</f>
      </c>
      <c r="J720" s="153" t="s">
        <v>134</v>
      </c>
      <c r="K720" s="146"/>
      <c r="Z720" s="111">
        <f>IF(AQ720="5",BJ720,0)</f>
      </c>
      <c r="AB720" s="111">
        <f>IF(AQ720="1",BH720,0)</f>
      </c>
      <c r="AC720" s="111">
        <f>IF(AQ720="1",BI720,0)</f>
      </c>
      <c r="AD720" s="111">
        <f>IF(AQ720="7",BH720,0)</f>
      </c>
      <c r="AE720" s="111">
        <f>IF(AQ720="7",BI720,0)</f>
      </c>
      <c r="AF720" s="111">
        <f>IF(AQ720="2",BH720,0)</f>
      </c>
      <c r="AG720" s="111">
        <f>IF(AQ720="2",BI720,0)</f>
      </c>
      <c r="AH720" s="111">
        <f>IF(AQ720="0",BJ720,0)</f>
      </c>
      <c r="AI720" s="132" t="s">
        <v>84</v>
      </c>
      <c r="AJ720" s="111">
        <f>IF(AN720=0,I720,0)</f>
      </c>
      <c r="AK720" s="111">
        <f>IF(AN720=12,I720,0)</f>
      </c>
      <c r="AL720" s="111">
        <f>IF(AN720=21,I720,0)</f>
      </c>
      <c r="AN720" s="111" t="n">
        <v>21</v>
      </c>
      <c r="AO720" s="111">
        <f>H720*1</f>
      </c>
      <c r="AP720" s="111">
        <f>H720*(1-1)</f>
      </c>
      <c r="AQ720" s="153" t="s">
        <v>130</v>
      </c>
      <c r="AV720" s="111">
        <f>AW720+AX720</f>
      </c>
      <c r="AW720" s="111">
        <f>G720*AO720</f>
      </c>
      <c r="AX720" s="111">
        <f>G720*AP720</f>
      </c>
      <c r="AY720" s="153" t="s">
        <v>1215</v>
      </c>
      <c r="AZ720" s="153" t="s">
        <v>975</v>
      </c>
      <c r="BA720" s="132" t="s">
        <v>137</v>
      </c>
      <c r="BC720" s="111">
        <f>AW720+AX720</f>
      </c>
      <c r="BD720" s="111">
        <f>H720/(100-BE720)*100</f>
      </c>
      <c r="BE720" s="111" t="n">
        <v>0</v>
      </c>
      <c r="BF720" s="111">
        <f>720</f>
      </c>
      <c r="BH720" s="111">
        <f>G720*AO720</f>
      </c>
      <c r="BI720" s="111">
        <f>G720*AP720</f>
      </c>
      <c r="BJ720" s="111">
        <f>G720*H720</f>
      </c>
      <c r="BK720" s="111"/>
      <c r="BL720" s="111" t="n">
        <v>63</v>
      </c>
      <c r="BW720" s="111" t="n">
        <v>21</v>
      </c>
      <c r="BX720" s="14" t="s">
        <v>1241</v>
      </c>
    </row>
    <row r="721">
      <c r="A721" s="154"/>
      <c r="B721" s="155"/>
      <c r="C721" s="155"/>
      <c r="D721" s="156" t="s">
        <v>4</v>
      </c>
      <c r="E721" s="156" t="s">
        <v>1243</v>
      </c>
      <c r="F721" s="155"/>
      <c r="G721" s="157" t="n">
        <v>0</v>
      </c>
      <c r="H721" s="158"/>
      <c r="I721" s="155"/>
      <c r="J721" s="155"/>
      <c r="K721" s="146"/>
    </row>
    <row r="722">
      <c r="A722" s="154"/>
      <c r="B722" s="155"/>
      <c r="C722" s="155"/>
      <c r="D722" s="156" t="s">
        <v>1244</v>
      </c>
      <c r="E722" s="156" t="s">
        <v>1232</v>
      </c>
      <c r="F722" s="155"/>
      <c r="G722" s="157" t="n">
        <v>1.976</v>
      </c>
      <c r="H722" s="158"/>
      <c r="I722" s="155"/>
      <c r="J722" s="155"/>
      <c r="K722" s="146"/>
    </row>
    <row r="723">
      <c r="A723" s="154"/>
      <c r="B723" s="155"/>
      <c r="C723" s="155"/>
      <c r="D723" s="156" t="s">
        <v>1245</v>
      </c>
      <c r="E723" s="156" t="s">
        <v>1234</v>
      </c>
      <c r="F723" s="155"/>
      <c r="G723" s="157" t="n">
        <v>46.9</v>
      </c>
      <c r="H723" s="158"/>
      <c r="I723" s="155"/>
      <c r="J723" s="155"/>
      <c r="K723" s="146"/>
    </row>
    <row r="724">
      <c r="A724" s="154"/>
      <c r="B724" s="155"/>
      <c r="C724" s="155"/>
      <c r="D724" s="156" t="s">
        <v>1246</v>
      </c>
      <c r="E724" s="156" t="s">
        <v>1236</v>
      </c>
      <c r="F724" s="155"/>
      <c r="G724" s="157" t="n">
        <v>12.298</v>
      </c>
      <c r="H724" s="158"/>
      <c r="I724" s="155"/>
      <c r="J724" s="155"/>
      <c r="K724" s="146"/>
    </row>
    <row r="725">
      <c r="A725" s="9" t="s">
        <v>1247</v>
      </c>
      <c r="B725" s="10" t="s">
        <v>84</v>
      </c>
      <c r="C725" s="10" t="s">
        <v>1248</v>
      </c>
      <c r="D725" s="14" t="s">
        <v>1249</v>
      </c>
      <c r="E725" s="10"/>
      <c r="F725" s="10" t="s">
        <v>145</v>
      </c>
      <c r="G725" s="111" t="n">
        <v>462.7</v>
      </c>
      <c r="H725" s="152" t="n">
        <v>0</v>
      </c>
      <c r="I725" s="111">
        <f>G725*H725</f>
      </c>
      <c r="J725" s="153" t="s">
        <v>134</v>
      </c>
      <c r="K725" s="146"/>
      <c r="Z725" s="111">
        <f>IF(AQ725="5",BJ725,0)</f>
      </c>
      <c r="AB725" s="111">
        <f>IF(AQ725="1",BH725,0)</f>
      </c>
      <c r="AC725" s="111">
        <f>IF(AQ725="1",BI725,0)</f>
      </c>
      <c r="AD725" s="111">
        <f>IF(AQ725="7",BH725,0)</f>
      </c>
      <c r="AE725" s="111">
        <f>IF(AQ725="7",BI725,0)</f>
      </c>
      <c r="AF725" s="111">
        <f>IF(AQ725="2",BH725,0)</f>
      </c>
      <c r="AG725" s="111">
        <f>IF(AQ725="2",BI725,0)</f>
      </c>
      <c r="AH725" s="111">
        <f>IF(AQ725="0",BJ725,0)</f>
      </c>
      <c r="AI725" s="132" t="s">
        <v>84</v>
      </c>
      <c r="AJ725" s="111">
        <f>IF(AN725=0,I725,0)</f>
      </c>
      <c r="AK725" s="111">
        <f>IF(AN725=12,I725,0)</f>
      </c>
      <c r="AL725" s="111">
        <f>IF(AN725=21,I725,0)</f>
      </c>
      <c r="AN725" s="111" t="n">
        <v>21</v>
      </c>
      <c r="AO725" s="111">
        <f>H725*0.796828358</f>
      </c>
      <c r="AP725" s="111">
        <f>H725*(1-0.796828358)</f>
      </c>
      <c r="AQ725" s="153" t="s">
        <v>130</v>
      </c>
      <c r="AV725" s="111">
        <f>AW725+AX725</f>
      </c>
      <c r="AW725" s="111">
        <f>G725*AO725</f>
      </c>
      <c r="AX725" s="111">
        <f>G725*AP725</f>
      </c>
      <c r="AY725" s="153" t="s">
        <v>1215</v>
      </c>
      <c r="AZ725" s="153" t="s">
        <v>975</v>
      </c>
      <c r="BA725" s="132" t="s">
        <v>137</v>
      </c>
      <c r="BC725" s="111">
        <f>AW725+AX725</f>
      </c>
      <c r="BD725" s="111">
        <f>H725/(100-BE725)*100</f>
      </c>
      <c r="BE725" s="111" t="n">
        <v>0</v>
      </c>
      <c r="BF725" s="111">
        <f>725</f>
      </c>
      <c r="BH725" s="111">
        <f>G725*AO725</f>
      </c>
      <c r="BI725" s="111">
        <f>G725*AP725</f>
      </c>
      <c r="BJ725" s="111">
        <f>G725*H725</f>
      </c>
      <c r="BK725" s="111"/>
      <c r="BL725" s="111" t="n">
        <v>63</v>
      </c>
      <c r="BW725" s="111" t="n">
        <v>21</v>
      </c>
      <c r="BX725" s="14" t="s">
        <v>1249</v>
      </c>
    </row>
    <row r="726">
      <c r="A726" s="154"/>
      <c r="B726" s="155"/>
      <c r="C726" s="155"/>
      <c r="D726" s="156" t="s">
        <v>1250</v>
      </c>
      <c r="E726" s="156" t="s">
        <v>1232</v>
      </c>
      <c r="F726" s="155"/>
      <c r="G726" s="157" t="n">
        <v>7.6</v>
      </c>
      <c r="H726" s="158"/>
      <c r="I726" s="155"/>
      <c r="J726" s="155"/>
      <c r="K726" s="146"/>
    </row>
    <row r="727">
      <c r="A727" s="154"/>
      <c r="B727" s="155"/>
      <c r="C727" s="155"/>
      <c r="D727" s="156" t="s">
        <v>1251</v>
      </c>
      <c r="E727" s="156" t="s">
        <v>1234</v>
      </c>
      <c r="F727" s="155"/>
      <c r="G727" s="157" t="n">
        <v>167.5</v>
      </c>
      <c r="H727" s="158"/>
      <c r="I727" s="155"/>
      <c r="J727" s="155"/>
      <c r="K727" s="146"/>
    </row>
    <row r="728">
      <c r="A728" s="154"/>
      <c r="B728" s="155"/>
      <c r="C728" s="155"/>
      <c r="D728" s="156" t="s">
        <v>1252</v>
      </c>
      <c r="E728" s="156" t="s">
        <v>1236</v>
      </c>
      <c r="F728" s="155"/>
      <c r="G728" s="157" t="n">
        <v>47.3</v>
      </c>
      <c r="H728" s="158"/>
      <c r="I728" s="155"/>
      <c r="J728" s="155"/>
      <c r="K728" s="146"/>
    </row>
    <row r="729">
      <c r="A729" s="154"/>
      <c r="B729" s="155"/>
      <c r="C729" s="155"/>
      <c r="D729" s="156" t="s">
        <v>1253</v>
      </c>
      <c r="E729" s="156" t="s">
        <v>1238</v>
      </c>
      <c r="F729" s="155"/>
      <c r="G729" s="157" t="n">
        <v>240.3</v>
      </c>
      <c r="H729" s="158"/>
      <c r="I729" s="155"/>
      <c r="J729" s="155"/>
      <c r="K729" s="146"/>
    </row>
    <row r="730">
      <c r="A730" s="9" t="s">
        <v>1254</v>
      </c>
      <c r="B730" s="10" t="s">
        <v>84</v>
      </c>
      <c r="C730" s="10" t="s">
        <v>1255</v>
      </c>
      <c r="D730" s="14" t="s">
        <v>1256</v>
      </c>
      <c r="E730" s="10"/>
      <c r="F730" s="10" t="s">
        <v>145</v>
      </c>
      <c r="G730" s="111" t="n">
        <v>462.7</v>
      </c>
      <c r="H730" s="152" t="n">
        <v>0</v>
      </c>
      <c r="I730" s="111">
        <f>G730*H730</f>
      </c>
      <c r="J730" s="153" t="s">
        <v>134</v>
      </c>
      <c r="K730" s="146"/>
      <c r="Z730" s="111">
        <f>IF(AQ730="5",BJ730,0)</f>
      </c>
      <c r="AB730" s="111">
        <f>IF(AQ730="1",BH730,0)</f>
      </c>
      <c r="AC730" s="111">
        <f>IF(AQ730="1",BI730,0)</f>
      </c>
      <c r="AD730" s="111">
        <f>IF(AQ730="7",BH730,0)</f>
      </c>
      <c r="AE730" s="111">
        <f>IF(AQ730="7",BI730,0)</f>
      </c>
      <c r="AF730" s="111">
        <f>IF(AQ730="2",BH730,0)</f>
      </c>
      <c r="AG730" s="111">
        <f>IF(AQ730="2",BI730,0)</f>
      </c>
      <c r="AH730" s="111">
        <f>IF(AQ730="0",BJ730,0)</f>
      </c>
      <c r="AI730" s="132" t="s">
        <v>84</v>
      </c>
      <c r="AJ730" s="111">
        <f>IF(AN730=0,I730,0)</f>
      </c>
      <c r="AK730" s="111">
        <f>IF(AN730=12,I730,0)</f>
      </c>
      <c r="AL730" s="111">
        <f>IF(AN730=21,I730,0)</f>
      </c>
      <c r="AN730" s="111" t="n">
        <v>21</v>
      </c>
      <c r="AO730" s="111">
        <f>H730*0</f>
      </c>
      <c r="AP730" s="111">
        <f>H730*(1-0)</f>
      </c>
      <c r="AQ730" s="153" t="s">
        <v>130</v>
      </c>
      <c r="AV730" s="111">
        <f>AW730+AX730</f>
      </c>
      <c r="AW730" s="111">
        <f>G730*AO730</f>
      </c>
      <c r="AX730" s="111">
        <f>G730*AP730</f>
      </c>
      <c r="AY730" s="153" t="s">
        <v>1215</v>
      </c>
      <c r="AZ730" s="153" t="s">
        <v>975</v>
      </c>
      <c r="BA730" s="132" t="s">
        <v>137</v>
      </c>
      <c r="BC730" s="111">
        <f>AW730+AX730</f>
      </c>
      <c r="BD730" s="111">
        <f>H730/(100-BE730)*100</f>
      </c>
      <c r="BE730" s="111" t="n">
        <v>0</v>
      </c>
      <c r="BF730" s="111">
        <f>730</f>
      </c>
      <c r="BH730" s="111">
        <f>G730*AO730</f>
      </c>
      <c r="BI730" s="111">
        <f>G730*AP730</f>
      </c>
      <c r="BJ730" s="111">
        <f>G730*H730</f>
      </c>
      <c r="BK730" s="111"/>
      <c r="BL730" s="111" t="n">
        <v>63</v>
      </c>
      <c r="BW730" s="111" t="n">
        <v>21</v>
      </c>
      <c r="BX730" s="14" t="s">
        <v>1256</v>
      </c>
    </row>
    <row r="731">
      <c r="A731" s="154"/>
      <c r="B731" s="155"/>
      <c r="C731" s="155"/>
      <c r="D731" s="156" t="s">
        <v>1250</v>
      </c>
      <c r="E731" s="156" t="s">
        <v>1232</v>
      </c>
      <c r="F731" s="155"/>
      <c r="G731" s="157" t="n">
        <v>7.6</v>
      </c>
      <c r="H731" s="158"/>
      <c r="I731" s="155"/>
      <c r="J731" s="155"/>
      <c r="K731" s="146"/>
    </row>
    <row r="732">
      <c r="A732" s="154"/>
      <c r="B732" s="155"/>
      <c r="C732" s="155"/>
      <c r="D732" s="156" t="s">
        <v>1251</v>
      </c>
      <c r="E732" s="156" t="s">
        <v>1234</v>
      </c>
      <c r="F732" s="155"/>
      <c r="G732" s="157" t="n">
        <v>167.5</v>
      </c>
      <c r="H732" s="158"/>
      <c r="I732" s="155"/>
      <c r="J732" s="155"/>
      <c r="K732" s="146"/>
    </row>
    <row r="733">
      <c r="A733" s="154"/>
      <c r="B733" s="155"/>
      <c r="C733" s="155"/>
      <c r="D733" s="156" t="s">
        <v>1252</v>
      </c>
      <c r="E733" s="156" t="s">
        <v>1236</v>
      </c>
      <c r="F733" s="155"/>
      <c r="G733" s="157" t="n">
        <v>47.3</v>
      </c>
      <c r="H733" s="158"/>
      <c r="I733" s="155"/>
      <c r="J733" s="155"/>
      <c r="K733" s="146"/>
    </row>
    <row r="734">
      <c r="A734" s="154"/>
      <c r="B734" s="155"/>
      <c r="C734" s="155"/>
      <c r="D734" s="156" t="s">
        <v>1253</v>
      </c>
      <c r="E734" s="156" t="s">
        <v>1238</v>
      </c>
      <c r="F734" s="155"/>
      <c r="G734" s="157" t="n">
        <v>240.3</v>
      </c>
      <c r="H734" s="158"/>
      <c r="I734" s="155"/>
      <c r="J734" s="155"/>
      <c r="K734" s="146"/>
    </row>
    <row r="735">
      <c r="A735" s="9" t="s">
        <v>1257</v>
      </c>
      <c r="B735" s="10" t="s">
        <v>84</v>
      </c>
      <c r="C735" s="10" t="s">
        <v>1258</v>
      </c>
      <c r="D735" s="14" t="s">
        <v>1259</v>
      </c>
      <c r="E735" s="10"/>
      <c r="F735" s="10" t="s">
        <v>229</v>
      </c>
      <c r="G735" s="111" t="n">
        <v>0.67164</v>
      </c>
      <c r="H735" s="152" t="n">
        <v>0</v>
      </c>
      <c r="I735" s="111">
        <f>G735*H735</f>
      </c>
      <c r="J735" s="153" t="s">
        <v>134</v>
      </c>
      <c r="K735" s="146"/>
      <c r="Z735" s="111">
        <f>IF(AQ735="5",BJ735,0)</f>
      </c>
      <c r="AB735" s="111">
        <f>IF(AQ735="1",BH735,0)</f>
      </c>
      <c r="AC735" s="111">
        <f>IF(AQ735="1",BI735,0)</f>
      </c>
      <c r="AD735" s="111">
        <f>IF(AQ735="7",BH735,0)</f>
      </c>
      <c r="AE735" s="111">
        <f>IF(AQ735="7",BI735,0)</f>
      </c>
      <c r="AF735" s="111">
        <f>IF(AQ735="2",BH735,0)</f>
      </c>
      <c r="AG735" s="111">
        <f>IF(AQ735="2",BI735,0)</f>
      </c>
      <c r="AH735" s="111">
        <f>IF(AQ735="0",BJ735,0)</f>
      </c>
      <c r="AI735" s="132" t="s">
        <v>84</v>
      </c>
      <c r="AJ735" s="111">
        <f>IF(AN735=0,I735,0)</f>
      </c>
      <c r="AK735" s="111">
        <f>IF(AN735=12,I735,0)</f>
      </c>
      <c r="AL735" s="111">
        <f>IF(AN735=21,I735,0)</f>
      </c>
      <c r="AN735" s="111" t="n">
        <v>21</v>
      </c>
      <c r="AO735" s="111">
        <f>H735*0.783954222</f>
      </c>
      <c r="AP735" s="111">
        <f>H735*(1-0.783954222)</f>
      </c>
      <c r="AQ735" s="153" t="s">
        <v>130</v>
      </c>
      <c r="AV735" s="111">
        <f>AW735+AX735</f>
      </c>
      <c r="AW735" s="111">
        <f>G735*AO735</f>
      </c>
      <c r="AX735" s="111">
        <f>G735*AP735</f>
      </c>
      <c r="AY735" s="153" t="s">
        <v>1215</v>
      </c>
      <c r="AZ735" s="153" t="s">
        <v>975</v>
      </c>
      <c r="BA735" s="132" t="s">
        <v>137</v>
      </c>
      <c r="BC735" s="111">
        <f>AW735+AX735</f>
      </c>
      <c r="BD735" s="111">
        <f>H735/(100-BE735)*100</f>
      </c>
      <c r="BE735" s="111" t="n">
        <v>0</v>
      </c>
      <c r="BF735" s="111">
        <f>735</f>
      </c>
      <c r="BH735" s="111">
        <f>G735*AO735</f>
      </c>
      <c r="BI735" s="111">
        <f>G735*AP735</f>
      </c>
      <c r="BJ735" s="111">
        <f>G735*H735</f>
      </c>
      <c r="BK735" s="111"/>
      <c r="BL735" s="111" t="n">
        <v>63</v>
      </c>
      <c r="BW735" s="111" t="n">
        <v>21</v>
      </c>
      <c r="BX735" s="14" t="s">
        <v>1259</v>
      </c>
    </row>
    <row r="736" customHeight="true" ht="13.5">
      <c r="A736" s="159"/>
      <c r="C736" s="160" t="s">
        <v>146</v>
      </c>
      <c r="D736" s="161" t="s">
        <v>1260</v>
      </c>
      <c r="E736" s="156"/>
      <c r="F736" s="156"/>
      <c r="G736" s="156"/>
      <c r="H736" s="162"/>
      <c r="I736" s="156"/>
      <c r="J736" s="156"/>
      <c r="K736" s="163"/>
    </row>
    <row r="737">
      <c r="A737" s="154"/>
      <c r="B737" s="155"/>
      <c r="C737" s="155"/>
      <c r="D737" s="156" t="s">
        <v>1261</v>
      </c>
      <c r="E737" s="156" t="s">
        <v>1238</v>
      </c>
      <c r="F737" s="155"/>
      <c r="G737" s="157" t="n">
        <v>0.67164</v>
      </c>
      <c r="H737" s="158"/>
      <c r="I737" s="155"/>
      <c r="J737" s="155"/>
      <c r="K737" s="146"/>
    </row>
    <row r="738">
      <c r="A738" s="9" t="s">
        <v>1262</v>
      </c>
      <c r="B738" s="10" t="s">
        <v>84</v>
      </c>
      <c r="C738" s="10" t="s">
        <v>1263</v>
      </c>
      <c r="D738" s="14" t="s">
        <v>1264</v>
      </c>
      <c r="E738" s="10"/>
      <c r="F738" s="10" t="s">
        <v>145</v>
      </c>
      <c r="G738" s="111" t="n">
        <v>533.33</v>
      </c>
      <c r="H738" s="152" t="n">
        <v>0</v>
      </c>
      <c r="I738" s="111">
        <f>G738*H738</f>
      </c>
      <c r="J738" s="153" t="s">
        <v>134</v>
      </c>
      <c r="K738" s="146"/>
      <c r="Z738" s="111">
        <f>IF(AQ738="5",BJ738,0)</f>
      </c>
      <c r="AB738" s="111">
        <f>IF(AQ738="1",BH738,0)</f>
      </c>
      <c r="AC738" s="111">
        <f>IF(AQ738="1",BI738,0)</f>
      </c>
      <c r="AD738" s="111">
        <f>IF(AQ738="7",BH738,0)</f>
      </c>
      <c r="AE738" s="111">
        <f>IF(AQ738="7",BI738,0)</f>
      </c>
      <c r="AF738" s="111">
        <f>IF(AQ738="2",BH738,0)</f>
      </c>
      <c r="AG738" s="111">
        <f>IF(AQ738="2",BI738,0)</f>
      </c>
      <c r="AH738" s="111">
        <f>IF(AQ738="0",BJ738,0)</f>
      </c>
      <c r="AI738" s="132" t="s">
        <v>84</v>
      </c>
      <c r="AJ738" s="111">
        <f>IF(AN738=0,I738,0)</f>
      </c>
      <c r="AK738" s="111">
        <f>IF(AN738=12,I738,0)</f>
      </c>
      <c r="AL738" s="111">
        <f>IF(AN738=21,I738,0)</f>
      </c>
      <c r="AN738" s="111" t="n">
        <v>21</v>
      </c>
      <c r="AO738" s="111">
        <f>H738*0.485697829</f>
      </c>
      <c r="AP738" s="111">
        <f>H738*(1-0.485697829)</f>
      </c>
      <c r="AQ738" s="153" t="s">
        <v>130</v>
      </c>
      <c r="AV738" s="111">
        <f>AW738+AX738</f>
      </c>
      <c r="AW738" s="111">
        <f>G738*AO738</f>
      </c>
      <c r="AX738" s="111">
        <f>G738*AP738</f>
      </c>
      <c r="AY738" s="153" t="s">
        <v>1215</v>
      </c>
      <c r="AZ738" s="153" t="s">
        <v>975</v>
      </c>
      <c r="BA738" s="132" t="s">
        <v>137</v>
      </c>
      <c r="BC738" s="111">
        <f>AW738+AX738</f>
      </c>
      <c r="BD738" s="111">
        <f>H738/(100-BE738)*100</f>
      </c>
      <c r="BE738" s="111" t="n">
        <v>0</v>
      </c>
      <c r="BF738" s="111">
        <f>738</f>
      </c>
      <c r="BH738" s="111">
        <f>G738*AO738</f>
      </c>
      <c r="BI738" s="111">
        <f>G738*AP738</f>
      </c>
      <c r="BJ738" s="111">
        <f>G738*H738</f>
      </c>
      <c r="BK738" s="111"/>
      <c r="BL738" s="111" t="n">
        <v>63</v>
      </c>
      <c r="BW738" s="111" t="n">
        <v>21</v>
      </c>
      <c r="BX738" s="14" t="s">
        <v>1264</v>
      </c>
    </row>
    <row r="739" customHeight="true" ht="13.5">
      <c r="A739" s="159"/>
      <c r="C739" s="160" t="s">
        <v>146</v>
      </c>
      <c r="D739" s="161" t="s">
        <v>1265</v>
      </c>
      <c r="E739" s="156"/>
      <c r="F739" s="156"/>
      <c r="G739" s="156"/>
      <c r="H739" s="162"/>
      <c r="I739" s="156"/>
      <c r="J739" s="156"/>
      <c r="K739" s="163"/>
    </row>
    <row r="740">
      <c r="A740" s="154"/>
      <c r="B740" s="155"/>
      <c r="C740" s="155"/>
      <c r="D740" s="156" t="s">
        <v>1266</v>
      </c>
      <c r="E740" s="156" t="s">
        <v>1267</v>
      </c>
      <c r="F740" s="155"/>
      <c r="G740" s="157" t="n">
        <v>533.33</v>
      </c>
      <c r="H740" s="158"/>
      <c r="I740" s="155"/>
      <c r="J740" s="155"/>
      <c r="K740" s="146"/>
    </row>
    <row r="741">
      <c r="A741" s="154"/>
      <c r="B741" s="155"/>
      <c r="C741" s="155"/>
      <c r="D741" s="156" t="s">
        <v>4</v>
      </c>
      <c r="E741" s="156" t="s">
        <v>1268</v>
      </c>
      <c r="F741" s="155"/>
      <c r="G741" s="157" t="n">
        <v>0</v>
      </c>
      <c r="H741" s="158"/>
      <c r="I741" s="155"/>
      <c r="J741" s="155"/>
      <c r="K741" s="146"/>
    </row>
    <row r="742">
      <c r="A742" s="9" t="s">
        <v>1269</v>
      </c>
      <c r="B742" s="10" t="s">
        <v>84</v>
      </c>
      <c r="C742" s="10" t="s">
        <v>1270</v>
      </c>
      <c r="D742" s="14" t="s">
        <v>1271</v>
      </c>
      <c r="E742" s="10"/>
      <c r="F742" s="10" t="s">
        <v>145</v>
      </c>
      <c r="G742" s="111" t="n">
        <v>799.995</v>
      </c>
      <c r="H742" s="152" t="n">
        <v>0</v>
      </c>
      <c r="I742" s="111">
        <f>G742*H742</f>
      </c>
      <c r="J742" s="153" t="s">
        <v>134</v>
      </c>
      <c r="K742" s="146"/>
      <c r="Z742" s="111">
        <f>IF(AQ742="5",BJ742,0)</f>
      </c>
      <c r="AB742" s="111">
        <f>IF(AQ742="1",BH742,0)</f>
      </c>
      <c r="AC742" s="111">
        <f>IF(AQ742="1",BI742,0)</f>
      </c>
      <c r="AD742" s="111">
        <f>IF(AQ742="7",BH742,0)</f>
      </c>
      <c r="AE742" s="111">
        <f>IF(AQ742="7",BI742,0)</f>
      </c>
      <c r="AF742" s="111">
        <f>IF(AQ742="2",BH742,0)</f>
      </c>
      <c r="AG742" s="111">
        <f>IF(AQ742="2",BI742,0)</f>
      </c>
      <c r="AH742" s="111">
        <f>IF(AQ742="0",BJ742,0)</f>
      </c>
      <c r="AI742" s="132" t="s">
        <v>84</v>
      </c>
      <c r="AJ742" s="111">
        <f>IF(AN742=0,I742,0)</f>
      </c>
      <c r="AK742" s="111">
        <f>IF(AN742=12,I742,0)</f>
      </c>
      <c r="AL742" s="111">
        <f>IF(AN742=21,I742,0)</f>
      </c>
      <c r="AN742" s="111" t="n">
        <v>21</v>
      </c>
      <c r="AO742" s="111">
        <f>H742*0.7018692</f>
      </c>
      <c r="AP742" s="111">
        <f>H742*(1-0.7018692)</f>
      </c>
      <c r="AQ742" s="153" t="s">
        <v>130</v>
      </c>
      <c r="AV742" s="111">
        <f>AW742+AX742</f>
      </c>
      <c r="AW742" s="111">
        <f>G742*AO742</f>
      </c>
      <c r="AX742" s="111">
        <f>G742*AP742</f>
      </c>
      <c r="AY742" s="153" t="s">
        <v>1215</v>
      </c>
      <c r="AZ742" s="153" t="s">
        <v>975</v>
      </c>
      <c r="BA742" s="132" t="s">
        <v>137</v>
      </c>
      <c r="BC742" s="111">
        <f>AW742+AX742</f>
      </c>
      <c r="BD742" s="111">
        <f>H742/(100-BE742)*100</f>
      </c>
      <c r="BE742" s="111" t="n">
        <v>0</v>
      </c>
      <c r="BF742" s="111">
        <f>742</f>
      </c>
      <c r="BH742" s="111">
        <f>G742*AO742</f>
      </c>
      <c r="BI742" s="111">
        <f>G742*AP742</f>
      </c>
      <c r="BJ742" s="111">
        <f>G742*H742</f>
      </c>
      <c r="BK742" s="111"/>
      <c r="BL742" s="111" t="n">
        <v>63</v>
      </c>
      <c r="BW742" s="111" t="n">
        <v>21</v>
      </c>
      <c r="BX742" s="14" t="s">
        <v>1271</v>
      </c>
    </row>
    <row r="743" customHeight="true" ht="13.5">
      <c r="A743" s="159"/>
      <c r="C743" s="160" t="s">
        <v>146</v>
      </c>
      <c r="D743" s="161" t="s">
        <v>1272</v>
      </c>
      <c r="E743" s="156"/>
      <c r="F743" s="156"/>
      <c r="G743" s="156"/>
      <c r="H743" s="162"/>
      <c r="I743" s="156"/>
      <c r="J743" s="156"/>
      <c r="K743" s="163"/>
    </row>
    <row r="744">
      <c r="A744" s="154"/>
      <c r="B744" s="155"/>
      <c r="C744" s="155"/>
      <c r="D744" s="156" t="s">
        <v>1273</v>
      </c>
      <c r="E744" s="156" t="s">
        <v>1267</v>
      </c>
      <c r="F744" s="155"/>
      <c r="G744" s="157" t="n">
        <v>799.995</v>
      </c>
      <c r="H744" s="158"/>
      <c r="I744" s="155"/>
      <c r="J744" s="155"/>
      <c r="K744" s="146"/>
    </row>
    <row r="745">
      <c r="A745" s="154"/>
      <c r="B745" s="155"/>
      <c r="C745" s="155"/>
      <c r="D745" s="156" t="s">
        <v>4</v>
      </c>
      <c r="E745" s="156" t="s">
        <v>1268</v>
      </c>
      <c r="F745" s="155"/>
      <c r="G745" s="157" t="n">
        <v>0</v>
      </c>
      <c r="H745" s="158"/>
      <c r="I745" s="155"/>
      <c r="J745" s="155"/>
      <c r="K745" s="146"/>
    </row>
    <row r="746">
      <c r="A746" s="9" t="s">
        <v>1274</v>
      </c>
      <c r="B746" s="10" t="s">
        <v>84</v>
      </c>
      <c r="C746" s="10" t="s">
        <v>1263</v>
      </c>
      <c r="D746" s="14" t="s">
        <v>1275</v>
      </c>
      <c r="E746" s="10"/>
      <c r="F746" s="10" t="s">
        <v>145</v>
      </c>
      <c r="G746" s="111" t="n">
        <v>9.16</v>
      </c>
      <c r="H746" s="152" t="n">
        <v>0</v>
      </c>
      <c r="I746" s="111">
        <f>G746*H746</f>
      </c>
      <c r="J746" s="153" t="s">
        <v>134</v>
      </c>
      <c r="K746" s="146"/>
      <c r="Z746" s="111">
        <f>IF(AQ746="5",BJ746,0)</f>
      </c>
      <c r="AB746" s="111">
        <f>IF(AQ746="1",BH746,0)</f>
      </c>
      <c r="AC746" s="111">
        <f>IF(AQ746="1",BI746,0)</f>
      </c>
      <c r="AD746" s="111">
        <f>IF(AQ746="7",BH746,0)</f>
      </c>
      <c r="AE746" s="111">
        <f>IF(AQ746="7",BI746,0)</f>
      </c>
      <c r="AF746" s="111">
        <f>IF(AQ746="2",BH746,0)</f>
      </c>
      <c r="AG746" s="111">
        <f>IF(AQ746="2",BI746,0)</f>
      </c>
      <c r="AH746" s="111">
        <f>IF(AQ746="0",BJ746,0)</f>
      </c>
      <c r="AI746" s="132" t="s">
        <v>84</v>
      </c>
      <c r="AJ746" s="111">
        <f>IF(AN746=0,I746,0)</f>
      </c>
      <c r="AK746" s="111">
        <f>IF(AN746=12,I746,0)</f>
      </c>
      <c r="AL746" s="111">
        <f>IF(AN746=21,I746,0)</f>
      </c>
      <c r="AN746" s="111" t="n">
        <v>21</v>
      </c>
      <c r="AO746" s="111">
        <f>H746*0.485697842</f>
      </c>
      <c r="AP746" s="111">
        <f>H746*(1-0.485697842)</f>
      </c>
      <c r="AQ746" s="153" t="s">
        <v>130</v>
      </c>
      <c r="AV746" s="111">
        <f>AW746+AX746</f>
      </c>
      <c r="AW746" s="111">
        <f>G746*AO746</f>
      </c>
      <c r="AX746" s="111">
        <f>G746*AP746</f>
      </c>
      <c r="AY746" s="153" t="s">
        <v>1215</v>
      </c>
      <c r="AZ746" s="153" t="s">
        <v>975</v>
      </c>
      <c r="BA746" s="132" t="s">
        <v>137</v>
      </c>
      <c r="BC746" s="111">
        <f>AW746+AX746</f>
      </c>
      <c r="BD746" s="111">
        <f>H746/(100-BE746)*100</f>
      </c>
      <c r="BE746" s="111" t="n">
        <v>0</v>
      </c>
      <c r="BF746" s="111">
        <f>746</f>
      </c>
      <c r="BH746" s="111">
        <f>G746*AO746</f>
      </c>
      <c r="BI746" s="111">
        <f>G746*AP746</f>
      </c>
      <c r="BJ746" s="111">
        <f>G746*H746</f>
      </c>
      <c r="BK746" s="111"/>
      <c r="BL746" s="111" t="n">
        <v>63</v>
      </c>
      <c r="BW746" s="111" t="n">
        <v>21</v>
      </c>
      <c r="BX746" s="14" t="s">
        <v>1275</v>
      </c>
    </row>
    <row r="747" customHeight="true" ht="13.5">
      <c r="A747" s="159"/>
      <c r="C747" s="160" t="s">
        <v>146</v>
      </c>
      <c r="D747" s="161" t="s">
        <v>1276</v>
      </c>
      <c r="E747" s="156"/>
      <c r="F747" s="156"/>
      <c r="G747" s="156"/>
      <c r="H747" s="162"/>
      <c r="I747" s="156"/>
      <c r="J747" s="156"/>
      <c r="K747" s="163"/>
    </row>
    <row r="748">
      <c r="A748" s="154"/>
      <c r="B748" s="155"/>
      <c r="C748" s="155"/>
      <c r="D748" s="156" t="s">
        <v>1277</v>
      </c>
      <c r="E748" s="156" t="s">
        <v>681</v>
      </c>
      <c r="F748" s="155"/>
      <c r="G748" s="157" t="n">
        <v>9.16</v>
      </c>
      <c r="H748" s="158"/>
      <c r="I748" s="155"/>
      <c r="J748" s="155"/>
      <c r="K748" s="146"/>
    </row>
    <row r="749">
      <c r="A749" s="9" t="s">
        <v>1278</v>
      </c>
      <c r="B749" s="10" t="s">
        <v>84</v>
      </c>
      <c r="C749" s="10" t="s">
        <v>1279</v>
      </c>
      <c r="D749" s="14" t="s">
        <v>1280</v>
      </c>
      <c r="E749" s="10"/>
      <c r="F749" s="10" t="s">
        <v>145</v>
      </c>
      <c r="G749" s="111" t="n">
        <v>71.686</v>
      </c>
      <c r="H749" s="152" t="n">
        <v>0</v>
      </c>
      <c r="I749" s="111">
        <f>G749*H749</f>
      </c>
      <c r="J749" s="153" t="s">
        <v>134</v>
      </c>
      <c r="K749" s="146"/>
      <c r="Z749" s="111">
        <f>IF(AQ749="5",BJ749,0)</f>
      </c>
      <c r="AB749" s="111">
        <f>IF(AQ749="1",BH749,0)</f>
      </c>
      <c r="AC749" s="111">
        <f>IF(AQ749="1",BI749,0)</f>
      </c>
      <c r="AD749" s="111">
        <f>IF(AQ749="7",BH749,0)</f>
      </c>
      <c r="AE749" s="111">
        <f>IF(AQ749="7",BI749,0)</f>
      </c>
      <c r="AF749" s="111">
        <f>IF(AQ749="2",BH749,0)</f>
      </c>
      <c r="AG749" s="111">
        <f>IF(AQ749="2",BI749,0)</f>
      </c>
      <c r="AH749" s="111">
        <f>IF(AQ749="0",BJ749,0)</f>
      </c>
      <c r="AI749" s="132" t="s">
        <v>84</v>
      </c>
      <c r="AJ749" s="111">
        <f>IF(AN749=0,I749,0)</f>
      </c>
      <c r="AK749" s="111">
        <f>IF(AN749=12,I749,0)</f>
      </c>
      <c r="AL749" s="111">
        <f>IF(AN749=21,I749,0)</f>
      </c>
      <c r="AN749" s="111" t="n">
        <v>21</v>
      </c>
      <c r="AO749" s="111">
        <f>H749*0.895743624</f>
      </c>
      <c r="AP749" s="111">
        <f>H749*(1-0.895743624)</f>
      </c>
      <c r="AQ749" s="153" t="s">
        <v>130</v>
      </c>
      <c r="AV749" s="111">
        <f>AW749+AX749</f>
      </c>
      <c r="AW749" s="111">
        <f>G749*AO749</f>
      </c>
      <c r="AX749" s="111">
        <f>G749*AP749</f>
      </c>
      <c r="AY749" s="153" t="s">
        <v>1215</v>
      </c>
      <c r="AZ749" s="153" t="s">
        <v>975</v>
      </c>
      <c r="BA749" s="132" t="s">
        <v>137</v>
      </c>
      <c r="BC749" s="111">
        <f>AW749+AX749</f>
      </c>
      <c r="BD749" s="111">
        <f>H749/(100-BE749)*100</f>
      </c>
      <c r="BE749" s="111" t="n">
        <v>0</v>
      </c>
      <c r="BF749" s="111">
        <f>749</f>
      </c>
      <c r="BH749" s="111">
        <f>G749*AO749</f>
      </c>
      <c r="BI749" s="111">
        <f>G749*AP749</f>
      </c>
      <c r="BJ749" s="111">
        <f>G749*H749</f>
      </c>
      <c r="BK749" s="111"/>
      <c r="BL749" s="111" t="n">
        <v>63</v>
      </c>
      <c r="BW749" s="111" t="n">
        <v>21</v>
      </c>
      <c r="BX749" s="14" t="s">
        <v>1280</v>
      </c>
    </row>
    <row r="750">
      <c r="A750" s="154"/>
      <c r="B750" s="155"/>
      <c r="C750" s="155"/>
      <c r="D750" s="156" t="s">
        <v>4</v>
      </c>
      <c r="E750" s="156" t="s">
        <v>1281</v>
      </c>
      <c r="F750" s="155"/>
      <c r="G750" s="157" t="n">
        <v>0</v>
      </c>
      <c r="H750" s="158"/>
      <c r="I750" s="155"/>
      <c r="J750" s="155"/>
      <c r="K750" s="146"/>
    </row>
    <row r="751">
      <c r="A751" s="154"/>
      <c r="B751" s="155"/>
      <c r="C751" s="155"/>
      <c r="D751" s="156" t="s">
        <v>1282</v>
      </c>
      <c r="E751" s="156" t="s">
        <v>1046</v>
      </c>
      <c r="F751" s="155"/>
      <c r="G751" s="157" t="n">
        <v>9.26</v>
      </c>
      <c r="H751" s="158"/>
      <c r="I751" s="155"/>
      <c r="J751" s="155"/>
      <c r="K751" s="146"/>
    </row>
    <row r="752">
      <c r="A752" s="154"/>
      <c r="B752" s="155"/>
      <c r="C752" s="155"/>
      <c r="D752" s="156" t="s">
        <v>1283</v>
      </c>
      <c r="E752" s="156" t="s">
        <v>1048</v>
      </c>
      <c r="F752" s="155"/>
      <c r="G752" s="157" t="n">
        <v>14.768</v>
      </c>
      <c r="H752" s="158"/>
      <c r="I752" s="155"/>
      <c r="J752" s="155"/>
      <c r="K752" s="146"/>
    </row>
    <row r="753">
      <c r="A753" s="154"/>
      <c r="B753" s="155"/>
      <c r="C753" s="155"/>
      <c r="D753" s="156" t="s">
        <v>1284</v>
      </c>
      <c r="E753" s="156" t="s">
        <v>1050</v>
      </c>
      <c r="F753" s="155"/>
      <c r="G753" s="157" t="n">
        <v>6.028</v>
      </c>
      <c r="H753" s="158"/>
      <c r="I753" s="155"/>
      <c r="J753" s="155"/>
      <c r="K753" s="146"/>
    </row>
    <row r="754">
      <c r="A754" s="154"/>
      <c r="B754" s="155"/>
      <c r="C754" s="155"/>
      <c r="D754" s="156" t="s">
        <v>1285</v>
      </c>
      <c r="E754" s="156" t="s">
        <v>1286</v>
      </c>
      <c r="F754" s="155"/>
      <c r="G754" s="157" t="n">
        <v>31.42</v>
      </c>
      <c r="H754" s="158"/>
      <c r="I754" s="155"/>
      <c r="J754" s="155"/>
      <c r="K754" s="146"/>
    </row>
    <row r="755">
      <c r="A755" s="154"/>
      <c r="B755" s="155"/>
      <c r="C755" s="155"/>
      <c r="D755" s="156" t="s">
        <v>1287</v>
      </c>
      <c r="E755" s="156" t="s">
        <v>1288</v>
      </c>
      <c r="F755" s="155"/>
      <c r="G755" s="157" t="n">
        <v>10.21</v>
      </c>
      <c r="H755" s="158"/>
      <c r="I755" s="155"/>
      <c r="J755" s="155"/>
      <c r="K755" s="146"/>
    </row>
    <row r="756">
      <c r="A756" s="147" t="s">
        <v>4</v>
      </c>
      <c r="B756" s="148" t="s">
        <v>84</v>
      </c>
      <c r="C756" s="148" t="s">
        <v>546</v>
      </c>
      <c r="D756" s="149" t="s">
        <v>1289</v>
      </c>
      <c r="E756" s="148"/>
      <c r="F756" s="150" t="s">
        <v>79</v>
      </c>
      <c r="G756" s="150" t="s">
        <v>79</v>
      </c>
      <c r="H756" s="151" t="s">
        <v>79</v>
      </c>
      <c r="I756" s="117">
        <f>SUM(I757:I769)</f>
      </c>
      <c r="J756" s="132" t="s">
        <v>4</v>
      </c>
      <c r="K756" s="146"/>
      <c r="AI756" s="132" t="s">
        <v>84</v>
      </c>
      <c r="AS756" s="117">
        <f>SUM(AJ757:AJ769)</f>
      </c>
      <c r="AT756" s="117">
        <f>SUM(AK757:AK769)</f>
      </c>
      <c r="AU756" s="117">
        <f>SUM(AL757:AL769)</f>
      </c>
    </row>
    <row r="757">
      <c r="A757" s="9" t="s">
        <v>1290</v>
      </c>
      <c r="B757" s="10" t="s">
        <v>84</v>
      </c>
      <c r="C757" s="10" t="s">
        <v>1291</v>
      </c>
      <c r="D757" s="14" t="s">
        <v>1292</v>
      </c>
      <c r="E757" s="10"/>
      <c r="F757" s="10" t="s">
        <v>133</v>
      </c>
      <c r="G757" s="111" t="n">
        <v>12</v>
      </c>
      <c r="H757" s="152" t="n">
        <v>0</v>
      </c>
      <c r="I757" s="111">
        <f>G757*H757</f>
      </c>
      <c r="J757" s="153" t="s">
        <v>134</v>
      </c>
      <c r="K757" s="146"/>
      <c r="Z757" s="111">
        <f>IF(AQ757="5",BJ757,0)</f>
      </c>
      <c r="AB757" s="111">
        <f>IF(AQ757="1",BH757,0)</f>
      </c>
      <c r="AC757" s="111">
        <f>IF(AQ757="1",BI757,0)</f>
      </c>
      <c r="AD757" s="111">
        <f>IF(AQ757="7",BH757,0)</f>
      </c>
      <c r="AE757" s="111">
        <f>IF(AQ757="7",BI757,0)</f>
      </c>
      <c r="AF757" s="111">
        <f>IF(AQ757="2",BH757,0)</f>
      </c>
      <c r="AG757" s="111">
        <f>IF(AQ757="2",BI757,0)</f>
      </c>
      <c r="AH757" s="111">
        <f>IF(AQ757="0",BJ757,0)</f>
      </c>
      <c r="AI757" s="132" t="s">
        <v>84</v>
      </c>
      <c r="AJ757" s="111">
        <f>IF(AN757=0,I757,0)</f>
      </c>
      <c r="AK757" s="111">
        <f>IF(AN757=12,I757,0)</f>
      </c>
      <c r="AL757" s="111">
        <f>IF(AN757=21,I757,0)</f>
      </c>
      <c r="AN757" s="111" t="n">
        <v>21</v>
      </c>
      <c r="AO757" s="111">
        <f>H757*0.023675048</f>
      </c>
      <c r="AP757" s="111">
        <f>H757*(1-0.023675048)</f>
      </c>
      <c r="AQ757" s="153" t="s">
        <v>130</v>
      </c>
      <c r="AV757" s="111">
        <f>AW757+AX757</f>
      </c>
      <c r="AW757" s="111">
        <f>G757*AO757</f>
      </c>
      <c r="AX757" s="111">
        <f>G757*AP757</f>
      </c>
      <c r="AY757" s="153" t="s">
        <v>1293</v>
      </c>
      <c r="AZ757" s="153" t="s">
        <v>975</v>
      </c>
      <c r="BA757" s="132" t="s">
        <v>137</v>
      </c>
      <c r="BC757" s="111">
        <f>AW757+AX757</f>
      </c>
      <c r="BD757" s="111">
        <f>H757/(100-BE757)*100</f>
      </c>
      <c r="BE757" s="111" t="n">
        <v>0</v>
      </c>
      <c r="BF757" s="111">
        <f>757</f>
      </c>
      <c r="BH757" s="111">
        <f>G757*AO757</f>
      </c>
      <c r="BI757" s="111">
        <f>G757*AP757</f>
      </c>
      <c r="BJ757" s="111">
        <f>G757*H757</f>
      </c>
      <c r="BK757" s="111"/>
      <c r="BL757" s="111" t="n">
        <v>64</v>
      </c>
      <c r="BW757" s="111" t="n">
        <v>21</v>
      </c>
      <c r="BX757" s="14" t="s">
        <v>1292</v>
      </c>
    </row>
    <row r="758">
      <c r="A758" s="154"/>
      <c r="B758" s="155"/>
      <c r="C758" s="155"/>
      <c r="D758" s="156" t="s">
        <v>1294</v>
      </c>
      <c r="E758" s="156" t="s">
        <v>1295</v>
      </c>
      <c r="F758" s="155"/>
      <c r="G758" s="157" t="n">
        <v>12</v>
      </c>
      <c r="H758" s="158"/>
      <c r="I758" s="155"/>
      <c r="J758" s="155"/>
      <c r="K758" s="146"/>
    </row>
    <row r="759">
      <c r="A759" s="9" t="s">
        <v>1296</v>
      </c>
      <c r="B759" s="10" t="s">
        <v>84</v>
      </c>
      <c r="C759" s="10" t="s">
        <v>1297</v>
      </c>
      <c r="D759" s="14" t="s">
        <v>1298</v>
      </c>
      <c r="E759" s="10"/>
      <c r="F759" s="10" t="s">
        <v>133</v>
      </c>
      <c r="G759" s="111" t="n">
        <v>2</v>
      </c>
      <c r="H759" s="152" t="n">
        <v>0</v>
      </c>
      <c r="I759" s="111">
        <f>G759*H759</f>
      </c>
      <c r="J759" s="153" t="s">
        <v>134</v>
      </c>
      <c r="K759" s="146"/>
      <c r="Z759" s="111">
        <f>IF(AQ759="5",BJ759,0)</f>
      </c>
      <c r="AB759" s="111">
        <f>IF(AQ759="1",BH759,0)</f>
      </c>
      <c r="AC759" s="111">
        <f>IF(AQ759="1",BI759,0)</f>
      </c>
      <c r="AD759" s="111">
        <f>IF(AQ759="7",BH759,0)</f>
      </c>
      <c r="AE759" s="111">
        <f>IF(AQ759="7",BI759,0)</f>
      </c>
      <c r="AF759" s="111">
        <f>IF(AQ759="2",BH759,0)</f>
      </c>
      <c r="AG759" s="111">
        <f>IF(AQ759="2",BI759,0)</f>
      </c>
      <c r="AH759" s="111">
        <f>IF(AQ759="0",BJ759,0)</f>
      </c>
      <c r="AI759" s="132" t="s">
        <v>84</v>
      </c>
      <c r="AJ759" s="111">
        <f>IF(AN759=0,I759,0)</f>
      </c>
      <c r="AK759" s="111">
        <f>IF(AN759=12,I759,0)</f>
      </c>
      <c r="AL759" s="111">
        <f>IF(AN759=21,I759,0)</f>
      </c>
      <c r="AN759" s="111" t="n">
        <v>21</v>
      </c>
      <c r="AO759" s="111">
        <f>H759*0.037353246</f>
      </c>
      <c r="AP759" s="111">
        <f>H759*(1-0.037353246)</f>
      </c>
      <c r="AQ759" s="153" t="s">
        <v>130</v>
      </c>
      <c r="AV759" s="111">
        <f>AW759+AX759</f>
      </c>
      <c r="AW759" s="111">
        <f>G759*AO759</f>
      </c>
      <c r="AX759" s="111">
        <f>G759*AP759</f>
      </c>
      <c r="AY759" s="153" t="s">
        <v>1293</v>
      </c>
      <c r="AZ759" s="153" t="s">
        <v>975</v>
      </c>
      <c r="BA759" s="132" t="s">
        <v>137</v>
      </c>
      <c r="BC759" s="111">
        <f>AW759+AX759</f>
      </c>
      <c r="BD759" s="111">
        <f>H759/(100-BE759)*100</f>
      </c>
      <c r="BE759" s="111" t="n">
        <v>0</v>
      </c>
      <c r="BF759" s="111">
        <f>759</f>
      </c>
      <c r="BH759" s="111">
        <f>G759*AO759</f>
      </c>
      <c r="BI759" s="111">
        <f>G759*AP759</f>
      </c>
      <c r="BJ759" s="111">
        <f>G759*H759</f>
      </c>
      <c r="BK759" s="111"/>
      <c r="BL759" s="111" t="n">
        <v>64</v>
      </c>
      <c r="BW759" s="111" t="n">
        <v>21</v>
      </c>
      <c r="BX759" s="14" t="s">
        <v>1298</v>
      </c>
    </row>
    <row r="760">
      <c r="A760" s="154"/>
      <c r="B760" s="155"/>
      <c r="C760" s="155"/>
      <c r="D760" s="156" t="s">
        <v>513</v>
      </c>
      <c r="E760" s="156" t="s">
        <v>1299</v>
      </c>
      <c r="F760" s="155"/>
      <c r="G760" s="157" t="n">
        <v>2</v>
      </c>
      <c r="H760" s="158"/>
      <c r="I760" s="155"/>
      <c r="J760" s="155"/>
      <c r="K760" s="146"/>
    </row>
    <row r="761">
      <c r="A761" s="9" t="s">
        <v>1300</v>
      </c>
      <c r="B761" s="10" t="s">
        <v>84</v>
      </c>
      <c r="C761" s="10" t="s">
        <v>1301</v>
      </c>
      <c r="D761" s="14" t="s">
        <v>1302</v>
      </c>
      <c r="E761" s="10"/>
      <c r="F761" s="10" t="s">
        <v>133</v>
      </c>
      <c r="G761" s="111" t="n">
        <v>4</v>
      </c>
      <c r="H761" s="152" t="n">
        <v>0</v>
      </c>
      <c r="I761" s="111">
        <f>G761*H761</f>
      </c>
      <c r="J761" s="153" t="s">
        <v>134</v>
      </c>
      <c r="K761" s="146"/>
      <c r="Z761" s="111">
        <f>IF(AQ761="5",BJ761,0)</f>
      </c>
      <c r="AB761" s="111">
        <f>IF(AQ761="1",BH761,0)</f>
      </c>
      <c r="AC761" s="111">
        <f>IF(AQ761="1",BI761,0)</f>
      </c>
      <c r="AD761" s="111">
        <f>IF(AQ761="7",BH761,0)</f>
      </c>
      <c r="AE761" s="111">
        <f>IF(AQ761="7",BI761,0)</f>
      </c>
      <c r="AF761" s="111">
        <f>IF(AQ761="2",BH761,0)</f>
      </c>
      <c r="AG761" s="111">
        <f>IF(AQ761="2",BI761,0)</f>
      </c>
      <c r="AH761" s="111">
        <f>IF(AQ761="0",BJ761,0)</f>
      </c>
      <c r="AI761" s="132" t="s">
        <v>84</v>
      </c>
      <c r="AJ761" s="111">
        <f>IF(AN761=0,I761,0)</f>
      </c>
      <c r="AK761" s="111">
        <f>IF(AN761=12,I761,0)</f>
      </c>
      <c r="AL761" s="111">
        <f>IF(AN761=21,I761,0)</f>
      </c>
      <c r="AN761" s="111" t="n">
        <v>21</v>
      </c>
      <c r="AO761" s="111">
        <f>H761*1</f>
      </c>
      <c r="AP761" s="111">
        <f>H761*(1-1)</f>
      </c>
      <c r="AQ761" s="153" t="s">
        <v>130</v>
      </c>
      <c r="AV761" s="111">
        <f>AW761+AX761</f>
      </c>
      <c r="AW761" s="111">
        <f>G761*AO761</f>
      </c>
      <c r="AX761" s="111">
        <f>G761*AP761</f>
      </c>
      <c r="AY761" s="153" t="s">
        <v>1293</v>
      </c>
      <c r="AZ761" s="153" t="s">
        <v>975</v>
      </c>
      <c r="BA761" s="132" t="s">
        <v>137</v>
      </c>
      <c r="BC761" s="111">
        <f>AW761+AX761</f>
      </c>
      <c r="BD761" s="111">
        <f>H761/(100-BE761)*100</f>
      </c>
      <c r="BE761" s="111" t="n">
        <v>0</v>
      </c>
      <c r="BF761" s="111">
        <f>761</f>
      </c>
      <c r="BH761" s="111">
        <f>G761*AO761</f>
      </c>
      <c r="BI761" s="111">
        <f>G761*AP761</f>
      </c>
      <c r="BJ761" s="111">
        <f>G761*H761</f>
      </c>
      <c r="BK761" s="111"/>
      <c r="BL761" s="111" t="n">
        <v>64</v>
      </c>
      <c r="BW761" s="111" t="n">
        <v>21</v>
      </c>
      <c r="BX761" s="14" t="s">
        <v>1302</v>
      </c>
    </row>
    <row r="762">
      <c r="A762" s="154"/>
      <c r="B762" s="155"/>
      <c r="C762" s="155"/>
      <c r="D762" s="156" t="s">
        <v>149</v>
      </c>
      <c r="E762" s="156" t="s">
        <v>1303</v>
      </c>
      <c r="F762" s="155"/>
      <c r="G762" s="157" t="n">
        <v>4</v>
      </c>
      <c r="H762" s="158"/>
      <c r="I762" s="155"/>
      <c r="J762" s="155"/>
      <c r="K762" s="146"/>
    </row>
    <row r="763">
      <c r="A763" s="9" t="s">
        <v>1304</v>
      </c>
      <c r="B763" s="10" t="s">
        <v>84</v>
      </c>
      <c r="C763" s="10" t="s">
        <v>1305</v>
      </c>
      <c r="D763" s="14" t="s">
        <v>1306</v>
      </c>
      <c r="E763" s="10"/>
      <c r="F763" s="10" t="s">
        <v>133</v>
      </c>
      <c r="G763" s="111" t="n">
        <v>5</v>
      </c>
      <c r="H763" s="152" t="n">
        <v>0</v>
      </c>
      <c r="I763" s="111">
        <f>G763*H763</f>
      </c>
      <c r="J763" s="153" t="s">
        <v>134</v>
      </c>
      <c r="K763" s="146"/>
      <c r="Z763" s="111">
        <f>IF(AQ763="5",BJ763,0)</f>
      </c>
      <c r="AB763" s="111">
        <f>IF(AQ763="1",BH763,0)</f>
      </c>
      <c r="AC763" s="111">
        <f>IF(AQ763="1",BI763,0)</f>
      </c>
      <c r="AD763" s="111">
        <f>IF(AQ763="7",BH763,0)</f>
      </c>
      <c r="AE763" s="111">
        <f>IF(AQ763="7",BI763,0)</f>
      </c>
      <c r="AF763" s="111">
        <f>IF(AQ763="2",BH763,0)</f>
      </c>
      <c r="AG763" s="111">
        <f>IF(AQ763="2",BI763,0)</f>
      </c>
      <c r="AH763" s="111">
        <f>IF(AQ763="0",BJ763,0)</f>
      </c>
      <c r="AI763" s="132" t="s">
        <v>84</v>
      </c>
      <c r="AJ763" s="111">
        <f>IF(AN763=0,I763,0)</f>
      </c>
      <c r="AK763" s="111">
        <f>IF(AN763=12,I763,0)</f>
      </c>
      <c r="AL763" s="111">
        <f>IF(AN763=21,I763,0)</f>
      </c>
      <c r="AN763" s="111" t="n">
        <v>21</v>
      </c>
      <c r="AO763" s="111">
        <f>H763*1</f>
      </c>
      <c r="AP763" s="111">
        <f>H763*(1-1)</f>
      </c>
      <c r="AQ763" s="153" t="s">
        <v>130</v>
      </c>
      <c r="AV763" s="111">
        <f>AW763+AX763</f>
      </c>
      <c r="AW763" s="111">
        <f>G763*AO763</f>
      </c>
      <c r="AX763" s="111">
        <f>G763*AP763</f>
      </c>
      <c r="AY763" s="153" t="s">
        <v>1293</v>
      </c>
      <c r="AZ763" s="153" t="s">
        <v>975</v>
      </c>
      <c r="BA763" s="132" t="s">
        <v>137</v>
      </c>
      <c r="BC763" s="111">
        <f>AW763+AX763</f>
      </c>
      <c r="BD763" s="111">
        <f>H763/(100-BE763)*100</f>
      </c>
      <c r="BE763" s="111" t="n">
        <v>0</v>
      </c>
      <c r="BF763" s="111">
        <f>763</f>
      </c>
      <c r="BH763" s="111">
        <f>G763*AO763</f>
      </c>
      <c r="BI763" s="111">
        <f>G763*AP763</f>
      </c>
      <c r="BJ763" s="111">
        <f>G763*H763</f>
      </c>
      <c r="BK763" s="111"/>
      <c r="BL763" s="111" t="n">
        <v>64</v>
      </c>
      <c r="BW763" s="111" t="n">
        <v>21</v>
      </c>
      <c r="BX763" s="14" t="s">
        <v>1306</v>
      </c>
    </row>
    <row r="764">
      <c r="A764" s="154"/>
      <c r="B764" s="155"/>
      <c r="C764" s="155"/>
      <c r="D764" s="156" t="s">
        <v>156</v>
      </c>
      <c r="E764" s="156" t="s">
        <v>1307</v>
      </c>
      <c r="F764" s="155"/>
      <c r="G764" s="157" t="n">
        <v>5</v>
      </c>
      <c r="H764" s="158"/>
      <c r="I764" s="155"/>
      <c r="J764" s="155"/>
      <c r="K764" s="146"/>
    </row>
    <row r="765">
      <c r="A765" s="9" t="s">
        <v>1308</v>
      </c>
      <c r="B765" s="10" t="s">
        <v>84</v>
      </c>
      <c r="C765" s="10" t="s">
        <v>1309</v>
      </c>
      <c r="D765" s="14" t="s">
        <v>1310</v>
      </c>
      <c r="E765" s="10"/>
      <c r="F765" s="10" t="s">
        <v>133</v>
      </c>
      <c r="G765" s="111" t="n">
        <v>3</v>
      </c>
      <c r="H765" s="152" t="n">
        <v>0</v>
      </c>
      <c r="I765" s="111">
        <f>G765*H765</f>
      </c>
      <c r="J765" s="153" t="s">
        <v>134</v>
      </c>
      <c r="K765" s="146"/>
      <c r="Z765" s="111">
        <f>IF(AQ765="5",BJ765,0)</f>
      </c>
      <c r="AB765" s="111">
        <f>IF(AQ765="1",BH765,0)</f>
      </c>
      <c r="AC765" s="111">
        <f>IF(AQ765="1",BI765,0)</f>
      </c>
      <c r="AD765" s="111">
        <f>IF(AQ765="7",BH765,0)</f>
      </c>
      <c r="AE765" s="111">
        <f>IF(AQ765="7",BI765,0)</f>
      </c>
      <c r="AF765" s="111">
        <f>IF(AQ765="2",BH765,0)</f>
      </c>
      <c r="AG765" s="111">
        <f>IF(AQ765="2",BI765,0)</f>
      </c>
      <c r="AH765" s="111">
        <f>IF(AQ765="0",BJ765,0)</f>
      </c>
      <c r="AI765" s="132" t="s">
        <v>84</v>
      </c>
      <c r="AJ765" s="111">
        <f>IF(AN765=0,I765,0)</f>
      </c>
      <c r="AK765" s="111">
        <f>IF(AN765=12,I765,0)</f>
      </c>
      <c r="AL765" s="111">
        <f>IF(AN765=21,I765,0)</f>
      </c>
      <c r="AN765" s="111" t="n">
        <v>21</v>
      </c>
      <c r="AO765" s="111">
        <f>H765*1</f>
      </c>
      <c r="AP765" s="111">
        <f>H765*(1-1)</f>
      </c>
      <c r="AQ765" s="153" t="s">
        <v>130</v>
      </c>
      <c r="AV765" s="111">
        <f>AW765+AX765</f>
      </c>
      <c r="AW765" s="111">
        <f>G765*AO765</f>
      </c>
      <c r="AX765" s="111">
        <f>G765*AP765</f>
      </c>
      <c r="AY765" s="153" t="s">
        <v>1293</v>
      </c>
      <c r="AZ765" s="153" t="s">
        <v>975</v>
      </c>
      <c r="BA765" s="132" t="s">
        <v>137</v>
      </c>
      <c r="BC765" s="111">
        <f>AW765+AX765</f>
      </c>
      <c r="BD765" s="111">
        <f>H765/(100-BE765)*100</f>
      </c>
      <c r="BE765" s="111" t="n">
        <v>0</v>
      </c>
      <c r="BF765" s="111">
        <f>765</f>
      </c>
      <c r="BH765" s="111">
        <f>G765*AO765</f>
      </c>
      <c r="BI765" s="111">
        <f>G765*AP765</f>
      </c>
      <c r="BJ765" s="111">
        <f>G765*H765</f>
      </c>
      <c r="BK765" s="111"/>
      <c r="BL765" s="111" t="n">
        <v>64</v>
      </c>
      <c r="BW765" s="111" t="n">
        <v>21</v>
      </c>
      <c r="BX765" s="14" t="s">
        <v>1310</v>
      </c>
    </row>
    <row r="766">
      <c r="A766" s="154"/>
      <c r="B766" s="155"/>
      <c r="C766" s="155"/>
      <c r="D766" s="156" t="s">
        <v>522</v>
      </c>
      <c r="E766" s="156" t="s">
        <v>1311</v>
      </c>
      <c r="F766" s="155"/>
      <c r="G766" s="157" t="n">
        <v>3</v>
      </c>
      <c r="H766" s="158"/>
      <c r="I766" s="155"/>
      <c r="J766" s="155"/>
      <c r="K766" s="146"/>
    </row>
    <row r="767">
      <c r="A767" s="9" t="s">
        <v>1312</v>
      </c>
      <c r="B767" s="10" t="s">
        <v>84</v>
      </c>
      <c r="C767" s="10" t="s">
        <v>1313</v>
      </c>
      <c r="D767" s="14" t="s">
        <v>1314</v>
      </c>
      <c r="E767" s="10"/>
      <c r="F767" s="10" t="s">
        <v>133</v>
      </c>
      <c r="G767" s="111" t="n">
        <v>1</v>
      </c>
      <c r="H767" s="152" t="n">
        <v>0</v>
      </c>
      <c r="I767" s="111">
        <f>G767*H767</f>
      </c>
      <c r="J767" s="153" t="s">
        <v>134</v>
      </c>
      <c r="K767" s="146"/>
      <c r="Z767" s="111">
        <f>IF(AQ767="5",BJ767,0)</f>
      </c>
      <c r="AB767" s="111">
        <f>IF(AQ767="1",BH767,0)</f>
      </c>
      <c r="AC767" s="111">
        <f>IF(AQ767="1",BI767,0)</f>
      </c>
      <c r="AD767" s="111">
        <f>IF(AQ767="7",BH767,0)</f>
      </c>
      <c r="AE767" s="111">
        <f>IF(AQ767="7",BI767,0)</f>
      </c>
      <c r="AF767" s="111">
        <f>IF(AQ767="2",BH767,0)</f>
      </c>
      <c r="AG767" s="111">
        <f>IF(AQ767="2",BI767,0)</f>
      </c>
      <c r="AH767" s="111">
        <f>IF(AQ767="0",BJ767,0)</f>
      </c>
      <c r="AI767" s="132" t="s">
        <v>84</v>
      </c>
      <c r="AJ767" s="111">
        <f>IF(AN767=0,I767,0)</f>
      </c>
      <c r="AK767" s="111">
        <f>IF(AN767=12,I767,0)</f>
      </c>
      <c r="AL767" s="111">
        <f>IF(AN767=21,I767,0)</f>
      </c>
      <c r="AN767" s="111" t="n">
        <v>21</v>
      </c>
      <c r="AO767" s="111">
        <f>H767*1</f>
      </c>
      <c r="AP767" s="111">
        <f>H767*(1-1)</f>
      </c>
      <c r="AQ767" s="153" t="s">
        <v>130</v>
      </c>
      <c r="AV767" s="111">
        <f>AW767+AX767</f>
      </c>
      <c r="AW767" s="111">
        <f>G767*AO767</f>
      </c>
      <c r="AX767" s="111">
        <f>G767*AP767</f>
      </c>
      <c r="AY767" s="153" t="s">
        <v>1293</v>
      </c>
      <c r="AZ767" s="153" t="s">
        <v>975</v>
      </c>
      <c r="BA767" s="132" t="s">
        <v>137</v>
      </c>
      <c r="BC767" s="111">
        <f>AW767+AX767</f>
      </c>
      <c r="BD767" s="111">
        <f>H767/(100-BE767)*100</f>
      </c>
      <c r="BE767" s="111" t="n">
        <v>0</v>
      </c>
      <c r="BF767" s="111">
        <f>767</f>
      </c>
      <c r="BH767" s="111">
        <f>G767*AO767</f>
      </c>
      <c r="BI767" s="111">
        <f>G767*AP767</f>
      </c>
      <c r="BJ767" s="111">
        <f>G767*H767</f>
      </c>
      <c r="BK767" s="111"/>
      <c r="BL767" s="111" t="n">
        <v>64</v>
      </c>
      <c r="BW767" s="111" t="n">
        <v>21</v>
      </c>
      <c r="BX767" s="14" t="s">
        <v>1314</v>
      </c>
    </row>
    <row r="768">
      <c r="A768" s="154"/>
      <c r="B768" s="155"/>
      <c r="C768" s="155"/>
      <c r="D768" s="156" t="s">
        <v>130</v>
      </c>
      <c r="E768" s="156" t="s">
        <v>1315</v>
      </c>
      <c r="F768" s="155"/>
      <c r="G768" s="157" t="n">
        <v>1</v>
      </c>
      <c r="H768" s="158"/>
      <c r="I768" s="155"/>
      <c r="J768" s="155"/>
      <c r="K768" s="146"/>
    </row>
    <row r="769">
      <c r="A769" s="9" t="s">
        <v>1316</v>
      </c>
      <c r="B769" s="10" t="s">
        <v>84</v>
      </c>
      <c r="C769" s="10" t="s">
        <v>1317</v>
      </c>
      <c r="D769" s="14" t="s">
        <v>1318</v>
      </c>
      <c r="E769" s="10"/>
      <c r="F769" s="10" t="s">
        <v>133</v>
      </c>
      <c r="G769" s="111" t="n">
        <v>1</v>
      </c>
      <c r="H769" s="152" t="n">
        <v>0</v>
      </c>
      <c r="I769" s="111">
        <f>G769*H769</f>
      </c>
      <c r="J769" s="153" t="s">
        <v>134</v>
      </c>
      <c r="K769" s="146"/>
      <c r="Z769" s="111">
        <f>IF(AQ769="5",BJ769,0)</f>
      </c>
      <c r="AB769" s="111">
        <f>IF(AQ769="1",BH769,0)</f>
      </c>
      <c r="AC769" s="111">
        <f>IF(AQ769="1",BI769,0)</f>
      </c>
      <c r="AD769" s="111">
        <f>IF(AQ769="7",BH769,0)</f>
      </c>
      <c r="AE769" s="111">
        <f>IF(AQ769="7",BI769,0)</f>
      </c>
      <c r="AF769" s="111">
        <f>IF(AQ769="2",BH769,0)</f>
      </c>
      <c r="AG769" s="111">
        <f>IF(AQ769="2",BI769,0)</f>
      </c>
      <c r="AH769" s="111">
        <f>IF(AQ769="0",BJ769,0)</f>
      </c>
      <c r="AI769" s="132" t="s">
        <v>84</v>
      </c>
      <c r="AJ769" s="111">
        <f>IF(AN769=0,I769,0)</f>
      </c>
      <c r="AK769" s="111">
        <f>IF(AN769=12,I769,0)</f>
      </c>
      <c r="AL769" s="111">
        <f>IF(AN769=21,I769,0)</f>
      </c>
      <c r="AN769" s="111" t="n">
        <v>21</v>
      </c>
      <c r="AO769" s="111">
        <f>H769*1</f>
      </c>
      <c r="AP769" s="111">
        <f>H769*(1-1)</f>
      </c>
      <c r="AQ769" s="153" t="s">
        <v>130</v>
      </c>
      <c r="AV769" s="111">
        <f>AW769+AX769</f>
      </c>
      <c r="AW769" s="111">
        <f>G769*AO769</f>
      </c>
      <c r="AX769" s="111">
        <f>G769*AP769</f>
      </c>
      <c r="AY769" s="153" t="s">
        <v>1293</v>
      </c>
      <c r="AZ769" s="153" t="s">
        <v>975</v>
      </c>
      <c r="BA769" s="132" t="s">
        <v>137</v>
      </c>
      <c r="BC769" s="111">
        <f>AW769+AX769</f>
      </c>
      <c r="BD769" s="111">
        <f>H769/(100-BE769)*100</f>
      </c>
      <c r="BE769" s="111" t="n">
        <v>0</v>
      </c>
      <c r="BF769" s="111">
        <f>769</f>
      </c>
      <c r="BH769" s="111">
        <f>G769*AO769</f>
      </c>
      <c r="BI769" s="111">
        <f>G769*AP769</f>
      </c>
      <c r="BJ769" s="111">
        <f>G769*H769</f>
      </c>
      <c r="BK769" s="111"/>
      <c r="BL769" s="111" t="n">
        <v>64</v>
      </c>
      <c r="BW769" s="111" t="n">
        <v>21</v>
      </c>
      <c r="BX769" s="14" t="s">
        <v>1318</v>
      </c>
    </row>
    <row r="770">
      <c r="A770" s="154"/>
      <c r="B770" s="155"/>
      <c r="C770" s="155"/>
      <c r="D770" s="156" t="s">
        <v>130</v>
      </c>
      <c r="E770" s="156" t="s">
        <v>1319</v>
      </c>
      <c r="F770" s="155"/>
      <c r="G770" s="157" t="n">
        <v>1</v>
      </c>
      <c r="H770" s="158"/>
      <c r="I770" s="155"/>
      <c r="J770" s="155"/>
      <c r="K770" s="146"/>
    </row>
    <row r="771">
      <c r="A771" s="147" t="s">
        <v>4</v>
      </c>
      <c r="B771" s="148" t="s">
        <v>84</v>
      </c>
      <c r="C771" s="148" t="s">
        <v>737</v>
      </c>
      <c r="D771" s="149" t="s">
        <v>1320</v>
      </c>
      <c r="E771" s="148"/>
      <c r="F771" s="150" t="s">
        <v>79</v>
      </c>
      <c r="G771" s="150" t="s">
        <v>79</v>
      </c>
      <c r="H771" s="151" t="s">
        <v>79</v>
      </c>
      <c r="I771" s="117">
        <f>SUM(I772:I777)</f>
      </c>
      <c r="J771" s="132" t="s">
        <v>4</v>
      </c>
      <c r="K771" s="146"/>
      <c r="AI771" s="132" t="s">
        <v>84</v>
      </c>
      <c r="AS771" s="117">
        <f>SUM(AJ772:AJ777)</f>
      </c>
      <c r="AT771" s="117">
        <f>SUM(AK772:AK777)</f>
      </c>
      <c r="AU771" s="117">
        <f>SUM(AL772:AL777)</f>
      </c>
    </row>
    <row r="772">
      <c r="A772" s="9" t="s">
        <v>1321</v>
      </c>
      <c r="B772" s="10" t="s">
        <v>84</v>
      </c>
      <c r="C772" s="10" t="s">
        <v>1322</v>
      </c>
      <c r="D772" s="14" t="s">
        <v>1323</v>
      </c>
      <c r="E772" s="10"/>
      <c r="F772" s="10" t="s">
        <v>1324</v>
      </c>
      <c r="G772" s="111" t="n">
        <v>14</v>
      </c>
      <c r="H772" s="152" t="n">
        <v>0</v>
      </c>
      <c r="I772" s="111">
        <f>G772*H772</f>
      </c>
      <c r="J772" s="153" t="s">
        <v>134</v>
      </c>
      <c r="K772" s="146"/>
      <c r="Z772" s="111">
        <f>IF(AQ772="5",BJ772,0)</f>
      </c>
      <c r="AB772" s="111">
        <f>IF(AQ772="1",BH772,0)</f>
      </c>
      <c r="AC772" s="111">
        <f>IF(AQ772="1",BI772,0)</f>
      </c>
      <c r="AD772" s="111">
        <f>IF(AQ772="7",BH772,0)</f>
      </c>
      <c r="AE772" s="111">
        <f>IF(AQ772="7",BI772,0)</f>
      </c>
      <c r="AF772" s="111">
        <f>IF(AQ772="2",BH772,0)</f>
      </c>
      <c r="AG772" s="111">
        <f>IF(AQ772="2",BI772,0)</f>
      </c>
      <c r="AH772" s="111">
        <f>IF(AQ772="0",BJ772,0)</f>
      </c>
      <c r="AI772" s="132" t="s">
        <v>84</v>
      </c>
      <c r="AJ772" s="111">
        <f>IF(AN772=0,I772,0)</f>
      </c>
      <c r="AK772" s="111">
        <f>IF(AN772=12,I772,0)</f>
      </c>
      <c r="AL772" s="111">
        <f>IF(AN772=21,I772,0)</f>
      </c>
      <c r="AN772" s="111" t="n">
        <v>21</v>
      </c>
      <c r="AO772" s="111">
        <f>H772*0</f>
      </c>
      <c r="AP772" s="111">
        <f>H772*(1-0)</f>
      </c>
      <c r="AQ772" s="153" t="s">
        <v>130</v>
      </c>
      <c r="AV772" s="111">
        <f>AW772+AX772</f>
      </c>
      <c r="AW772" s="111">
        <f>G772*AO772</f>
      </c>
      <c r="AX772" s="111">
        <f>G772*AP772</f>
      </c>
      <c r="AY772" s="153" t="s">
        <v>1325</v>
      </c>
      <c r="AZ772" s="153" t="s">
        <v>1326</v>
      </c>
      <c r="BA772" s="132" t="s">
        <v>137</v>
      </c>
      <c r="BC772" s="111">
        <f>AW772+AX772</f>
      </c>
      <c r="BD772" s="111">
        <f>H772/(100-BE772)*100</f>
      </c>
      <c r="BE772" s="111" t="n">
        <v>0</v>
      </c>
      <c r="BF772" s="111">
        <f>772</f>
      </c>
      <c r="BH772" s="111">
        <f>G772*AO772</f>
      </c>
      <c r="BI772" s="111">
        <f>G772*AP772</f>
      </c>
      <c r="BJ772" s="111">
        <f>G772*H772</f>
      </c>
      <c r="BK772" s="111"/>
      <c r="BL772" s="111" t="n">
        <v>90</v>
      </c>
      <c r="BW772" s="111" t="n">
        <v>21</v>
      </c>
      <c r="BX772" s="14" t="s">
        <v>1323</v>
      </c>
    </row>
    <row r="773">
      <c r="A773" s="154"/>
      <c r="B773" s="155"/>
      <c r="C773" s="155"/>
      <c r="D773" s="156" t="s">
        <v>1327</v>
      </c>
      <c r="E773" s="156" t="s">
        <v>1328</v>
      </c>
      <c r="F773" s="155"/>
      <c r="G773" s="157" t="n">
        <v>8</v>
      </c>
      <c r="H773" s="158"/>
      <c r="I773" s="155"/>
      <c r="J773" s="155"/>
      <c r="K773" s="146"/>
    </row>
    <row r="774">
      <c r="A774" s="154"/>
      <c r="B774" s="155"/>
      <c r="C774" s="155"/>
      <c r="D774" s="156" t="s">
        <v>165</v>
      </c>
      <c r="E774" s="156" t="s">
        <v>1329</v>
      </c>
      <c r="F774" s="155"/>
      <c r="G774" s="157" t="n">
        <v>6</v>
      </c>
      <c r="H774" s="158"/>
      <c r="I774" s="155"/>
      <c r="J774" s="155"/>
      <c r="K774" s="146"/>
    </row>
    <row r="775">
      <c r="A775" s="9" t="s">
        <v>1330</v>
      </c>
      <c r="B775" s="10" t="s">
        <v>84</v>
      </c>
      <c r="C775" s="10" t="s">
        <v>1331</v>
      </c>
      <c r="D775" s="14" t="s">
        <v>1332</v>
      </c>
      <c r="E775" s="10"/>
      <c r="F775" s="10" t="s">
        <v>1324</v>
      </c>
      <c r="G775" s="111" t="n">
        <v>40</v>
      </c>
      <c r="H775" s="152" t="n">
        <v>0</v>
      </c>
      <c r="I775" s="111">
        <f>G775*H775</f>
      </c>
      <c r="J775" s="153" t="s">
        <v>134</v>
      </c>
      <c r="K775" s="146"/>
      <c r="Z775" s="111">
        <f>IF(AQ775="5",BJ775,0)</f>
      </c>
      <c r="AB775" s="111">
        <f>IF(AQ775="1",BH775,0)</f>
      </c>
      <c r="AC775" s="111">
        <f>IF(AQ775="1",BI775,0)</f>
      </c>
      <c r="AD775" s="111">
        <f>IF(AQ775="7",BH775,0)</f>
      </c>
      <c r="AE775" s="111">
        <f>IF(AQ775="7",BI775,0)</f>
      </c>
      <c r="AF775" s="111">
        <f>IF(AQ775="2",BH775,0)</f>
      </c>
      <c r="AG775" s="111">
        <f>IF(AQ775="2",BI775,0)</f>
      </c>
      <c r="AH775" s="111">
        <f>IF(AQ775="0",BJ775,0)</f>
      </c>
      <c r="AI775" s="132" t="s">
        <v>84</v>
      </c>
      <c r="AJ775" s="111">
        <f>IF(AN775=0,I775,0)</f>
      </c>
      <c r="AK775" s="111">
        <f>IF(AN775=12,I775,0)</f>
      </c>
      <c r="AL775" s="111">
        <f>IF(AN775=21,I775,0)</f>
      </c>
      <c r="AN775" s="111" t="n">
        <v>21</v>
      </c>
      <c r="AO775" s="111">
        <f>H775*0</f>
      </c>
      <c r="AP775" s="111">
        <f>H775*(1-0)</f>
      </c>
      <c r="AQ775" s="153" t="s">
        <v>130</v>
      </c>
      <c r="AV775" s="111">
        <f>AW775+AX775</f>
      </c>
      <c r="AW775" s="111">
        <f>G775*AO775</f>
      </c>
      <c r="AX775" s="111">
        <f>G775*AP775</f>
      </c>
      <c r="AY775" s="153" t="s">
        <v>1325</v>
      </c>
      <c r="AZ775" s="153" t="s">
        <v>1326</v>
      </c>
      <c r="BA775" s="132" t="s">
        <v>137</v>
      </c>
      <c r="BC775" s="111">
        <f>AW775+AX775</f>
      </c>
      <c r="BD775" s="111">
        <f>H775/(100-BE775)*100</f>
      </c>
      <c r="BE775" s="111" t="n">
        <v>0</v>
      </c>
      <c r="BF775" s="111">
        <f>775</f>
      </c>
      <c r="BH775" s="111">
        <f>G775*AO775</f>
      </c>
      <c r="BI775" s="111">
        <f>G775*AP775</f>
      </c>
      <c r="BJ775" s="111">
        <f>G775*H775</f>
      </c>
      <c r="BK775" s="111"/>
      <c r="BL775" s="111" t="n">
        <v>90</v>
      </c>
      <c r="BW775" s="111" t="n">
        <v>21</v>
      </c>
      <c r="BX775" s="14" t="s">
        <v>1332</v>
      </c>
    </row>
    <row r="776">
      <c r="A776" s="154"/>
      <c r="B776" s="155"/>
      <c r="C776" s="155"/>
      <c r="D776" s="156" t="s">
        <v>395</v>
      </c>
      <c r="E776" s="156" t="s">
        <v>1333</v>
      </c>
      <c r="F776" s="155"/>
      <c r="G776" s="157" t="n">
        <v>40</v>
      </c>
      <c r="H776" s="158"/>
      <c r="I776" s="155"/>
      <c r="J776" s="155"/>
      <c r="K776" s="146"/>
    </row>
    <row r="777">
      <c r="A777" s="9" t="s">
        <v>1334</v>
      </c>
      <c r="B777" s="10" t="s">
        <v>84</v>
      </c>
      <c r="C777" s="10" t="s">
        <v>1335</v>
      </c>
      <c r="D777" s="14" t="s">
        <v>1336</v>
      </c>
      <c r="E777" s="10"/>
      <c r="F777" s="10" t="s">
        <v>1324</v>
      </c>
      <c r="G777" s="111" t="n">
        <v>8</v>
      </c>
      <c r="H777" s="152" t="n">
        <v>0</v>
      </c>
      <c r="I777" s="111">
        <f>G777*H777</f>
      </c>
      <c r="J777" s="153" t="s">
        <v>134</v>
      </c>
      <c r="K777" s="146"/>
      <c r="Z777" s="111">
        <f>IF(AQ777="5",BJ777,0)</f>
      </c>
      <c r="AB777" s="111">
        <f>IF(AQ777="1",BH777,0)</f>
      </c>
      <c r="AC777" s="111">
        <f>IF(AQ777="1",BI777,0)</f>
      </c>
      <c r="AD777" s="111">
        <f>IF(AQ777="7",BH777,0)</f>
      </c>
      <c r="AE777" s="111">
        <f>IF(AQ777="7",BI777,0)</f>
      </c>
      <c r="AF777" s="111">
        <f>IF(AQ777="2",BH777,0)</f>
      </c>
      <c r="AG777" s="111">
        <f>IF(AQ777="2",BI777,0)</f>
      </c>
      <c r="AH777" s="111">
        <f>IF(AQ777="0",BJ777,0)</f>
      </c>
      <c r="AI777" s="132" t="s">
        <v>84</v>
      </c>
      <c r="AJ777" s="111">
        <f>IF(AN777=0,I777,0)</f>
      </c>
      <c r="AK777" s="111">
        <f>IF(AN777=12,I777,0)</f>
      </c>
      <c r="AL777" s="111">
        <f>IF(AN777=21,I777,0)</f>
      </c>
      <c r="AN777" s="111" t="n">
        <v>21</v>
      </c>
      <c r="AO777" s="111">
        <f>H777*0</f>
      </c>
      <c r="AP777" s="111">
        <f>H777*(1-0)</f>
      </c>
      <c r="AQ777" s="153" t="s">
        <v>130</v>
      </c>
      <c r="AV777" s="111">
        <f>AW777+AX777</f>
      </c>
      <c r="AW777" s="111">
        <f>G777*AO777</f>
      </c>
      <c r="AX777" s="111">
        <f>G777*AP777</f>
      </c>
      <c r="AY777" s="153" t="s">
        <v>1325</v>
      </c>
      <c r="AZ777" s="153" t="s">
        <v>1326</v>
      </c>
      <c r="BA777" s="132" t="s">
        <v>137</v>
      </c>
      <c r="BC777" s="111">
        <f>AW777+AX777</f>
      </c>
      <c r="BD777" s="111">
        <f>H777/(100-BE777)*100</f>
      </c>
      <c r="BE777" s="111" t="n">
        <v>0</v>
      </c>
      <c r="BF777" s="111">
        <f>777</f>
      </c>
      <c r="BH777" s="111">
        <f>G777*AO777</f>
      </c>
      <c r="BI777" s="111">
        <f>G777*AP777</f>
      </c>
      <c r="BJ777" s="111">
        <f>G777*H777</f>
      </c>
      <c r="BK777" s="111"/>
      <c r="BL777" s="111" t="n">
        <v>90</v>
      </c>
      <c r="BW777" s="111" t="n">
        <v>21</v>
      </c>
      <c r="BX777" s="14" t="s">
        <v>1336</v>
      </c>
    </row>
    <row r="778">
      <c r="A778" s="154"/>
      <c r="B778" s="155"/>
      <c r="C778" s="155"/>
      <c r="D778" s="156" t="s">
        <v>176</v>
      </c>
      <c r="E778" s="156" t="s">
        <v>1337</v>
      </c>
      <c r="F778" s="155"/>
      <c r="G778" s="157" t="n">
        <v>8</v>
      </c>
      <c r="H778" s="158"/>
      <c r="I778" s="155"/>
      <c r="J778" s="155"/>
      <c r="K778" s="146"/>
    </row>
    <row r="779">
      <c r="A779" s="147" t="s">
        <v>4</v>
      </c>
      <c r="B779" s="148" t="s">
        <v>84</v>
      </c>
      <c r="C779" s="148" t="s">
        <v>745</v>
      </c>
      <c r="D779" s="149" t="s">
        <v>1338</v>
      </c>
      <c r="E779" s="148"/>
      <c r="F779" s="150" t="s">
        <v>79</v>
      </c>
      <c r="G779" s="150" t="s">
        <v>79</v>
      </c>
      <c r="H779" s="151" t="s">
        <v>79</v>
      </c>
      <c r="I779" s="117">
        <f>SUM(I780:I780)</f>
      </c>
      <c r="J779" s="132" t="s">
        <v>4</v>
      </c>
      <c r="K779" s="146"/>
      <c r="AI779" s="132" t="s">
        <v>84</v>
      </c>
      <c r="AS779" s="117">
        <f>SUM(AJ780:AJ780)</f>
      </c>
      <c r="AT779" s="117">
        <f>SUM(AK780:AK780)</f>
      </c>
      <c r="AU779" s="117">
        <f>SUM(AL780:AL780)</f>
      </c>
    </row>
    <row r="780">
      <c r="A780" s="9" t="s">
        <v>1339</v>
      </c>
      <c r="B780" s="10" t="s">
        <v>84</v>
      </c>
      <c r="C780" s="10" t="s">
        <v>1340</v>
      </c>
      <c r="D780" s="14" t="s">
        <v>1341</v>
      </c>
      <c r="E780" s="10"/>
      <c r="F780" s="10" t="s">
        <v>282</v>
      </c>
      <c r="G780" s="111" t="n">
        <v>102.89</v>
      </c>
      <c r="H780" s="152" t="n">
        <v>0</v>
      </c>
      <c r="I780" s="111">
        <f>G780*H780</f>
      </c>
      <c r="J780" s="153" t="s">
        <v>134</v>
      </c>
      <c r="K780" s="146"/>
      <c r="Z780" s="111">
        <f>IF(AQ780="5",BJ780,0)</f>
      </c>
      <c r="AB780" s="111">
        <f>IF(AQ780="1",BH780,0)</f>
      </c>
      <c r="AC780" s="111">
        <f>IF(AQ780="1",BI780,0)</f>
      </c>
      <c r="AD780" s="111">
        <f>IF(AQ780="7",BH780,0)</f>
      </c>
      <c r="AE780" s="111">
        <f>IF(AQ780="7",BI780,0)</f>
      </c>
      <c r="AF780" s="111">
        <f>IF(AQ780="2",BH780,0)</f>
      </c>
      <c r="AG780" s="111">
        <f>IF(AQ780="2",BI780,0)</f>
      </c>
      <c r="AH780" s="111">
        <f>IF(AQ780="0",BJ780,0)</f>
      </c>
      <c r="AI780" s="132" t="s">
        <v>84</v>
      </c>
      <c r="AJ780" s="111">
        <f>IF(AN780=0,I780,0)</f>
      </c>
      <c r="AK780" s="111">
        <f>IF(AN780=12,I780,0)</f>
      </c>
      <c r="AL780" s="111">
        <f>IF(AN780=21,I780,0)</f>
      </c>
      <c r="AN780" s="111" t="n">
        <v>21</v>
      </c>
      <c r="AO780" s="111">
        <f>H780*0.7501823</f>
      </c>
      <c r="AP780" s="111">
        <f>H780*(1-0.7501823)</f>
      </c>
      <c r="AQ780" s="153" t="s">
        <v>130</v>
      </c>
      <c r="AV780" s="111">
        <f>AW780+AX780</f>
      </c>
      <c r="AW780" s="111">
        <f>G780*AO780</f>
      </c>
      <c r="AX780" s="111">
        <f>G780*AP780</f>
      </c>
      <c r="AY780" s="153" t="s">
        <v>1342</v>
      </c>
      <c r="AZ780" s="153" t="s">
        <v>1326</v>
      </c>
      <c r="BA780" s="132" t="s">
        <v>137</v>
      </c>
      <c r="BC780" s="111">
        <f>AW780+AX780</f>
      </c>
      <c r="BD780" s="111">
        <f>H780/(100-BE780)*100</f>
      </c>
      <c r="BE780" s="111" t="n">
        <v>0</v>
      </c>
      <c r="BF780" s="111">
        <f>780</f>
      </c>
      <c r="BH780" s="111">
        <f>G780*AO780</f>
      </c>
      <c r="BI780" s="111">
        <f>G780*AP780</f>
      </c>
      <c r="BJ780" s="111">
        <f>G780*H780</f>
      </c>
      <c r="BK780" s="111"/>
      <c r="BL780" s="111" t="n">
        <v>91</v>
      </c>
      <c r="BW780" s="111" t="n">
        <v>21</v>
      </c>
      <c r="BX780" s="14" t="s">
        <v>1341</v>
      </c>
    </row>
    <row r="781" customHeight="true" ht="13.5">
      <c r="A781" s="159"/>
      <c r="C781" s="160" t="s">
        <v>146</v>
      </c>
      <c r="D781" s="161" t="s">
        <v>1343</v>
      </c>
      <c r="E781" s="156"/>
      <c r="F781" s="156"/>
      <c r="G781" s="156"/>
      <c r="H781" s="162"/>
      <c r="I781" s="156"/>
      <c r="J781" s="156"/>
      <c r="K781" s="163"/>
    </row>
    <row r="782">
      <c r="A782" s="154"/>
      <c r="B782" s="155"/>
      <c r="C782" s="155"/>
      <c r="D782" s="156" t="s">
        <v>4</v>
      </c>
      <c r="E782" s="156" t="s">
        <v>1344</v>
      </c>
      <c r="F782" s="155"/>
      <c r="G782" s="157" t="n">
        <v>0</v>
      </c>
      <c r="H782" s="158"/>
      <c r="I782" s="155"/>
      <c r="J782" s="155"/>
      <c r="K782" s="146"/>
    </row>
    <row r="783">
      <c r="A783" s="154"/>
      <c r="B783" s="155"/>
      <c r="C783" s="155"/>
      <c r="D783" s="156" t="s">
        <v>1345</v>
      </c>
      <c r="E783" s="156" t="s">
        <v>1046</v>
      </c>
      <c r="F783" s="155"/>
      <c r="G783" s="157" t="n">
        <v>23.35</v>
      </c>
      <c r="H783" s="158"/>
      <c r="I783" s="155"/>
      <c r="J783" s="155"/>
      <c r="K783" s="146"/>
    </row>
    <row r="784">
      <c r="A784" s="154"/>
      <c r="B784" s="155"/>
      <c r="C784" s="155"/>
      <c r="D784" s="156" t="s">
        <v>1346</v>
      </c>
      <c r="E784" s="156" t="s">
        <v>1048</v>
      </c>
      <c r="F784" s="155"/>
      <c r="G784" s="157" t="n">
        <v>36.92</v>
      </c>
      <c r="H784" s="158"/>
      <c r="I784" s="155"/>
      <c r="J784" s="155"/>
      <c r="K784" s="146"/>
    </row>
    <row r="785">
      <c r="A785" s="154"/>
      <c r="B785" s="155"/>
      <c r="C785" s="155"/>
      <c r="D785" s="156" t="s">
        <v>1347</v>
      </c>
      <c r="E785" s="156" t="s">
        <v>1050</v>
      </c>
      <c r="F785" s="155"/>
      <c r="G785" s="157" t="n">
        <v>14.17</v>
      </c>
      <c r="H785" s="158"/>
      <c r="I785" s="155"/>
      <c r="J785" s="155"/>
      <c r="K785" s="146"/>
    </row>
    <row r="786">
      <c r="A786" s="154"/>
      <c r="B786" s="155"/>
      <c r="C786" s="155"/>
      <c r="D786" s="156" t="s">
        <v>1348</v>
      </c>
      <c r="E786" s="156" t="s">
        <v>956</v>
      </c>
      <c r="F786" s="155"/>
      <c r="G786" s="157" t="n">
        <v>20.45</v>
      </c>
      <c r="H786" s="158"/>
      <c r="I786" s="155"/>
      <c r="J786" s="155"/>
      <c r="K786" s="146"/>
    </row>
    <row r="787">
      <c r="A787" s="154"/>
      <c r="B787" s="155"/>
      <c r="C787" s="155"/>
      <c r="D787" s="156" t="s">
        <v>176</v>
      </c>
      <c r="E787" s="156" t="s">
        <v>1349</v>
      </c>
      <c r="F787" s="155"/>
      <c r="G787" s="157" t="n">
        <v>8</v>
      </c>
      <c r="H787" s="158"/>
      <c r="I787" s="155"/>
      <c r="J787" s="155"/>
      <c r="K787" s="146"/>
    </row>
    <row r="788">
      <c r="A788" s="147" t="s">
        <v>4</v>
      </c>
      <c r="B788" s="148" t="s">
        <v>84</v>
      </c>
      <c r="C788" s="148" t="s">
        <v>756</v>
      </c>
      <c r="D788" s="149" t="s">
        <v>1350</v>
      </c>
      <c r="E788" s="148"/>
      <c r="F788" s="150" t="s">
        <v>79</v>
      </c>
      <c r="G788" s="150" t="s">
        <v>79</v>
      </c>
      <c r="H788" s="151" t="s">
        <v>79</v>
      </c>
      <c r="I788" s="117">
        <f>SUM(I789:I792)</f>
      </c>
      <c r="J788" s="132" t="s">
        <v>4</v>
      </c>
      <c r="K788" s="146"/>
      <c r="AI788" s="132" t="s">
        <v>84</v>
      </c>
      <c r="AS788" s="117">
        <f>SUM(AJ789:AJ792)</f>
      </c>
      <c r="AT788" s="117">
        <f>SUM(AK789:AK792)</f>
      </c>
      <c r="AU788" s="117">
        <f>SUM(AL789:AL792)</f>
      </c>
    </row>
    <row r="789">
      <c r="A789" s="9" t="s">
        <v>1351</v>
      </c>
      <c r="B789" s="10" t="s">
        <v>84</v>
      </c>
      <c r="C789" s="10" t="s">
        <v>1352</v>
      </c>
      <c r="D789" s="14" t="s">
        <v>1353</v>
      </c>
      <c r="E789" s="10"/>
      <c r="F789" s="10" t="s">
        <v>145</v>
      </c>
      <c r="G789" s="111" t="n">
        <v>33.44</v>
      </c>
      <c r="H789" s="152" t="n">
        <v>0</v>
      </c>
      <c r="I789" s="111">
        <f>G789*H789</f>
      </c>
      <c r="J789" s="153" t="s">
        <v>134</v>
      </c>
      <c r="K789" s="146"/>
      <c r="Z789" s="111">
        <f>IF(AQ789="5",BJ789,0)</f>
      </c>
      <c r="AB789" s="111">
        <f>IF(AQ789="1",BH789,0)</f>
      </c>
      <c r="AC789" s="111">
        <f>IF(AQ789="1",BI789,0)</f>
      </c>
      <c r="AD789" s="111">
        <f>IF(AQ789="7",BH789,0)</f>
      </c>
      <c r="AE789" s="111">
        <f>IF(AQ789="7",BI789,0)</f>
      </c>
      <c r="AF789" s="111">
        <f>IF(AQ789="2",BH789,0)</f>
      </c>
      <c r="AG789" s="111">
        <f>IF(AQ789="2",BI789,0)</f>
      </c>
      <c r="AH789" s="111">
        <f>IF(AQ789="0",BJ789,0)</f>
      </c>
      <c r="AI789" s="132" t="s">
        <v>84</v>
      </c>
      <c r="AJ789" s="111">
        <f>IF(AN789=0,I789,0)</f>
      </c>
      <c r="AK789" s="111">
        <f>IF(AN789=12,I789,0)</f>
      </c>
      <c r="AL789" s="111">
        <f>IF(AN789=21,I789,0)</f>
      </c>
      <c r="AN789" s="111" t="n">
        <v>21</v>
      </c>
      <c r="AO789" s="111">
        <f>H789*0.802</f>
      </c>
      <c r="AP789" s="111">
        <f>H789*(1-0.802)</f>
      </c>
      <c r="AQ789" s="153" t="s">
        <v>130</v>
      </c>
      <c r="AV789" s="111">
        <f>AW789+AX789</f>
      </c>
      <c r="AW789" s="111">
        <f>G789*AO789</f>
      </c>
      <c r="AX789" s="111">
        <f>G789*AP789</f>
      </c>
      <c r="AY789" s="153" t="s">
        <v>1354</v>
      </c>
      <c r="AZ789" s="153" t="s">
        <v>1326</v>
      </c>
      <c r="BA789" s="132" t="s">
        <v>137</v>
      </c>
      <c r="BC789" s="111">
        <f>AW789+AX789</f>
      </c>
      <c r="BD789" s="111">
        <f>H789/(100-BE789)*100</f>
      </c>
      <c r="BE789" s="111" t="n">
        <v>0</v>
      </c>
      <c r="BF789" s="111">
        <f>789</f>
      </c>
      <c r="BH789" s="111">
        <f>G789*AO789</f>
      </c>
      <c r="BI789" s="111">
        <f>G789*AP789</f>
      </c>
      <c r="BJ789" s="111">
        <f>G789*H789</f>
      </c>
      <c r="BK789" s="111"/>
      <c r="BL789" s="111" t="n">
        <v>93</v>
      </c>
      <c r="BW789" s="111" t="n">
        <v>21</v>
      </c>
      <c r="BX789" s="14" t="s">
        <v>1353</v>
      </c>
    </row>
    <row r="790" customHeight="true" ht="13.5">
      <c r="A790" s="159"/>
      <c r="C790" s="160" t="s">
        <v>146</v>
      </c>
      <c r="D790" s="161" t="s">
        <v>1355</v>
      </c>
      <c r="E790" s="156"/>
      <c r="F790" s="156"/>
      <c r="G790" s="156"/>
      <c r="H790" s="162"/>
      <c r="I790" s="156"/>
      <c r="J790" s="156"/>
      <c r="K790" s="163"/>
    </row>
    <row r="791">
      <c r="A791" s="154"/>
      <c r="B791" s="155"/>
      <c r="C791" s="155"/>
      <c r="D791" s="156" t="s">
        <v>1356</v>
      </c>
      <c r="E791" s="156" t="s">
        <v>1357</v>
      </c>
      <c r="F791" s="155"/>
      <c r="G791" s="157" t="n">
        <v>33.44</v>
      </c>
      <c r="H791" s="158"/>
      <c r="I791" s="155"/>
      <c r="J791" s="155"/>
      <c r="K791" s="146"/>
    </row>
    <row r="792">
      <c r="A792" s="9" t="s">
        <v>1358</v>
      </c>
      <c r="B792" s="10" t="s">
        <v>84</v>
      </c>
      <c r="C792" s="10" t="s">
        <v>1359</v>
      </c>
      <c r="D792" s="14" t="s">
        <v>1360</v>
      </c>
      <c r="E792" s="10"/>
      <c r="F792" s="10" t="s">
        <v>145</v>
      </c>
      <c r="G792" s="111" t="n">
        <v>33.44</v>
      </c>
      <c r="H792" s="152" t="n">
        <v>0</v>
      </c>
      <c r="I792" s="111">
        <f>G792*H792</f>
      </c>
      <c r="J792" s="153" t="s">
        <v>134</v>
      </c>
      <c r="K792" s="146"/>
      <c r="Z792" s="111">
        <f>IF(AQ792="5",BJ792,0)</f>
      </c>
      <c r="AB792" s="111">
        <f>IF(AQ792="1",BH792,0)</f>
      </c>
      <c r="AC792" s="111">
        <f>IF(AQ792="1",BI792,0)</f>
      </c>
      <c r="AD792" s="111">
        <f>IF(AQ792="7",BH792,0)</f>
      </c>
      <c r="AE792" s="111">
        <f>IF(AQ792="7",BI792,0)</f>
      </c>
      <c r="AF792" s="111">
        <f>IF(AQ792="2",BH792,0)</f>
      </c>
      <c r="AG792" s="111">
        <f>IF(AQ792="2",BI792,0)</f>
      </c>
      <c r="AH792" s="111">
        <f>IF(AQ792="0",BJ792,0)</f>
      </c>
      <c r="AI792" s="132" t="s">
        <v>84</v>
      </c>
      <c r="AJ792" s="111">
        <f>IF(AN792=0,I792,0)</f>
      </c>
      <c r="AK792" s="111">
        <f>IF(AN792=12,I792,0)</f>
      </c>
      <c r="AL792" s="111">
        <f>IF(AN792=21,I792,0)</f>
      </c>
      <c r="AN792" s="111" t="n">
        <v>21</v>
      </c>
      <c r="AO792" s="111">
        <f>H792*0.575393701</f>
      </c>
      <c r="AP792" s="111">
        <f>H792*(1-0.575393701)</f>
      </c>
      <c r="AQ792" s="153" t="s">
        <v>130</v>
      </c>
      <c r="AV792" s="111">
        <f>AW792+AX792</f>
      </c>
      <c r="AW792" s="111">
        <f>G792*AO792</f>
      </c>
      <c r="AX792" s="111">
        <f>G792*AP792</f>
      </c>
      <c r="AY792" s="153" t="s">
        <v>1354</v>
      </c>
      <c r="AZ792" s="153" t="s">
        <v>1326</v>
      </c>
      <c r="BA792" s="132" t="s">
        <v>137</v>
      </c>
      <c r="BC792" s="111">
        <f>AW792+AX792</f>
      </c>
      <c r="BD792" s="111">
        <f>H792/(100-BE792)*100</f>
      </c>
      <c r="BE792" s="111" t="n">
        <v>0</v>
      </c>
      <c r="BF792" s="111">
        <f>792</f>
      </c>
      <c r="BH792" s="111">
        <f>G792*AO792</f>
      </c>
      <c r="BI792" s="111">
        <f>G792*AP792</f>
      </c>
      <c r="BJ792" s="111">
        <f>G792*H792</f>
      </c>
      <c r="BK792" s="111"/>
      <c r="BL792" s="111" t="n">
        <v>93</v>
      </c>
      <c r="BW792" s="111" t="n">
        <v>21</v>
      </c>
      <c r="BX792" s="14" t="s">
        <v>1360</v>
      </c>
    </row>
    <row r="793" customHeight="true" ht="13.5">
      <c r="A793" s="159"/>
      <c r="C793" s="160" t="s">
        <v>146</v>
      </c>
      <c r="D793" s="161" t="s">
        <v>1361</v>
      </c>
      <c r="E793" s="156"/>
      <c r="F793" s="156"/>
      <c r="G793" s="156"/>
      <c r="H793" s="162"/>
      <c r="I793" s="156"/>
      <c r="J793" s="156"/>
      <c r="K793" s="163"/>
    </row>
    <row r="794">
      <c r="A794" s="154"/>
      <c r="B794" s="155"/>
      <c r="C794" s="155"/>
      <c r="D794" s="156" t="s">
        <v>1356</v>
      </c>
      <c r="E794" s="156" t="s">
        <v>1357</v>
      </c>
      <c r="F794" s="155"/>
      <c r="G794" s="157" t="n">
        <v>33.44</v>
      </c>
      <c r="H794" s="158"/>
      <c r="I794" s="155"/>
      <c r="J794" s="155"/>
      <c r="K794" s="146"/>
    </row>
    <row r="795">
      <c r="A795" s="147" t="s">
        <v>4</v>
      </c>
      <c r="B795" s="148" t="s">
        <v>84</v>
      </c>
      <c r="C795" s="148" t="s">
        <v>761</v>
      </c>
      <c r="D795" s="149" t="s">
        <v>1362</v>
      </c>
      <c r="E795" s="148"/>
      <c r="F795" s="150" t="s">
        <v>79</v>
      </c>
      <c r="G795" s="150" t="s">
        <v>79</v>
      </c>
      <c r="H795" s="151" t="s">
        <v>79</v>
      </c>
      <c r="I795" s="117">
        <f>SUM(I796:I831)</f>
      </c>
      <c r="J795" s="132" t="s">
        <v>4</v>
      </c>
      <c r="K795" s="146"/>
      <c r="AI795" s="132" t="s">
        <v>84</v>
      </c>
      <c r="AS795" s="117">
        <f>SUM(AJ796:AJ831)</f>
      </c>
      <c r="AT795" s="117">
        <f>SUM(AK796:AK831)</f>
      </c>
      <c r="AU795" s="117">
        <f>SUM(AL796:AL831)</f>
      </c>
    </row>
    <row r="796">
      <c r="A796" s="9" t="s">
        <v>1363</v>
      </c>
      <c r="B796" s="10" t="s">
        <v>84</v>
      </c>
      <c r="C796" s="10" t="s">
        <v>1364</v>
      </c>
      <c r="D796" s="14" t="s">
        <v>1365</v>
      </c>
      <c r="E796" s="10"/>
      <c r="F796" s="10" t="s">
        <v>145</v>
      </c>
      <c r="G796" s="111" t="n">
        <v>498.64</v>
      </c>
      <c r="H796" s="152" t="n">
        <v>0</v>
      </c>
      <c r="I796" s="111">
        <f>G796*H796</f>
      </c>
      <c r="J796" s="153" t="s">
        <v>134</v>
      </c>
      <c r="K796" s="146"/>
      <c r="Z796" s="111">
        <f>IF(AQ796="5",BJ796,0)</f>
      </c>
      <c r="AB796" s="111">
        <f>IF(AQ796="1",BH796,0)</f>
      </c>
      <c r="AC796" s="111">
        <f>IF(AQ796="1",BI796,0)</f>
      </c>
      <c r="AD796" s="111">
        <f>IF(AQ796="7",BH796,0)</f>
      </c>
      <c r="AE796" s="111">
        <f>IF(AQ796="7",BI796,0)</f>
      </c>
      <c r="AF796" s="111">
        <f>IF(AQ796="2",BH796,0)</f>
      </c>
      <c r="AG796" s="111">
        <f>IF(AQ796="2",BI796,0)</f>
      </c>
      <c r="AH796" s="111">
        <f>IF(AQ796="0",BJ796,0)</f>
      </c>
      <c r="AI796" s="132" t="s">
        <v>84</v>
      </c>
      <c r="AJ796" s="111">
        <f>IF(AN796=0,I796,0)</f>
      </c>
      <c r="AK796" s="111">
        <f>IF(AN796=12,I796,0)</f>
      </c>
      <c r="AL796" s="111">
        <f>IF(AN796=21,I796,0)</f>
      </c>
      <c r="AN796" s="111" t="n">
        <v>21</v>
      </c>
      <c r="AO796" s="111">
        <f>H796*0.000532623</f>
      </c>
      <c r="AP796" s="111">
        <f>H796*(1-0.000532623)</f>
      </c>
      <c r="AQ796" s="153" t="s">
        <v>130</v>
      </c>
      <c r="AV796" s="111">
        <f>AW796+AX796</f>
      </c>
      <c r="AW796" s="111">
        <f>G796*AO796</f>
      </c>
      <c r="AX796" s="111">
        <f>G796*AP796</f>
      </c>
      <c r="AY796" s="153" t="s">
        <v>1366</v>
      </c>
      <c r="AZ796" s="153" t="s">
        <v>1326</v>
      </c>
      <c r="BA796" s="132" t="s">
        <v>137</v>
      </c>
      <c r="BC796" s="111">
        <f>AW796+AX796</f>
      </c>
      <c r="BD796" s="111">
        <f>H796/(100-BE796)*100</f>
      </c>
      <c r="BE796" s="111" t="n">
        <v>0</v>
      </c>
      <c r="BF796" s="111">
        <f>796</f>
      </c>
      <c r="BH796" s="111">
        <f>G796*AO796</f>
      </c>
      <c r="BI796" s="111">
        <f>G796*AP796</f>
      </c>
      <c r="BJ796" s="111">
        <f>G796*H796</f>
      </c>
      <c r="BK796" s="111"/>
      <c r="BL796" s="111" t="n">
        <v>94</v>
      </c>
      <c r="BW796" s="111" t="n">
        <v>21</v>
      </c>
      <c r="BX796" s="14" t="s">
        <v>1365</v>
      </c>
    </row>
    <row r="797">
      <c r="A797" s="154"/>
      <c r="B797" s="155"/>
      <c r="C797" s="155"/>
      <c r="D797" s="156" t="s">
        <v>1367</v>
      </c>
      <c r="E797" s="156" t="s">
        <v>1046</v>
      </c>
      <c r="F797" s="155"/>
      <c r="G797" s="157" t="n">
        <v>195.84</v>
      </c>
      <c r="H797" s="158"/>
      <c r="I797" s="155"/>
      <c r="J797" s="155"/>
      <c r="K797" s="146"/>
    </row>
    <row r="798">
      <c r="A798" s="154"/>
      <c r="B798" s="155"/>
      <c r="C798" s="155"/>
      <c r="D798" s="156" t="s">
        <v>1368</v>
      </c>
      <c r="E798" s="156" t="s">
        <v>1048</v>
      </c>
      <c r="F798" s="155"/>
      <c r="G798" s="157" t="n">
        <v>115</v>
      </c>
      <c r="H798" s="158"/>
      <c r="I798" s="155"/>
      <c r="J798" s="155"/>
      <c r="K798" s="146"/>
    </row>
    <row r="799">
      <c r="A799" s="154"/>
      <c r="B799" s="155"/>
      <c r="C799" s="155"/>
      <c r="D799" s="156" t="s">
        <v>1369</v>
      </c>
      <c r="E799" s="156" t="s">
        <v>1050</v>
      </c>
      <c r="F799" s="155"/>
      <c r="G799" s="157" t="n">
        <v>67.72</v>
      </c>
      <c r="H799" s="158"/>
      <c r="I799" s="155"/>
      <c r="J799" s="155"/>
      <c r="K799" s="146"/>
    </row>
    <row r="800">
      <c r="A800" s="154"/>
      <c r="B800" s="155"/>
      <c r="C800" s="155"/>
      <c r="D800" s="156" t="s">
        <v>1370</v>
      </c>
      <c r="E800" s="156" t="s">
        <v>1371</v>
      </c>
      <c r="F800" s="155"/>
      <c r="G800" s="157" t="n">
        <v>76.88</v>
      </c>
      <c r="H800" s="158"/>
      <c r="I800" s="155"/>
      <c r="J800" s="155"/>
      <c r="K800" s="146"/>
    </row>
    <row r="801">
      <c r="A801" s="154"/>
      <c r="B801" s="155"/>
      <c r="C801" s="155"/>
      <c r="D801" s="156" t="s">
        <v>1372</v>
      </c>
      <c r="E801" s="156" t="s">
        <v>1054</v>
      </c>
      <c r="F801" s="155"/>
      <c r="G801" s="157" t="n">
        <v>43.2</v>
      </c>
      <c r="H801" s="158"/>
      <c r="I801" s="155"/>
      <c r="J801" s="155"/>
      <c r="K801" s="146"/>
    </row>
    <row r="802">
      <c r="A802" s="9" t="s">
        <v>1373</v>
      </c>
      <c r="B802" s="10" t="s">
        <v>84</v>
      </c>
      <c r="C802" s="10" t="s">
        <v>1374</v>
      </c>
      <c r="D802" s="14" t="s">
        <v>1375</v>
      </c>
      <c r="E802" s="10"/>
      <c r="F802" s="10" t="s">
        <v>145</v>
      </c>
      <c r="G802" s="111" t="n">
        <v>498.64</v>
      </c>
      <c r="H802" s="152" t="n">
        <v>0</v>
      </c>
      <c r="I802" s="111">
        <f>G802*H802</f>
      </c>
      <c r="J802" s="153" t="s">
        <v>134</v>
      </c>
      <c r="K802" s="146"/>
      <c r="Z802" s="111">
        <f>IF(AQ802="5",BJ802,0)</f>
      </c>
      <c r="AB802" s="111">
        <f>IF(AQ802="1",BH802,0)</f>
      </c>
      <c r="AC802" s="111">
        <f>IF(AQ802="1",BI802,0)</f>
      </c>
      <c r="AD802" s="111">
        <f>IF(AQ802="7",BH802,0)</f>
      </c>
      <c r="AE802" s="111">
        <f>IF(AQ802="7",BI802,0)</f>
      </c>
      <c r="AF802" s="111">
        <f>IF(AQ802="2",BH802,0)</f>
      </c>
      <c r="AG802" s="111">
        <f>IF(AQ802="2",BI802,0)</f>
      </c>
      <c r="AH802" s="111">
        <f>IF(AQ802="0",BJ802,0)</f>
      </c>
      <c r="AI802" s="132" t="s">
        <v>84</v>
      </c>
      <c r="AJ802" s="111">
        <f>IF(AN802=0,I802,0)</f>
      </c>
      <c r="AK802" s="111">
        <f>IF(AN802=12,I802,0)</f>
      </c>
      <c r="AL802" s="111">
        <f>IF(AN802=21,I802,0)</f>
      </c>
      <c r="AN802" s="111" t="n">
        <v>21</v>
      </c>
      <c r="AO802" s="111">
        <f>H802*0.946943747</f>
      </c>
      <c r="AP802" s="111">
        <f>H802*(1-0.946943747)</f>
      </c>
      <c r="AQ802" s="153" t="s">
        <v>130</v>
      </c>
      <c r="AV802" s="111">
        <f>AW802+AX802</f>
      </c>
      <c r="AW802" s="111">
        <f>G802*AO802</f>
      </c>
      <c r="AX802" s="111">
        <f>G802*AP802</f>
      </c>
      <c r="AY802" s="153" t="s">
        <v>1366</v>
      </c>
      <c r="AZ802" s="153" t="s">
        <v>1326</v>
      </c>
      <c r="BA802" s="132" t="s">
        <v>137</v>
      </c>
      <c r="BC802" s="111">
        <f>AW802+AX802</f>
      </c>
      <c r="BD802" s="111">
        <f>H802/(100-BE802)*100</f>
      </c>
      <c r="BE802" s="111" t="n">
        <v>0</v>
      </c>
      <c r="BF802" s="111">
        <f>802</f>
      </c>
      <c r="BH802" s="111">
        <f>G802*AO802</f>
      </c>
      <c r="BI802" s="111">
        <f>G802*AP802</f>
      </c>
      <c r="BJ802" s="111">
        <f>G802*H802</f>
      </c>
      <c r="BK802" s="111"/>
      <c r="BL802" s="111" t="n">
        <v>94</v>
      </c>
      <c r="BW802" s="111" t="n">
        <v>21</v>
      </c>
      <c r="BX802" s="14" t="s">
        <v>1375</v>
      </c>
    </row>
    <row r="803">
      <c r="A803" s="9" t="s">
        <v>1376</v>
      </c>
      <c r="B803" s="10" t="s">
        <v>84</v>
      </c>
      <c r="C803" s="10" t="s">
        <v>1377</v>
      </c>
      <c r="D803" s="14" t="s">
        <v>1378</v>
      </c>
      <c r="E803" s="10"/>
      <c r="F803" s="10" t="s">
        <v>145</v>
      </c>
      <c r="G803" s="111" t="n">
        <v>498.64</v>
      </c>
      <c r="H803" s="152" t="n">
        <v>0</v>
      </c>
      <c r="I803" s="111">
        <f>G803*H803</f>
      </c>
      <c r="J803" s="153" t="s">
        <v>134</v>
      </c>
      <c r="K803" s="146"/>
      <c r="Z803" s="111">
        <f>IF(AQ803="5",BJ803,0)</f>
      </c>
      <c r="AB803" s="111">
        <f>IF(AQ803="1",BH803,0)</f>
      </c>
      <c r="AC803" s="111">
        <f>IF(AQ803="1",BI803,0)</f>
      </c>
      <c r="AD803" s="111">
        <f>IF(AQ803="7",BH803,0)</f>
      </c>
      <c r="AE803" s="111">
        <f>IF(AQ803="7",BI803,0)</f>
      </c>
      <c r="AF803" s="111">
        <f>IF(AQ803="2",BH803,0)</f>
      </c>
      <c r="AG803" s="111">
        <f>IF(AQ803="2",BI803,0)</f>
      </c>
      <c r="AH803" s="111">
        <f>IF(AQ803="0",BJ803,0)</f>
      </c>
      <c r="AI803" s="132" t="s">
        <v>84</v>
      </c>
      <c r="AJ803" s="111">
        <f>IF(AN803=0,I803,0)</f>
      </c>
      <c r="AK803" s="111">
        <f>IF(AN803=12,I803,0)</f>
      </c>
      <c r="AL803" s="111">
        <f>IF(AN803=21,I803,0)</f>
      </c>
      <c r="AN803" s="111" t="n">
        <v>21</v>
      </c>
      <c r="AO803" s="111">
        <f>H803*0</f>
      </c>
      <c r="AP803" s="111">
        <f>H803*(1-0)</f>
      </c>
      <c r="AQ803" s="153" t="s">
        <v>130</v>
      </c>
      <c r="AV803" s="111">
        <f>AW803+AX803</f>
      </c>
      <c r="AW803" s="111">
        <f>G803*AO803</f>
      </c>
      <c r="AX803" s="111">
        <f>G803*AP803</f>
      </c>
      <c r="AY803" s="153" t="s">
        <v>1366</v>
      </c>
      <c r="AZ803" s="153" t="s">
        <v>1326</v>
      </c>
      <c r="BA803" s="132" t="s">
        <v>137</v>
      </c>
      <c r="BC803" s="111">
        <f>AW803+AX803</f>
      </c>
      <c r="BD803" s="111">
        <f>H803/(100-BE803)*100</f>
      </c>
      <c r="BE803" s="111" t="n">
        <v>0</v>
      </c>
      <c r="BF803" s="111">
        <f>803</f>
      </c>
      <c r="BH803" s="111">
        <f>G803*AO803</f>
      </c>
      <c r="BI803" s="111">
        <f>G803*AP803</f>
      </c>
      <c r="BJ803" s="111">
        <f>G803*H803</f>
      </c>
      <c r="BK803" s="111"/>
      <c r="BL803" s="111" t="n">
        <v>94</v>
      </c>
      <c r="BW803" s="111" t="n">
        <v>21</v>
      </c>
      <c r="BX803" s="14" t="s">
        <v>1378</v>
      </c>
    </row>
    <row r="804">
      <c r="A804" s="9" t="s">
        <v>1379</v>
      </c>
      <c r="B804" s="10" t="s">
        <v>84</v>
      </c>
      <c r="C804" s="10" t="s">
        <v>1380</v>
      </c>
      <c r="D804" s="14" t="s">
        <v>1381</v>
      </c>
      <c r="E804" s="10"/>
      <c r="F804" s="10" t="s">
        <v>145</v>
      </c>
      <c r="G804" s="111" t="n">
        <v>422.8</v>
      </c>
      <c r="H804" s="152" t="n">
        <v>0</v>
      </c>
      <c r="I804" s="111">
        <f>G804*H804</f>
      </c>
      <c r="J804" s="153" t="s">
        <v>134</v>
      </c>
      <c r="K804" s="146"/>
      <c r="Z804" s="111">
        <f>IF(AQ804="5",BJ804,0)</f>
      </c>
      <c r="AB804" s="111">
        <f>IF(AQ804="1",BH804,0)</f>
      </c>
      <c r="AC804" s="111">
        <f>IF(AQ804="1",BI804,0)</f>
      </c>
      <c r="AD804" s="111">
        <f>IF(AQ804="7",BH804,0)</f>
      </c>
      <c r="AE804" s="111">
        <f>IF(AQ804="7",BI804,0)</f>
      </c>
      <c r="AF804" s="111">
        <f>IF(AQ804="2",BH804,0)</f>
      </c>
      <c r="AG804" s="111">
        <f>IF(AQ804="2",BI804,0)</f>
      </c>
      <c r="AH804" s="111">
        <f>IF(AQ804="0",BJ804,0)</f>
      </c>
      <c r="AI804" s="132" t="s">
        <v>84</v>
      </c>
      <c r="AJ804" s="111">
        <f>IF(AN804=0,I804,0)</f>
      </c>
      <c r="AK804" s="111">
        <f>IF(AN804=12,I804,0)</f>
      </c>
      <c r="AL804" s="111">
        <f>IF(AN804=21,I804,0)</f>
      </c>
      <c r="AN804" s="111" t="n">
        <v>21</v>
      </c>
      <c r="AO804" s="111">
        <f>H804*0.407753947</f>
      </c>
      <c r="AP804" s="111">
        <f>H804*(1-0.407753947)</f>
      </c>
      <c r="AQ804" s="153" t="s">
        <v>130</v>
      </c>
      <c r="AV804" s="111">
        <f>AW804+AX804</f>
      </c>
      <c r="AW804" s="111">
        <f>G804*AO804</f>
      </c>
      <c r="AX804" s="111">
        <f>G804*AP804</f>
      </c>
      <c r="AY804" s="153" t="s">
        <v>1366</v>
      </c>
      <c r="AZ804" s="153" t="s">
        <v>1326</v>
      </c>
      <c r="BA804" s="132" t="s">
        <v>137</v>
      </c>
      <c r="BC804" s="111">
        <f>AW804+AX804</f>
      </c>
      <c r="BD804" s="111">
        <f>H804/(100-BE804)*100</f>
      </c>
      <c r="BE804" s="111" t="n">
        <v>0</v>
      </c>
      <c r="BF804" s="111">
        <f>804</f>
      </c>
      <c r="BH804" s="111">
        <f>G804*AO804</f>
      </c>
      <c r="BI804" s="111">
        <f>G804*AP804</f>
      </c>
      <c r="BJ804" s="111">
        <f>G804*H804</f>
      </c>
      <c r="BK804" s="111"/>
      <c r="BL804" s="111" t="n">
        <v>94</v>
      </c>
      <c r="BW804" s="111" t="n">
        <v>21</v>
      </c>
      <c r="BX804" s="14" t="s">
        <v>1381</v>
      </c>
    </row>
    <row r="805">
      <c r="A805" s="154"/>
      <c r="B805" s="155"/>
      <c r="C805" s="155"/>
      <c r="D805" s="156" t="s">
        <v>1382</v>
      </c>
      <c r="E805" s="156" t="s">
        <v>421</v>
      </c>
      <c r="F805" s="155"/>
      <c r="G805" s="157" t="n">
        <v>181</v>
      </c>
      <c r="H805" s="158"/>
      <c r="I805" s="155"/>
      <c r="J805" s="155"/>
      <c r="K805" s="146"/>
    </row>
    <row r="806">
      <c r="A806" s="154"/>
      <c r="B806" s="155"/>
      <c r="C806" s="155"/>
      <c r="D806" s="156" t="s">
        <v>1383</v>
      </c>
      <c r="E806" s="156" t="s">
        <v>4</v>
      </c>
      <c r="F806" s="155"/>
      <c r="G806" s="157" t="n">
        <v>52</v>
      </c>
      <c r="H806" s="158"/>
      <c r="I806" s="155"/>
      <c r="J806" s="155"/>
      <c r="K806" s="146"/>
    </row>
    <row r="807">
      <c r="A807" s="154"/>
      <c r="B807" s="155"/>
      <c r="C807" s="155"/>
      <c r="D807" s="156" t="s">
        <v>1384</v>
      </c>
      <c r="E807" s="156" t="s">
        <v>4</v>
      </c>
      <c r="F807" s="155"/>
      <c r="G807" s="157" t="n">
        <v>50.1</v>
      </c>
      <c r="H807" s="158"/>
      <c r="I807" s="155"/>
      <c r="J807" s="155"/>
      <c r="K807" s="146"/>
    </row>
    <row r="808">
      <c r="A808" s="154"/>
      <c r="B808" s="155"/>
      <c r="C808" s="155"/>
      <c r="D808" s="156" t="s">
        <v>1385</v>
      </c>
      <c r="E808" s="156" t="s">
        <v>425</v>
      </c>
      <c r="F808" s="155"/>
      <c r="G808" s="157" t="n">
        <v>96.7</v>
      </c>
      <c r="H808" s="158"/>
      <c r="I808" s="155"/>
      <c r="J808" s="155"/>
      <c r="K808" s="146"/>
    </row>
    <row r="809">
      <c r="A809" s="154"/>
      <c r="B809" s="155"/>
      <c r="C809" s="155"/>
      <c r="D809" s="156" t="s">
        <v>1386</v>
      </c>
      <c r="E809" s="156" t="s">
        <v>1387</v>
      </c>
      <c r="F809" s="155"/>
      <c r="G809" s="157" t="n">
        <v>16.3</v>
      </c>
      <c r="H809" s="158"/>
      <c r="I809" s="155"/>
      <c r="J809" s="155"/>
      <c r="K809" s="146"/>
    </row>
    <row r="810">
      <c r="A810" s="154"/>
      <c r="B810" s="155"/>
      <c r="C810" s="155"/>
      <c r="D810" s="156" t="s">
        <v>1388</v>
      </c>
      <c r="E810" s="156" t="s">
        <v>1389</v>
      </c>
      <c r="F810" s="155"/>
      <c r="G810" s="157" t="n">
        <v>26.7</v>
      </c>
      <c r="H810" s="158"/>
      <c r="I810" s="155"/>
      <c r="J810" s="155"/>
      <c r="K810" s="146"/>
    </row>
    <row r="811">
      <c r="A811" s="9" t="s">
        <v>1390</v>
      </c>
      <c r="B811" s="10" t="s">
        <v>84</v>
      </c>
      <c r="C811" s="10" t="s">
        <v>1391</v>
      </c>
      <c r="D811" s="14" t="s">
        <v>1392</v>
      </c>
      <c r="E811" s="10"/>
      <c r="F811" s="10" t="s">
        <v>159</v>
      </c>
      <c r="G811" s="111" t="n">
        <v>1309</v>
      </c>
      <c r="H811" s="152" t="n">
        <v>0</v>
      </c>
      <c r="I811" s="111">
        <f>G811*H811</f>
      </c>
      <c r="J811" s="153" t="s">
        <v>134</v>
      </c>
      <c r="K811" s="146"/>
      <c r="Z811" s="111">
        <f>IF(AQ811="5",BJ811,0)</f>
      </c>
      <c r="AB811" s="111">
        <f>IF(AQ811="1",BH811,0)</f>
      </c>
      <c r="AC811" s="111">
        <f>IF(AQ811="1",BI811,0)</f>
      </c>
      <c r="AD811" s="111">
        <f>IF(AQ811="7",BH811,0)</f>
      </c>
      <c r="AE811" s="111">
        <f>IF(AQ811="7",BI811,0)</f>
      </c>
      <c r="AF811" s="111">
        <f>IF(AQ811="2",BH811,0)</f>
      </c>
      <c r="AG811" s="111">
        <f>IF(AQ811="2",BI811,0)</f>
      </c>
      <c r="AH811" s="111">
        <f>IF(AQ811="0",BJ811,0)</f>
      </c>
      <c r="AI811" s="132" t="s">
        <v>84</v>
      </c>
      <c r="AJ811" s="111">
        <f>IF(AN811=0,I811,0)</f>
      </c>
      <c r="AK811" s="111">
        <f>IF(AN811=12,I811,0)</f>
      </c>
      <c r="AL811" s="111">
        <f>IF(AN811=21,I811,0)</f>
      </c>
      <c r="AN811" s="111" t="n">
        <v>21</v>
      </c>
      <c r="AO811" s="111">
        <f>H811*0</f>
      </c>
      <c r="AP811" s="111">
        <f>H811*(1-0)</f>
      </c>
      <c r="AQ811" s="153" t="s">
        <v>130</v>
      </c>
      <c r="AV811" s="111">
        <f>AW811+AX811</f>
      </c>
      <c r="AW811" s="111">
        <f>G811*AO811</f>
      </c>
      <c r="AX811" s="111">
        <f>G811*AP811</f>
      </c>
      <c r="AY811" s="153" t="s">
        <v>1366</v>
      </c>
      <c r="AZ811" s="153" t="s">
        <v>1326</v>
      </c>
      <c r="BA811" s="132" t="s">
        <v>137</v>
      </c>
      <c r="BC811" s="111">
        <f>AW811+AX811</f>
      </c>
      <c r="BD811" s="111">
        <f>H811/(100-BE811)*100</f>
      </c>
      <c r="BE811" s="111" t="n">
        <v>0</v>
      </c>
      <c r="BF811" s="111">
        <f>811</f>
      </c>
      <c r="BH811" s="111">
        <f>G811*AO811</f>
      </c>
      <c r="BI811" s="111">
        <f>G811*AP811</f>
      </c>
      <c r="BJ811" s="111">
        <f>G811*H811</f>
      </c>
      <c r="BK811" s="111"/>
      <c r="BL811" s="111" t="n">
        <v>94</v>
      </c>
      <c r="BW811" s="111" t="n">
        <v>21</v>
      </c>
      <c r="BX811" s="14" t="s">
        <v>1392</v>
      </c>
    </row>
    <row r="812">
      <c r="A812" s="154"/>
      <c r="B812" s="155"/>
      <c r="C812" s="155"/>
      <c r="D812" s="156" t="s">
        <v>1393</v>
      </c>
      <c r="E812" s="156" t="s">
        <v>985</v>
      </c>
      <c r="F812" s="155"/>
      <c r="G812" s="157" t="n">
        <v>1309</v>
      </c>
      <c r="H812" s="158"/>
      <c r="I812" s="155"/>
      <c r="J812" s="155"/>
      <c r="K812" s="146"/>
    </row>
    <row r="813">
      <c r="A813" s="9" t="s">
        <v>1394</v>
      </c>
      <c r="B813" s="10" t="s">
        <v>84</v>
      </c>
      <c r="C813" s="10" t="s">
        <v>1395</v>
      </c>
      <c r="D813" s="14" t="s">
        <v>1396</v>
      </c>
      <c r="E813" s="10"/>
      <c r="F813" s="10" t="s">
        <v>159</v>
      </c>
      <c r="G813" s="111" t="n">
        <v>2618</v>
      </c>
      <c r="H813" s="152" t="n">
        <v>0</v>
      </c>
      <c r="I813" s="111">
        <f>G813*H813</f>
      </c>
      <c r="J813" s="153" t="s">
        <v>134</v>
      </c>
      <c r="K813" s="146"/>
      <c r="Z813" s="111">
        <f>IF(AQ813="5",BJ813,0)</f>
      </c>
      <c r="AB813" s="111">
        <f>IF(AQ813="1",BH813,0)</f>
      </c>
      <c r="AC813" s="111">
        <f>IF(AQ813="1",BI813,0)</f>
      </c>
      <c r="AD813" s="111">
        <f>IF(AQ813="7",BH813,0)</f>
      </c>
      <c r="AE813" s="111">
        <f>IF(AQ813="7",BI813,0)</f>
      </c>
      <c r="AF813" s="111">
        <f>IF(AQ813="2",BH813,0)</f>
      </c>
      <c r="AG813" s="111">
        <f>IF(AQ813="2",BI813,0)</f>
      </c>
      <c r="AH813" s="111">
        <f>IF(AQ813="0",BJ813,0)</f>
      </c>
      <c r="AI813" s="132" t="s">
        <v>84</v>
      </c>
      <c r="AJ813" s="111">
        <f>IF(AN813=0,I813,0)</f>
      </c>
      <c r="AK813" s="111">
        <f>IF(AN813=12,I813,0)</f>
      </c>
      <c r="AL813" s="111">
        <f>IF(AN813=21,I813,0)</f>
      </c>
      <c r="AN813" s="111" t="n">
        <v>21</v>
      </c>
      <c r="AO813" s="111">
        <f>H813*0.942553191</f>
      </c>
      <c r="AP813" s="111">
        <f>H813*(1-0.942553191)</f>
      </c>
      <c r="AQ813" s="153" t="s">
        <v>130</v>
      </c>
      <c r="AV813" s="111">
        <f>AW813+AX813</f>
      </c>
      <c r="AW813" s="111">
        <f>G813*AO813</f>
      </c>
      <c r="AX813" s="111">
        <f>G813*AP813</f>
      </c>
      <c r="AY813" s="153" t="s">
        <v>1366</v>
      </c>
      <c r="AZ813" s="153" t="s">
        <v>1326</v>
      </c>
      <c r="BA813" s="132" t="s">
        <v>137</v>
      </c>
      <c r="BC813" s="111">
        <f>AW813+AX813</f>
      </c>
      <c r="BD813" s="111">
        <f>H813/(100-BE813)*100</f>
      </c>
      <c r="BE813" s="111" t="n">
        <v>0</v>
      </c>
      <c r="BF813" s="111">
        <f>813</f>
      </c>
      <c r="BH813" s="111">
        <f>G813*AO813</f>
      </c>
      <c r="BI813" s="111">
        <f>G813*AP813</f>
      </c>
      <c r="BJ813" s="111">
        <f>G813*H813</f>
      </c>
      <c r="BK813" s="111"/>
      <c r="BL813" s="111" t="n">
        <v>94</v>
      </c>
      <c r="BW813" s="111" t="n">
        <v>21</v>
      </c>
      <c r="BX813" s="14" t="s">
        <v>1396</v>
      </c>
    </row>
    <row r="814">
      <c r="A814" s="154"/>
      <c r="B814" s="155"/>
      <c r="C814" s="155"/>
      <c r="D814" s="156" t="s">
        <v>1397</v>
      </c>
      <c r="E814" s="156" t="s">
        <v>985</v>
      </c>
      <c r="F814" s="155"/>
      <c r="G814" s="157" t="n">
        <v>2618</v>
      </c>
      <c r="H814" s="158"/>
      <c r="I814" s="155"/>
      <c r="J814" s="155"/>
      <c r="K814" s="146"/>
    </row>
    <row r="815">
      <c r="A815" s="9" t="s">
        <v>1398</v>
      </c>
      <c r="B815" s="10" t="s">
        <v>84</v>
      </c>
      <c r="C815" s="10" t="s">
        <v>1399</v>
      </c>
      <c r="D815" s="14" t="s">
        <v>1400</v>
      </c>
      <c r="E815" s="10"/>
      <c r="F815" s="10" t="s">
        <v>159</v>
      </c>
      <c r="G815" s="111" t="n">
        <v>1309</v>
      </c>
      <c r="H815" s="152" t="n">
        <v>0</v>
      </c>
      <c r="I815" s="111">
        <f>G815*H815</f>
      </c>
      <c r="J815" s="153" t="s">
        <v>134</v>
      </c>
      <c r="K815" s="146"/>
      <c r="Z815" s="111">
        <f>IF(AQ815="5",BJ815,0)</f>
      </c>
      <c r="AB815" s="111">
        <f>IF(AQ815="1",BH815,0)</f>
      </c>
      <c r="AC815" s="111">
        <f>IF(AQ815="1",BI815,0)</f>
      </c>
      <c r="AD815" s="111">
        <f>IF(AQ815="7",BH815,0)</f>
      </c>
      <c r="AE815" s="111">
        <f>IF(AQ815="7",BI815,0)</f>
      </c>
      <c r="AF815" s="111">
        <f>IF(AQ815="2",BH815,0)</f>
      </c>
      <c r="AG815" s="111">
        <f>IF(AQ815="2",BI815,0)</f>
      </c>
      <c r="AH815" s="111">
        <f>IF(AQ815="0",BJ815,0)</f>
      </c>
      <c r="AI815" s="132" t="s">
        <v>84</v>
      </c>
      <c r="AJ815" s="111">
        <f>IF(AN815=0,I815,0)</f>
      </c>
      <c r="AK815" s="111">
        <f>IF(AN815=12,I815,0)</f>
      </c>
      <c r="AL815" s="111">
        <f>IF(AN815=21,I815,0)</f>
      </c>
      <c r="AN815" s="111" t="n">
        <v>21</v>
      </c>
      <c r="AO815" s="111">
        <f>H815*0</f>
      </c>
      <c r="AP815" s="111">
        <f>H815*(1-0)</f>
      </c>
      <c r="AQ815" s="153" t="s">
        <v>130</v>
      </c>
      <c r="AV815" s="111">
        <f>AW815+AX815</f>
      </c>
      <c r="AW815" s="111">
        <f>G815*AO815</f>
      </c>
      <c r="AX815" s="111">
        <f>G815*AP815</f>
      </c>
      <c r="AY815" s="153" t="s">
        <v>1366</v>
      </c>
      <c r="AZ815" s="153" t="s">
        <v>1326</v>
      </c>
      <c r="BA815" s="132" t="s">
        <v>137</v>
      </c>
      <c r="BC815" s="111">
        <f>AW815+AX815</f>
      </c>
      <c r="BD815" s="111">
        <f>H815/(100-BE815)*100</f>
      </c>
      <c r="BE815" s="111" t="n">
        <v>0</v>
      </c>
      <c r="BF815" s="111">
        <f>815</f>
      </c>
      <c r="BH815" s="111">
        <f>G815*AO815</f>
      </c>
      <c r="BI815" s="111">
        <f>G815*AP815</f>
      </c>
      <c r="BJ815" s="111">
        <f>G815*H815</f>
      </c>
      <c r="BK815" s="111"/>
      <c r="BL815" s="111" t="n">
        <v>94</v>
      </c>
      <c r="BW815" s="111" t="n">
        <v>21</v>
      </c>
      <c r="BX815" s="14" t="s">
        <v>1400</v>
      </c>
    </row>
    <row r="816">
      <c r="A816" s="154"/>
      <c r="B816" s="155"/>
      <c r="C816" s="155"/>
      <c r="D816" s="156" t="s">
        <v>1393</v>
      </c>
      <c r="E816" s="156" t="s">
        <v>985</v>
      </c>
      <c r="F816" s="155"/>
      <c r="G816" s="157" t="n">
        <v>1309</v>
      </c>
      <c r="H816" s="158"/>
      <c r="I816" s="155"/>
      <c r="J816" s="155"/>
      <c r="K816" s="146"/>
    </row>
    <row r="817">
      <c r="A817" s="9" t="s">
        <v>1401</v>
      </c>
      <c r="B817" s="10" t="s">
        <v>84</v>
      </c>
      <c r="C817" s="10" t="s">
        <v>1402</v>
      </c>
      <c r="D817" s="14" t="s">
        <v>1403</v>
      </c>
      <c r="E817" s="10"/>
      <c r="F817" s="10" t="s">
        <v>145</v>
      </c>
      <c r="G817" s="111" t="n">
        <v>264</v>
      </c>
      <c r="H817" s="152" t="n">
        <v>0</v>
      </c>
      <c r="I817" s="111">
        <f>G817*H817</f>
      </c>
      <c r="J817" s="153" t="s">
        <v>134</v>
      </c>
      <c r="K817" s="146"/>
      <c r="Z817" s="111">
        <f>IF(AQ817="5",BJ817,0)</f>
      </c>
      <c r="AB817" s="111">
        <f>IF(AQ817="1",BH817,0)</f>
      </c>
      <c r="AC817" s="111">
        <f>IF(AQ817="1",BI817,0)</f>
      </c>
      <c r="AD817" s="111">
        <f>IF(AQ817="7",BH817,0)</f>
      </c>
      <c r="AE817" s="111">
        <f>IF(AQ817="7",BI817,0)</f>
      </c>
      <c r="AF817" s="111">
        <f>IF(AQ817="2",BH817,0)</f>
      </c>
      <c r="AG817" s="111">
        <f>IF(AQ817="2",BI817,0)</f>
      </c>
      <c r="AH817" s="111">
        <f>IF(AQ817="0",BJ817,0)</f>
      </c>
      <c r="AI817" s="132" t="s">
        <v>84</v>
      </c>
      <c r="AJ817" s="111">
        <f>IF(AN817=0,I817,0)</f>
      </c>
      <c r="AK817" s="111">
        <f>IF(AN817=12,I817,0)</f>
      </c>
      <c r="AL817" s="111">
        <f>IF(AN817=21,I817,0)</f>
      </c>
      <c r="AN817" s="111" t="n">
        <v>21</v>
      </c>
      <c r="AO817" s="111">
        <f>H817*0.000146199</f>
      </c>
      <c r="AP817" s="111">
        <f>H817*(1-0.000146199)</f>
      </c>
      <c r="AQ817" s="153" t="s">
        <v>130</v>
      </c>
      <c r="AV817" s="111">
        <f>AW817+AX817</f>
      </c>
      <c r="AW817" s="111">
        <f>G817*AO817</f>
      </c>
      <c r="AX817" s="111">
        <f>G817*AP817</f>
      </c>
      <c r="AY817" s="153" t="s">
        <v>1366</v>
      </c>
      <c r="AZ817" s="153" t="s">
        <v>1326</v>
      </c>
      <c r="BA817" s="132" t="s">
        <v>137</v>
      </c>
      <c r="BC817" s="111">
        <f>AW817+AX817</f>
      </c>
      <c r="BD817" s="111">
        <f>H817/(100-BE817)*100</f>
      </c>
      <c r="BE817" s="111" t="n">
        <v>0</v>
      </c>
      <c r="BF817" s="111">
        <f>817</f>
      </c>
      <c r="BH817" s="111">
        <f>G817*AO817</f>
      </c>
      <c r="BI817" s="111">
        <f>G817*AP817</f>
      </c>
      <c r="BJ817" s="111">
        <f>G817*H817</f>
      </c>
      <c r="BK817" s="111"/>
      <c r="BL817" s="111" t="n">
        <v>94</v>
      </c>
      <c r="BW817" s="111" t="n">
        <v>21</v>
      </c>
      <c r="BX817" s="14" t="s">
        <v>1403</v>
      </c>
    </row>
    <row r="818">
      <c r="A818" s="154"/>
      <c r="B818" s="155"/>
      <c r="C818" s="155"/>
      <c r="D818" s="156" t="s">
        <v>1404</v>
      </c>
      <c r="E818" s="156" t="s">
        <v>985</v>
      </c>
      <c r="F818" s="155"/>
      <c r="G818" s="157" t="n">
        <v>264</v>
      </c>
      <c r="H818" s="158"/>
      <c r="I818" s="155"/>
      <c r="J818" s="155"/>
      <c r="K818" s="146"/>
    </row>
    <row r="819">
      <c r="A819" s="9" t="s">
        <v>1405</v>
      </c>
      <c r="B819" s="10" t="s">
        <v>84</v>
      </c>
      <c r="C819" s="10" t="s">
        <v>1406</v>
      </c>
      <c r="D819" s="14" t="s">
        <v>1407</v>
      </c>
      <c r="E819" s="10"/>
      <c r="F819" s="10" t="s">
        <v>145</v>
      </c>
      <c r="G819" s="111" t="n">
        <v>15840</v>
      </c>
      <c r="H819" s="152" t="n">
        <v>0</v>
      </c>
      <c r="I819" s="111">
        <f>G819*H819</f>
      </c>
      <c r="J819" s="153" t="s">
        <v>134</v>
      </c>
      <c r="K819" s="146"/>
      <c r="Z819" s="111">
        <f>IF(AQ819="5",BJ819,0)</f>
      </c>
      <c r="AB819" s="111">
        <f>IF(AQ819="1",BH819,0)</f>
      </c>
      <c r="AC819" s="111">
        <f>IF(AQ819="1",BI819,0)</f>
      </c>
      <c r="AD819" s="111">
        <f>IF(AQ819="7",BH819,0)</f>
      </c>
      <c r="AE819" s="111">
        <f>IF(AQ819="7",BI819,0)</f>
      </c>
      <c r="AF819" s="111">
        <f>IF(AQ819="2",BH819,0)</f>
      </c>
      <c r="AG819" s="111">
        <f>IF(AQ819="2",BI819,0)</f>
      </c>
      <c r="AH819" s="111">
        <f>IF(AQ819="0",BJ819,0)</f>
      </c>
      <c r="AI819" s="132" t="s">
        <v>84</v>
      </c>
      <c r="AJ819" s="111">
        <f>IF(AN819=0,I819,0)</f>
      </c>
      <c r="AK819" s="111">
        <f>IF(AN819=12,I819,0)</f>
      </c>
      <c r="AL819" s="111">
        <f>IF(AN819=21,I819,0)</f>
      </c>
      <c r="AN819" s="111" t="n">
        <v>21</v>
      </c>
      <c r="AO819" s="111">
        <f>H819*0</f>
      </c>
      <c r="AP819" s="111">
        <f>H819*(1-0)</f>
      </c>
      <c r="AQ819" s="153" t="s">
        <v>130</v>
      </c>
      <c r="AV819" s="111">
        <f>AW819+AX819</f>
      </c>
      <c r="AW819" s="111">
        <f>G819*AO819</f>
      </c>
      <c r="AX819" s="111">
        <f>G819*AP819</f>
      </c>
      <c r="AY819" s="153" t="s">
        <v>1366</v>
      </c>
      <c r="AZ819" s="153" t="s">
        <v>1326</v>
      </c>
      <c r="BA819" s="132" t="s">
        <v>137</v>
      </c>
      <c r="BC819" s="111">
        <f>AW819+AX819</f>
      </c>
      <c r="BD819" s="111">
        <f>H819/(100-BE819)*100</f>
      </c>
      <c r="BE819" s="111" t="n">
        <v>0</v>
      </c>
      <c r="BF819" s="111">
        <f>819</f>
      </c>
      <c r="BH819" s="111">
        <f>G819*AO819</f>
      </c>
      <c r="BI819" s="111">
        <f>G819*AP819</f>
      </c>
      <c r="BJ819" s="111">
        <f>G819*H819</f>
      </c>
      <c r="BK819" s="111"/>
      <c r="BL819" s="111" t="n">
        <v>94</v>
      </c>
      <c r="BW819" s="111" t="n">
        <v>21</v>
      </c>
      <c r="BX819" s="14" t="s">
        <v>1407</v>
      </c>
    </row>
    <row r="820">
      <c r="A820" s="154"/>
      <c r="B820" s="155"/>
      <c r="C820" s="155"/>
      <c r="D820" s="156" t="s">
        <v>1408</v>
      </c>
      <c r="E820" s="156" t="s">
        <v>1409</v>
      </c>
      <c r="F820" s="155"/>
      <c r="G820" s="157" t="n">
        <v>15840</v>
      </c>
      <c r="H820" s="158"/>
      <c r="I820" s="155"/>
      <c r="J820" s="155"/>
      <c r="K820" s="146"/>
    </row>
    <row r="821">
      <c r="A821" s="9" t="s">
        <v>1410</v>
      </c>
      <c r="B821" s="10" t="s">
        <v>84</v>
      </c>
      <c r="C821" s="10" t="s">
        <v>1411</v>
      </c>
      <c r="D821" s="14" t="s">
        <v>1412</v>
      </c>
      <c r="E821" s="10"/>
      <c r="F821" s="10" t="s">
        <v>145</v>
      </c>
      <c r="G821" s="111" t="n">
        <v>264</v>
      </c>
      <c r="H821" s="152" t="n">
        <v>0</v>
      </c>
      <c r="I821" s="111">
        <f>G821*H821</f>
      </c>
      <c r="J821" s="153" t="s">
        <v>134</v>
      </c>
      <c r="K821" s="146"/>
      <c r="Z821" s="111">
        <f>IF(AQ821="5",BJ821,0)</f>
      </c>
      <c r="AB821" s="111">
        <f>IF(AQ821="1",BH821,0)</f>
      </c>
      <c r="AC821" s="111">
        <f>IF(AQ821="1",BI821,0)</f>
      </c>
      <c r="AD821" s="111">
        <f>IF(AQ821="7",BH821,0)</f>
      </c>
      <c r="AE821" s="111">
        <f>IF(AQ821="7",BI821,0)</f>
      </c>
      <c r="AF821" s="111">
        <f>IF(AQ821="2",BH821,0)</f>
      </c>
      <c r="AG821" s="111">
        <f>IF(AQ821="2",BI821,0)</f>
      </c>
      <c r="AH821" s="111">
        <f>IF(AQ821="0",BJ821,0)</f>
      </c>
      <c r="AI821" s="132" t="s">
        <v>84</v>
      </c>
      <c r="AJ821" s="111">
        <f>IF(AN821=0,I821,0)</f>
      </c>
      <c r="AK821" s="111">
        <f>IF(AN821=12,I821,0)</f>
      </c>
      <c r="AL821" s="111">
        <f>IF(AN821=21,I821,0)</f>
      </c>
      <c r="AN821" s="111" t="n">
        <v>21</v>
      </c>
      <c r="AO821" s="111">
        <f>H821*0</f>
      </c>
      <c r="AP821" s="111">
        <f>H821*(1-0)</f>
      </c>
      <c r="AQ821" s="153" t="s">
        <v>130</v>
      </c>
      <c r="AV821" s="111">
        <f>AW821+AX821</f>
      </c>
      <c r="AW821" s="111">
        <f>G821*AO821</f>
      </c>
      <c r="AX821" s="111">
        <f>G821*AP821</f>
      </c>
      <c r="AY821" s="153" t="s">
        <v>1366</v>
      </c>
      <c r="AZ821" s="153" t="s">
        <v>1326</v>
      </c>
      <c r="BA821" s="132" t="s">
        <v>137</v>
      </c>
      <c r="BC821" s="111">
        <f>AW821+AX821</f>
      </c>
      <c r="BD821" s="111">
        <f>H821/(100-BE821)*100</f>
      </c>
      <c r="BE821" s="111" t="n">
        <v>0</v>
      </c>
      <c r="BF821" s="111">
        <f>821</f>
      </c>
      <c r="BH821" s="111">
        <f>G821*AO821</f>
      </c>
      <c r="BI821" s="111">
        <f>G821*AP821</f>
      </c>
      <c r="BJ821" s="111">
        <f>G821*H821</f>
      </c>
      <c r="BK821" s="111"/>
      <c r="BL821" s="111" t="n">
        <v>94</v>
      </c>
      <c r="BW821" s="111" t="n">
        <v>21</v>
      </c>
      <c r="BX821" s="14" t="s">
        <v>1412</v>
      </c>
    </row>
    <row r="822">
      <c r="A822" s="154"/>
      <c r="B822" s="155"/>
      <c r="C822" s="155"/>
      <c r="D822" s="156" t="s">
        <v>1404</v>
      </c>
      <c r="E822" s="156" t="s">
        <v>985</v>
      </c>
      <c r="F822" s="155"/>
      <c r="G822" s="157" t="n">
        <v>264</v>
      </c>
      <c r="H822" s="158"/>
      <c r="I822" s="155"/>
      <c r="J822" s="155"/>
      <c r="K822" s="146"/>
    </row>
    <row r="823">
      <c r="A823" s="9" t="s">
        <v>1413</v>
      </c>
      <c r="B823" s="10" t="s">
        <v>84</v>
      </c>
      <c r="C823" s="10" t="s">
        <v>1414</v>
      </c>
      <c r="D823" s="14" t="s">
        <v>1415</v>
      </c>
      <c r="E823" s="10"/>
      <c r="F823" s="10" t="s">
        <v>1416</v>
      </c>
      <c r="G823" s="111" t="n">
        <v>2</v>
      </c>
      <c r="H823" s="152" t="n">
        <v>0</v>
      </c>
      <c r="I823" s="111">
        <f>G823*H823</f>
      </c>
      <c r="J823" s="153" t="s">
        <v>134</v>
      </c>
      <c r="K823" s="146"/>
      <c r="Z823" s="111">
        <f>IF(AQ823="5",BJ823,0)</f>
      </c>
      <c r="AB823" s="111">
        <f>IF(AQ823="1",BH823,0)</f>
      </c>
      <c r="AC823" s="111">
        <f>IF(AQ823="1",BI823,0)</f>
      </c>
      <c r="AD823" s="111">
        <f>IF(AQ823="7",BH823,0)</f>
      </c>
      <c r="AE823" s="111">
        <f>IF(AQ823="7",BI823,0)</f>
      </c>
      <c r="AF823" s="111">
        <f>IF(AQ823="2",BH823,0)</f>
      </c>
      <c r="AG823" s="111">
        <f>IF(AQ823="2",BI823,0)</f>
      </c>
      <c r="AH823" s="111">
        <f>IF(AQ823="0",BJ823,0)</f>
      </c>
      <c r="AI823" s="132" t="s">
        <v>84</v>
      </c>
      <c r="AJ823" s="111">
        <f>IF(AN823=0,I823,0)</f>
      </c>
      <c r="AK823" s="111">
        <f>IF(AN823=12,I823,0)</f>
      </c>
      <c r="AL823" s="111">
        <f>IF(AN823=21,I823,0)</f>
      </c>
      <c r="AN823" s="111" t="n">
        <v>21</v>
      </c>
      <c r="AO823" s="111">
        <f>H823*0</f>
      </c>
      <c r="AP823" s="111">
        <f>H823*(1-0)</f>
      </c>
      <c r="AQ823" s="153" t="s">
        <v>130</v>
      </c>
      <c r="AV823" s="111">
        <f>AW823+AX823</f>
      </c>
      <c r="AW823" s="111">
        <f>G823*AO823</f>
      </c>
      <c r="AX823" s="111">
        <f>G823*AP823</f>
      </c>
      <c r="AY823" s="153" t="s">
        <v>1366</v>
      </c>
      <c r="AZ823" s="153" t="s">
        <v>1326</v>
      </c>
      <c r="BA823" s="132" t="s">
        <v>137</v>
      </c>
      <c r="BC823" s="111">
        <f>AW823+AX823</f>
      </c>
      <c r="BD823" s="111">
        <f>H823/(100-BE823)*100</f>
      </c>
      <c r="BE823" s="111" t="n">
        <v>0</v>
      </c>
      <c r="BF823" s="111">
        <f>823</f>
      </c>
      <c r="BH823" s="111">
        <f>G823*AO823</f>
      </c>
      <c r="BI823" s="111">
        <f>G823*AP823</f>
      </c>
      <c r="BJ823" s="111">
        <f>G823*H823</f>
      </c>
      <c r="BK823" s="111"/>
      <c r="BL823" s="111" t="n">
        <v>94</v>
      </c>
      <c r="BW823" s="111" t="n">
        <v>21</v>
      </c>
      <c r="BX823" s="14" t="s">
        <v>1415</v>
      </c>
    </row>
    <row r="824">
      <c r="A824" s="154"/>
      <c r="B824" s="155"/>
      <c r="C824" s="155"/>
      <c r="D824" s="156" t="s">
        <v>140</v>
      </c>
      <c r="E824" s="156" t="s">
        <v>1417</v>
      </c>
      <c r="F824" s="155"/>
      <c r="G824" s="157" t="n">
        <v>2</v>
      </c>
      <c r="H824" s="158"/>
      <c r="I824" s="155"/>
      <c r="J824" s="155"/>
      <c r="K824" s="146"/>
    </row>
    <row r="825">
      <c r="A825" s="9" t="s">
        <v>1418</v>
      </c>
      <c r="B825" s="10" t="s">
        <v>84</v>
      </c>
      <c r="C825" s="10" t="s">
        <v>1419</v>
      </c>
      <c r="D825" s="14" t="s">
        <v>1420</v>
      </c>
      <c r="E825" s="10"/>
      <c r="F825" s="10" t="s">
        <v>1421</v>
      </c>
      <c r="G825" s="111" t="n">
        <v>2</v>
      </c>
      <c r="H825" s="152" t="n">
        <v>0</v>
      </c>
      <c r="I825" s="111">
        <f>G825*H825</f>
      </c>
      <c r="J825" s="153" t="s">
        <v>134</v>
      </c>
      <c r="K825" s="146"/>
      <c r="Z825" s="111">
        <f>IF(AQ825="5",BJ825,0)</f>
      </c>
      <c r="AB825" s="111">
        <f>IF(AQ825="1",BH825,0)</f>
      </c>
      <c r="AC825" s="111">
        <f>IF(AQ825="1",BI825,0)</f>
      </c>
      <c r="AD825" s="111">
        <f>IF(AQ825="7",BH825,0)</f>
      </c>
      <c r="AE825" s="111">
        <f>IF(AQ825="7",BI825,0)</f>
      </c>
      <c r="AF825" s="111">
        <f>IF(AQ825="2",BH825,0)</f>
      </c>
      <c r="AG825" s="111">
        <f>IF(AQ825="2",BI825,0)</f>
      </c>
      <c r="AH825" s="111">
        <f>IF(AQ825="0",BJ825,0)</f>
      </c>
      <c r="AI825" s="132" t="s">
        <v>84</v>
      </c>
      <c r="AJ825" s="111">
        <f>IF(AN825=0,I825,0)</f>
      </c>
      <c r="AK825" s="111">
        <f>IF(AN825=12,I825,0)</f>
      </c>
      <c r="AL825" s="111">
        <f>IF(AN825=21,I825,0)</f>
      </c>
      <c r="AN825" s="111" t="n">
        <v>21</v>
      </c>
      <c r="AO825" s="111">
        <f>H825*0</f>
      </c>
      <c r="AP825" s="111">
        <f>H825*(1-0)</f>
      </c>
      <c r="AQ825" s="153" t="s">
        <v>130</v>
      </c>
      <c r="AV825" s="111">
        <f>AW825+AX825</f>
      </c>
      <c r="AW825" s="111">
        <f>G825*AO825</f>
      </c>
      <c r="AX825" s="111">
        <f>G825*AP825</f>
      </c>
      <c r="AY825" s="153" t="s">
        <v>1366</v>
      </c>
      <c r="AZ825" s="153" t="s">
        <v>1326</v>
      </c>
      <c r="BA825" s="132" t="s">
        <v>137</v>
      </c>
      <c r="BC825" s="111">
        <f>AW825+AX825</f>
      </c>
      <c r="BD825" s="111">
        <f>H825/(100-BE825)*100</f>
      </c>
      <c r="BE825" s="111" t="n">
        <v>0</v>
      </c>
      <c r="BF825" s="111">
        <f>825</f>
      </c>
      <c r="BH825" s="111">
        <f>G825*AO825</f>
      </c>
      <c r="BI825" s="111">
        <f>G825*AP825</f>
      </c>
      <c r="BJ825" s="111">
        <f>G825*H825</f>
      </c>
      <c r="BK825" s="111"/>
      <c r="BL825" s="111" t="n">
        <v>94</v>
      </c>
      <c r="BW825" s="111" t="n">
        <v>21</v>
      </c>
      <c r="BX825" s="14" t="s">
        <v>1420</v>
      </c>
    </row>
    <row r="826" customHeight="true" ht="13.5">
      <c r="A826" s="159"/>
      <c r="C826" s="160" t="s">
        <v>146</v>
      </c>
      <c r="D826" s="161" t="s">
        <v>1422</v>
      </c>
      <c r="E826" s="156"/>
      <c r="F826" s="156"/>
      <c r="G826" s="156"/>
      <c r="H826" s="162"/>
      <c r="I826" s="156"/>
      <c r="J826" s="156"/>
      <c r="K826" s="163"/>
    </row>
    <row r="827">
      <c r="A827" s="154"/>
      <c r="B827" s="155"/>
      <c r="C827" s="155"/>
      <c r="D827" s="156" t="s">
        <v>140</v>
      </c>
      <c r="E827" s="156" t="s">
        <v>1417</v>
      </c>
      <c r="F827" s="155"/>
      <c r="G827" s="157" t="n">
        <v>2</v>
      </c>
      <c r="H827" s="158"/>
      <c r="I827" s="155"/>
      <c r="J827" s="155"/>
      <c r="K827" s="146"/>
    </row>
    <row r="828">
      <c r="A828" s="9" t="s">
        <v>1423</v>
      </c>
      <c r="B828" s="10" t="s">
        <v>84</v>
      </c>
      <c r="C828" s="10" t="s">
        <v>1424</v>
      </c>
      <c r="D828" s="14" t="s">
        <v>1425</v>
      </c>
      <c r="E828" s="10"/>
      <c r="F828" s="10" t="s">
        <v>1421</v>
      </c>
      <c r="G828" s="111" t="n">
        <v>2</v>
      </c>
      <c r="H828" s="152" t="n">
        <v>0</v>
      </c>
      <c r="I828" s="111">
        <f>G828*H828</f>
      </c>
      <c r="J828" s="153" t="s">
        <v>134</v>
      </c>
      <c r="K828" s="146"/>
      <c r="Z828" s="111">
        <f>IF(AQ828="5",BJ828,0)</f>
      </c>
      <c r="AB828" s="111">
        <f>IF(AQ828="1",BH828,0)</f>
      </c>
      <c r="AC828" s="111">
        <f>IF(AQ828="1",BI828,0)</f>
      </c>
      <c r="AD828" s="111">
        <f>IF(AQ828="7",BH828,0)</f>
      </c>
      <c r="AE828" s="111">
        <f>IF(AQ828="7",BI828,0)</f>
      </c>
      <c r="AF828" s="111">
        <f>IF(AQ828="2",BH828,0)</f>
      </c>
      <c r="AG828" s="111">
        <f>IF(AQ828="2",BI828,0)</f>
      </c>
      <c r="AH828" s="111">
        <f>IF(AQ828="0",BJ828,0)</f>
      </c>
      <c r="AI828" s="132" t="s">
        <v>84</v>
      </c>
      <c r="AJ828" s="111">
        <f>IF(AN828=0,I828,0)</f>
      </c>
      <c r="AK828" s="111">
        <f>IF(AN828=12,I828,0)</f>
      </c>
      <c r="AL828" s="111">
        <f>IF(AN828=21,I828,0)</f>
      </c>
      <c r="AN828" s="111" t="n">
        <v>21</v>
      </c>
      <c r="AO828" s="111">
        <f>H828*0</f>
      </c>
      <c r="AP828" s="111">
        <f>H828*(1-0)</f>
      </c>
      <c r="AQ828" s="153" t="s">
        <v>130</v>
      </c>
      <c r="AV828" s="111">
        <f>AW828+AX828</f>
      </c>
      <c r="AW828" s="111">
        <f>G828*AO828</f>
      </c>
      <c r="AX828" s="111">
        <f>G828*AP828</f>
      </c>
      <c r="AY828" s="153" t="s">
        <v>1366</v>
      </c>
      <c r="AZ828" s="153" t="s">
        <v>1326</v>
      </c>
      <c r="BA828" s="132" t="s">
        <v>137</v>
      </c>
      <c r="BC828" s="111">
        <f>AW828+AX828</f>
      </c>
      <c r="BD828" s="111">
        <f>H828/(100-BE828)*100</f>
      </c>
      <c r="BE828" s="111" t="n">
        <v>0</v>
      </c>
      <c r="BF828" s="111">
        <f>828</f>
      </c>
      <c r="BH828" s="111">
        <f>G828*AO828</f>
      </c>
      <c r="BI828" s="111">
        <f>G828*AP828</f>
      </c>
      <c r="BJ828" s="111">
        <f>G828*H828</f>
      </c>
      <c r="BK828" s="111"/>
      <c r="BL828" s="111" t="n">
        <v>94</v>
      </c>
      <c r="BW828" s="111" t="n">
        <v>21</v>
      </c>
      <c r="BX828" s="14" t="s">
        <v>1425</v>
      </c>
    </row>
    <row r="829" customHeight="true" ht="13.5">
      <c r="A829" s="159"/>
      <c r="C829" s="160" t="s">
        <v>146</v>
      </c>
      <c r="D829" s="161" t="s">
        <v>1426</v>
      </c>
      <c r="E829" s="156"/>
      <c r="F829" s="156"/>
      <c r="G829" s="156"/>
      <c r="H829" s="162"/>
      <c r="I829" s="156"/>
      <c r="J829" s="156"/>
      <c r="K829" s="163"/>
    </row>
    <row r="830">
      <c r="A830" s="154"/>
      <c r="B830" s="155"/>
      <c r="C830" s="155"/>
      <c r="D830" s="156" t="s">
        <v>140</v>
      </c>
      <c r="E830" s="156" t="s">
        <v>1417</v>
      </c>
      <c r="F830" s="155"/>
      <c r="G830" s="157" t="n">
        <v>2</v>
      </c>
      <c r="H830" s="158"/>
      <c r="I830" s="155"/>
      <c r="J830" s="155"/>
      <c r="K830" s="146"/>
    </row>
    <row r="831">
      <c r="A831" s="9" t="s">
        <v>1427</v>
      </c>
      <c r="B831" s="10" t="s">
        <v>84</v>
      </c>
      <c r="C831" s="10" t="s">
        <v>1428</v>
      </c>
      <c r="D831" s="14" t="s">
        <v>1429</v>
      </c>
      <c r="E831" s="10"/>
      <c r="F831" s="10" t="s">
        <v>1430</v>
      </c>
      <c r="G831" s="111" t="n">
        <v>60</v>
      </c>
      <c r="H831" s="152" t="n">
        <v>0</v>
      </c>
      <c r="I831" s="111">
        <f>G831*H831</f>
      </c>
      <c r="J831" s="153" t="s">
        <v>134</v>
      </c>
      <c r="K831" s="146"/>
      <c r="Z831" s="111">
        <f>IF(AQ831="5",BJ831,0)</f>
      </c>
      <c r="AB831" s="111">
        <f>IF(AQ831="1",BH831,0)</f>
      </c>
      <c r="AC831" s="111">
        <f>IF(AQ831="1",BI831,0)</f>
      </c>
      <c r="AD831" s="111">
        <f>IF(AQ831="7",BH831,0)</f>
      </c>
      <c r="AE831" s="111">
        <f>IF(AQ831="7",BI831,0)</f>
      </c>
      <c r="AF831" s="111">
        <f>IF(AQ831="2",BH831,0)</f>
      </c>
      <c r="AG831" s="111">
        <f>IF(AQ831="2",BI831,0)</f>
      </c>
      <c r="AH831" s="111">
        <f>IF(AQ831="0",BJ831,0)</f>
      </c>
      <c r="AI831" s="132" t="s">
        <v>84</v>
      </c>
      <c r="AJ831" s="111">
        <f>IF(AN831=0,I831,0)</f>
      </c>
      <c r="AK831" s="111">
        <f>IF(AN831=12,I831,0)</f>
      </c>
      <c r="AL831" s="111">
        <f>IF(AN831=21,I831,0)</f>
      </c>
      <c r="AN831" s="111" t="n">
        <v>21</v>
      </c>
      <c r="AO831" s="111">
        <f>H831*0</f>
      </c>
      <c r="AP831" s="111">
        <f>H831*(1-0)</f>
      </c>
      <c r="AQ831" s="153" t="s">
        <v>130</v>
      </c>
      <c r="AV831" s="111">
        <f>AW831+AX831</f>
      </c>
      <c r="AW831" s="111">
        <f>G831*AO831</f>
      </c>
      <c r="AX831" s="111">
        <f>G831*AP831</f>
      </c>
      <c r="AY831" s="153" t="s">
        <v>1366</v>
      </c>
      <c r="AZ831" s="153" t="s">
        <v>1326</v>
      </c>
      <c r="BA831" s="132" t="s">
        <v>137</v>
      </c>
      <c r="BC831" s="111">
        <f>AW831+AX831</f>
      </c>
      <c r="BD831" s="111">
        <f>H831/(100-BE831)*100</f>
      </c>
      <c r="BE831" s="111" t="n">
        <v>0</v>
      </c>
      <c r="BF831" s="111">
        <f>831</f>
      </c>
      <c r="BH831" s="111">
        <f>G831*AO831</f>
      </c>
      <c r="BI831" s="111">
        <f>G831*AP831</f>
      </c>
      <c r="BJ831" s="111">
        <f>G831*H831</f>
      </c>
      <c r="BK831" s="111"/>
      <c r="BL831" s="111" t="n">
        <v>94</v>
      </c>
      <c r="BW831" s="111" t="n">
        <v>21</v>
      </c>
      <c r="BX831" s="14" t="s">
        <v>1429</v>
      </c>
    </row>
    <row r="832" customHeight="true" ht="13.5">
      <c r="A832" s="159"/>
      <c r="C832" s="160" t="s">
        <v>146</v>
      </c>
      <c r="D832" s="161" t="s">
        <v>1422</v>
      </c>
      <c r="E832" s="156"/>
      <c r="F832" s="156"/>
      <c r="G832" s="156"/>
      <c r="H832" s="162"/>
      <c r="I832" s="156"/>
      <c r="J832" s="156"/>
      <c r="K832" s="163"/>
    </row>
    <row r="833">
      <c r="A833" s="154"/>
      <c r="B833" s="155"/>
      <c r="C833" s="155"/>
      <c r="D833" s="156" t="s">
        <v>1431</v>
      </c>
      <c r="E833" s="156" t="s">
        <v>985</v>
      </c>
      <c r="F833" s="155"/>
      <c r="G833" s="157" t="n">
        <v>60</v>
      </c>
      <c r="H833" s="158"/>
      <c r="I833" s="155"/>
      <c r="J833" s="155"/>
      <c r="K833" s="146"/>
    </row>
    <row r="834">
      <c r="A834" s="147" t="s">
        <v>4</v>
      </c>
      <c r="B834" s="148" t="s">
        <v>84</v>
      </c>
      <c r="C834" s="148" t="s">
        <v>765</v>
      </c>
      <c r="D834" s="149" t="s">
        <v>1432</v>
      </c>
      <c r="E834" s="148"/>
      <c r="F834" s="150" t="s">
        <v>79</v>
      </c>
      <c r="G834" s="150" t="s">
        <v>79</v>
      </c>
      <c r="H834" s="151" t="s">
        <v>79</v>
      </c>
      <c r="I834" s="117">
        <f>SUM(I835:I854)</f>
      </c>
      <c r="J834" s="132" t="s">
        <v>4</v>
      </c>
      <c r="K834" s="146"/>
      <c r="AI834" s="132" t="s">
        <v>84</v>
      </c>
      <c r="AS834" s="117">
        <f>SUM(AJ835:AJ854)</f>
      </c>
      <c r="AT834" s="117">
        <f>SUM(AK835:AK854)</f>
      </c>
      <c r="AU834" s="117">
        <f>SUM(AL835:AL854)</f>
      </c>
    </row>
    <row r="835">
      <c r="A835" s="9" t="s">
        <v>1433</v>
      </c>
      <c r="B835" s="10" t="s">
        <v>84</v>
      </c>
      <c r="C835" s="10" t="s">
        <v>1434</v>
      </c>
      <c r="D835" s="14" t="s">
        <v>1435</v>
      </c>
      <c r="E835" s="10"/>
      <c r="F835" s="10" t="s">
        <v>133</v>
      </c>
      <c r="G835" s="111" t="n">
        <v>5</v>
      </c>
      <c r="H835" s="152" t="n">
        <v>0</v>
      </c>
      <c r="I835" s="111">
        <f>G835*H835</f>
      </c>
      <c r="J835" s="153" t="s">
        <v>134</v>
      </c>
      <c r="K835" s="146"/>
      <c r="Z835" s="111">
        <f>IF(AQ835="5",BJ835,0)</f>
      </c>
      <c r="AB835" s="111">
        <f>IF(AQ835="1",BH835,0)</f>
      </c>
      <c r="AC835" s="111">
        <f>IF(AQ835="1",BI835,0)</f>
      </c>
      <c r="AD835" s="111">
        <f>IF(AQ835="7",BH835,0)</f>
      </c>
      <c r="AE835" s="111">
        <f>IF(AQ835="7",BI835,0)</f>
      </c>
      <c r="AF835" s="111">
        <f>IF(AQ835="2",BH835,0)</f>
      </c>
      <c r="AG835" s="111">
        <f>IF(AQ835="2",BI835,0)</f>
      </c>
      <c r="AH835" s="111">
        <f>IF(AQ835="0",BJ835,0)</f>
      </c>
      <c r="AI835" s="132" t="s">
        <v>84</v>
      </c>
      <c r="AJ835" s="111">
        <f>IF(AN835=0,I835,0)</f>
      </c>
      <c r="AK835" s="111">
        <f>IF(AN835=12,I835,0)</f>
      </c>
      <c r="AL835" s="111">
        <f>IF(AN835=21,I835,0)</f>
      </c>
      <c r="AN835" s="111" t="n">
        <v>21</v>
      </c>
      <c r="AO835" s="111">
        <f>H835*0.168108108</f>
      </c>
      <c r="AP835" s="111">
        <f>H835*(1-0.168108108)</f>
      </c>
      <c r="AQ835" s="153" t="s">
        <v>130</v>
      </c>
      <c r="AV835" s="111">
        <f>AW835+AX835</f>
      </c>
      <c r="AW835" s="111">
        <f>G835*AO835</f>
      </c>
      <c r="AX835" s="111">
        <f>G835*AP835</f>
      </c>
      <c r="AY835" s="153" t="s">
        <v>1436</v>
      </c>
      <c r="AZ835" s="153" t="s">
        <v>1326</v>
      </c>
      <c r="BA835" s="132" t="s">
        <v>137</v>
      </c>
      <c r="BC835" s="111">
        <f>AW835+AX835</f>
      </c>
      <c r="BD835" s="111">
        <f>H835/(100-BE835)*100</f>
      </c>
      <c r="BE835" s="111" t="n">
        <v>0</v>
      </c>
      <c r="BF835" s="111">
        <f>835</f>
      </c>
      <c r="BH835" s="111">
        <f>G835*AO835</f>
      </c>
      <c r="BI835" s="111">
        <f>G835*AP835</f>
      </c>
      <c r="BJ835" s="111">
        <f>G835*H835</f>
      </c>
      <c r="BK835" s="111"/>
      <c r="BL835" s="111" t="n">
        <v>95</v>
      </c>
      <c r="BW835" s="111" t="n">
        <v>21</v>
      </c>
      <c r="BX835" s="14" t="s">
        <v>1435</v>
      </c>
    </row>
    <row r="836" customHeight="true" ht="13.5">
      <c r="A836" s="159"/>
      <c r="C836" s="160" t="s">
        <v>146</v>
      </c>
      <c r="D836" s="161" t="s">
        <v>1437</v>
      </c>
      <c r="E836" s="156"/>
      <c r="F836" s="156"/>
      <c r="G836" s="156"/>
      <c r="H836" s="162"/>
      <c r="I836" s="156"/>
      <c r="J836" s="156"/>
      <c r="K836" s="163"/>
    </row>
    <row r="837">
      <c r="A837" s="154"/>
      <c r="B837" s="155"/>
      <c r="C837" s="155"/>
      <c r="D837" s="156" t="s">
        <v>156</v>
      </c>
      <c r="E837" s="156" t="s">
        <v>1438</v>
      </c>
      <c r="F837" s="155"/>
      <c r="G837" s="157" t="n">
        <v>5</v>
      </c>
      <c r="H837" s="158"/>
      <c r="I837" s="155"/>
      <c r="J837" s="155"/>
      <c r="K837" s="146"/>
    </row>
    <row r="838">
      <c r="A838" s="9" t="s">
        <v>1439</v>
      </c>
      <c r="B838" s="10" t="s">
        <v>84</v>
      </c>
      <c r="C838" s="10" t="s">
        <v>1440</v>
      </c>
      <c r="D838" s="14" t="s">
        <v>1441</v>
      </c>
      <c r="E838" s="10"/>
      <c r="F838" s="10" t="s">
        <v>133</v>
      </c>
      <c r="G838" s="111" t="n">
        <v>5</v>
      </c>
      <c r="H838" s="152" t="n">
        <v>0</v>
      </c>
      <c r="I838" s="111">
        <f>G838*H838</f>
      </c>
      <c r="J838" s="153" t="s">
        <v>134</v>
      </c>
      <c r="K838" s="146"/>
      <c r="Z838" s="111">
        <f>IF(AQ838="5",BJ838,0)</f>
      </c>
      <c r="AB838" s="111">
        <f>IF(AQ838="1",BH838,0)</f>
      </c>
      <c r="AC838" s="111">
        <f>IF(AQ838="1",BI838,0)</f>
      </c>
      <c r="AD838" s="111">
        <f>IF(AQ838="7",BH838,0)</f>
      </c>
      <c r="AE838" s="111">
        <f>IF(AQ838="7",BI838,0)</f>
      </c>
      <c r="AF838" s="111">
        <f>IF(AQ838="2",BH838,0)</f>
      </c>
      <c r="AG838" s="111">
        <f>IF(AQ838="2",BI838,0)</f>
      </c>
      <c r="AH838" s="111">
        <f>IF(AQ838="0",BJ838,0)</f>
      </c>
      <c r="AI838" s="132" t="s">
        <v>84</v>
      </c>
      <c r="AJ838" s="111">
        <f>IF(AN838=0,I838,0)</f>
      </c>
      <c r="AK838" s="111">
        <f>IF(AN838=12,I838,0)</f>
      </c>
      <c r="AL838" s="111">
        <f>IF(AN838=21,I838,0)</f>
      </c>
      <c r="AN838" s="111" t="n">
        <v>21</v>
      </c>
      <c r="AO838" s="111">
        <f>H838*0</f>
      </c>
      <c r="AP838" s="111">
        <f>H838*(1-0)</f>
      </c>
      <c r="AQ838" s="153" t="s">
        <v>130</v>
      </c>
      <c r="AV838" s="111">
        <f>AW838+AX838</f>
      </c>
      <c r="AW838" s="111">
        <f>G838*AO838</f>
      </c>
      <c r="AX838" s="111">
        <f>G838*AP838</f>
      </c>
      <c r="AY838" s="153" t="s">
        <v>1436</v>
      </c>
      <c r="AZ838" s="153" t="s">
        <v>1326</v>
      </c>
      <c r="BA838" s="132" t="s">
        <v>137</v>
      </c>
      <c r="BC838" s="111">
        <f>AW838+AX838</f>
      </c>
      <c r="BD838" s="111">
        <f>H838/(100-BE838)*100</f>
      </c>
      <c r="BE838" s="111" t="n">
        <v>0</v>
      </c>
      <c r="BF838" s="111">
        <f>838</f>
      </c>
      <c r="BH838" s="111">
        <f>G838*AO838</f>
      </c>
      <c r="BI838" s="111">
        <f>G838*AP838</f>
      </c>
      <c r="BJ838" s="111">
        <f>G838*H838</f>
      </c>
      <c r="BK838" s="111"/>
      <c r="BL838" s="111" t="n">
        <v>95</v>
      </c>
      <c r="BW838" s="111" t="n">
        <v>21</v>
      </c>
      <c r="BX838" s="14" t="s">
        <v>1441</v>
      </c>
    </row>
    <row r="839">
      <c r="A839" s="154"/>
      <c r="B839" s="155"/>
      <c r="C839" s="155"/>
      <c r="D839" s="156" t="s">
        <v>156</v>
      </c>
      <c r="E839" s="156" t="s">
        <v>1438</v>
      </c>
      <c r="F839" s="155"/>
      <c r="G839" s="157" t="n">
        <v>5</v>
      </c>
      <c r="H839" s="158"/>
      <c r="I839" s="155"/>
      <c r="J839" s="155"/>
      <c r="K839" s="146"/>
    </row>
    <row r="840">
      <c r="A840" s="9" t="s">
        <v>1442</v>
      </c>
      <c r="B840" s="10" t="s">
        <v>84</v>
      </c>
      <c r="C840" s="10" t="s">
        <v>1443</v>
      </c>
      <c r="D840" s="14" t="s">
        <v>1444</v>
      </c>
      <c r="E840" s="10"/>
      <c r="F840" s="10" t="s">
        <v>133</v>
      </c>
      <c r="G840" s="111" t="n">
        <v>1</v>
      </c>
      <c r="H840" s="152" t="n">
        <v>0</v>
      </c>
      <c r="I840" s="111">
        <f>G840*H840</f>
      </c>
      <c r="J840" s="153" t="s">
        <v>134</v>
      </c>
      <c r="K840" s="146"/>
      <c r="Z840" s="111">
        <f>IF(AQ840="5",BJ840,0)</f>
      </c>
      <c r="AB840" s="111">
        <f>IF(AQ840="1",BH840,0)</f>
      </c>
      <c r="AC840" s="111">
        <f>IF(AQ840="1",BI840,0)</f>
      </c>
      <c r="AD840" s="111">
        <f>IF(AQ840="7",BH840,0)</f>
      </c>
      <c r="AE840" s="111">
        <f>IF(AQ840="7",BI840,0)</f>
      </c>
      <c r="AF840" s="111">
        <f>IF(AQ840="2",BH840,0)</f>
      </c>
      <c r="AG840" s="111">
        <f>IF(AQ840="2",BI840,0)</f>
      </c>
      <c r="AH840" s="111">
        <f>IF(AQ840="0",BJ840,0)</f>
      </c>
      <c r="AI840" s="132" t="s">
        <v>84</v>
      </c>
      <c r="AJ840" s="111">
        <f>IF(AN840=0,I840,0)</f>
      </c>
      <c r="AK840" s="111">
        <f>IF(AN840=12,I840,0)</f>
      </c>
      <c r="AL840" s="111">
        <f>IF(AN840=21,I840,0)</f>
      </c>
      <c r="AN840" s="111" t="n">
        <v>21</v>
      </c>
      <c r="AO840" s="111">
        <f>H840*1</f>
      </c>
      <c r="AP840" s="111">
        <f>H840*(1-1)</f>
      </c>
      <c r="AQ840" s="153" t="s">
        <v>130</v>
      </c>
      <c r="AV840" s="111">
        <f>AW840+AX840</f>
      </c>
      <c r="AW840" s="111">
        <f>G840*AO840</f>
      </c>
      <c r="AX840" s="111">
        <f>G840*AP840</f>
      </c>
      <c r="AY840" s="153" t="s">
        <v>1436</v>
      </c>
      <c r="AZ840" s="153" t="s">
        <v>1326</v>
      </c>
      <c r="BA840" s="132" t="s">
        <v>137</v>
      </c>
      <c r="BC840" s="111">
        <f>AW840+AX840</f>
      </c>
      <c r="BD840" s="111">
        <f>H840/(100-BE840)*100</f>
      </c>
      <c r="BE840" s="111" t="n">
        <v>0</v>
      </c>
      <c r="BF840" s="111">
        <f>840</f>
      </c>
      <c r="BH840" s="111">
        <f>G840*AO840</f>
      </c>
      <c r="BI840" s="111">
        <f>G840*AP840</f>
      </c>
      <c r="BJ840" s="111">
        <f>G840*H840</f>
      </c>
      <c r="BK840" s="111"/>
      <c r="BL840" s="111" t="n">
        <v>95</v>
      </c>
      <c r="BW840" s="111" t="n">
        <v>21</v>
      </c>
      <c r="BX840" s="14" t="s">
        <v>1444</v>
      </c>
    </row>
    <row r="841">
      <c r="A841" s="154"/>
      <c r="B841" s="155"/>
      <c r="C841" s="155"/>
      <c r="D841" s="156" t="s">
        <v>130</v>
      </c>
      <c r="E841" s="156" t="s">
        <v>1445</v>
      </c>
      <c r="F841" s="155"/>
      <c r="G841" s="157" t="n">
        <v>1</v>
      </c>
      <c r="H841" s="158"/>
      <c r="I841" s="155"/>
      <c r="J841" s="155"/>
      <c r="K841" s="146"/>
    </row>
    <row r="842">
      <c r="A842" s="9" t="s">
        <v>1446</v>
      </c>
      <c r="B842" s="10" t="s">
        <v>84</v>
      </c>
      <c r="C842" s="10" t="s">
        <v>1447</v>
      </c>
      <c r="D842" s="14" t="s">
        <v>1448</v>
      </c>
      <c r="E842" s="10"/>
      <c r="F842" s="10" t="s">
        <v>133</v>
      </c>
      <c r="G842" s="111" t="n">
        <v>5</v>
      </c>
      <c r="H842" s="152" t="n">
        <v>0</v>
      </c>
      <c r="I842" s="111">
        <f>G842*H842</f>
      </c>
      <c r="J842" s="153" t="s">
        <v>134</v>
      </c>
      <c r="K842" s="146"/>
      <c r="Z842" s="111">
        <f>IF(AQ842="5",BJ842,0)</f>
      </c>
      <c r="AB842" s="111">
        <f>IF(AQ842="1",BH842,0)</f>
      </c>
      <c r="AC842" s="111">
        <f>IF(AQ842="1",BI842,0)</f>
      </c>
      <c r="AD842" s="111">
        <f>IF(AQ842="7",BH842,0)</f>
      </c>
      <c r="AE842" s="111">
        <f>IF(AQ842="7",BI842,0)</f>
      </c>
      <c r="AF842" s="111">
        <f>IF(AQ842="2",BH842,0)</f>
      </c>
      <c r="AG842" s="111">
        <f>IF(AQ842="2",BI842,0)</f>
      </c>
      <c r="AH842" s="111">
        <f>IF(AQ842="0",BJ842,0)</f>
      </c>
      <c r="AI842" s="132" t="s">
        <v>84</v>
      </c>
      <c r="AJ842" s="111">
        <f>IF(AN842=0,I842,0)</f>
      </c>
      <c r="AK842" s="111">
        <f>IF(AN842=12,I842,0)</f>
      </c>
      <c r="AL842" s="111">
        <f>IF(AN842=21,I842,0)</f>
      </c>
      <c r="AN842" s="111" t="n">
        <v>21</v>
      </c>
      <c r="AO842" s="111">
        <f>H842*1</f>
      </c>
      <c r="AP842" s="111">
        <f>H842*(1-1)</f>
      </c>
      <c r="AQ842" s="153" t="s">
        <v>130</v>
      </c>
      <c r="AV842" s="111">
        <f>AW842+AX842</f>
      </c>
      <c r="AW842" s="111">
        <f>G842*AO842</f>
      </c>
      <c r="AX842" s="111">
        <f>G842*AP842</f>
      </c>
      <c r="AY842" s="153" t="s">
        <v>1436</v>
      </c>
      <c r="AZ842" s="153" t="s">
        <v>1326</v>
      </c>
      <c r="BA842" s="132" t="s">
        <v>137</v>
      </c>
      <c r="BC842" s="111">
        <f>AW842+AX842</f>
      </c>
      <c r="BD842" s="111">
        <f>H842/(100-BE842)*100</f>
      </c>
      <c r="BE842" s="111" t="n">
        <v>0</v>
      </c>
      <c r="BF842" s="111">
        <f>842</f>
      </c>
      <c r="BH842" s="111">
        <f>G842*AO842</f>
      </c>
      <c r="BI842" s="111">
        <f>G842*AP842</f>
      </c>
      <c r="BJ842" s="111">
        <f>G842*H842</f>
      </c>
      <c r="BK842" s="111"/>
      <c r="BL842" s="111" t="n">
        <v>95</v>
      </c>
      <c r="BW842" s="111" t="n">
        <v>21</v>
      </c>
      <c r="BX842" s="14" t="s">
        <v>1448</v>
      </c>
    </row>
    <row r="843">
      <c r="A843" s="154"/>
      <c r="B843" s="155"/>
      <c r="C843" s="155"/>
      <c r="D843" s="156" t="s">
        <v>156</v>
      </c>
      <c r="E843" s="156" t="s">
        <v>1449</v>
      </c>
      <c r="F843" s="155"/>
      <c r="G843" s="157" t="n">
        <v>5</v>
      </c>
      <c r="H843" s="158"/>
      <c r="I843" s="155"/>
      <c r="J843" s="155"/>
      <c r="K843" s="146"/>
    </row>
    <row r="844">
      <c r="A844" s="9" t="s">
        <v>1450</v>
      </c>
      <c r="B844" s="10" t="s">
        <v>84</v>
      </c>
      <c r="C844" s="10" t="s">
        <v>1451</v>
      </c>
      <c r="D844" s="14" t="s">
        <v>1452</v>
      </c>
      <c r="E844" s="10"/>
      <c r="F844" s="10" t="s">
        <v>145</v>
      </c>
      <c r="G844" s="111" t="n">
        <v>400</v>
      </c>
      <c r="H844" s="152" t="n">
        <v>0</v>
      </c>
      <c r="I844" s="111">
        <f>G844*H844</f>
      </c>
      <c r="J844" s="153" t="s">
        <v>134</v>
      </c>
      <c r="K844" s="146"/>
      <c r="Z844" s="111">
        <f>IF(AQ844="5",BJ844,0)</f>
      </c>
      <c r="AB844" s="111">
        <f>IF(AQ844="1",BH844,0)</f>
      </c>
      <c r="AC844" s="111">
        <f>IF(AQ844="1",BI844,0)</f>
      </c>
      <c r="AD844" s="111">
        <f>IF(AQ844="7",BH844,0)</f>
      </c>
      <c r="AE844" s="111">
        <f>IF(AQ844="7",BI844,0)</f>
      </c>
      <c r="AF844" s="111">
        <f>IF(AQ844="2",BH844,0)</f>
      </c>
      <c r="AG844" s="111">
        <f>IF(AQ844="2",BI844,0)</f>
      </c>
      <c r="AH844" s="111">
        <f>IF(AQ844="0",BJ844,0)</f>
      </c>
      <c r="AI844" s="132" t="s">
        <v>84</v>
      </c>
      <c r="AJ844" s="111">
        <f>IF(AN844=0,I844,0)</f>
      </c>
      <c r="AK844" s="111">
        <f>IF(AN844=12,I844,0)</f>
      </c>
      <c r="AL844" s="111">
        <f>IF(AN844=21,I844,0)</f>
      </c>
      <c r="AN844" s="111" t="n">
        <v>21</v>
      </c>
      <c r="AO844" s="111">
        <f>H844*0</f>
      </c>
      <c r="AP844" s="111">
        <f>H844*(1-0)</f>
      </c>
      <c r="AQ844" s="153" t="s">
        <v>130</v>
      </c>
      <c r="AV844" s="111">
        <f>AW844+AX844</f>
      </c>
      <c r="AW844" s="111">
        <f>G844*AO844</f>
      </c>
      <c r="AX844" s="111">
        <f>G844*AP844</f>
      </c>
      <c r="AY844" s="153" t="s">
        <v>1436</v>
      </c>
      <c r="AZ844" s="153" t="s">
        <v>1326</v>
      </c>
      <c r="BA844" s="132" t="s">
        <v>137</v>
      </c>
      <c r="BC844" s="111">
        <f>AW844+AX844</f>
      </c>
      <c r="BD844" s="111">
        <f>H844/(100-BE844)*100</f>
      </c>
      <c r="BE844" s="111" t="n">
        <v>0</v>
      </c>
      <c r="BF844" s="111">
        <f>844</f>
      </c>
      <c r="BH844" s="111">
        <f>G844*AO844</f>
      </c>
      <c r="BI844" s="111">
        <f>G844*AP844</f>
      </c>
      <c r="BJ844" s="111">
        <f>G844*H844</f>
      </c>
      <c r="BK844" s="111"/>
      <c r="BL844" s="111" t="n">
        <v>95</v>
      </c>
      <c r="BW844" s="111" t="n">
        <v>21</v>
      </c>
      <c r="BX844" s="14" t="s">
        <v>1452</v>
      </c>
    </row>
    <row r="845" customHeight="true" ht="13.5">
      <c r="A845" s="159"/>
      <c r="C845" s="160" t="s">
        <v>146</v>
      </c>
      <c r="D845" s="161" t="s">
        <v>1453</v>
      </c>
      <c r="E845" s="156"/>
      <c r="F845" s="156"/>
      <c r="G845" s="156"/>
      <c r="H845" s="162"/>
      <c r="I845" s="156"/>
      <c r="J845" s="156"/>
      <c r="K845" s="163"/>
    </row>
    <row r="846">
      <c r="A846" s="154"/>
      <c r="B846" s="155"/>
      <c r="C846" s="155"/>
      <c r="D846" s="156" t="s">
        <v>1454</v>
      </c>
      <c r="E846" s="156" t="s">
        <v>434</v>
      </c>
      <c r="F846" s="155"/>
      <c r="G846" s="157" t="n">
        <v>400</v>
      </c>
      <c r="H846" s="158"/>
      <c r="I846" s="155"/>
      <c r="J846" s="155"/>
      <c r="K846" s="146"/>
    </row>
    <row r="847">
      <c r="A847" s="9" t="s">
        <v>1455</v>
      </c>
      <c r="B847" s="10" t="s">
        <v>84</v>
      </c>
      <c r="C847" s="10" t="s">
        <v>1456</v>
      </c>
      <c r="D847" s="14" t="s">
        <v>1457</v>
      </c>
      <c r="E847" s="10"/>
      <c r="F847" s="10" t="s">
        <v>145</v>
      </c>
      <c r="G847" s="111" t="n">
        <v>379.8</v>
      </c>
      <c r="H847" s="152" t="n">
        <v>0</v>
      </c>
      <c r="I847" s="111">
        <f>G847*H847</f>
      </c>
      <c r="J847" s="153" t="s">
        <v>134</v>
      </c>
      <c r="K847" s="146"/>
      <c r="Z847" s="111">
        <f>IF(AQ847="5",BJ847,0)</f>
      </c>
      <c r="AB847" s="111">
        <f>IF(AQ847="1",BH847,0)</f>
      </c>
      <c r="AC847" s="111">
        <f>IF(AQ847="1",BI847,0)</f>
      </c>
      <c r="AD847" s="111">
        <f>IF(AQ847="7",BH847,0)</f>
      </c>
      <c r="AE847" s="111">
        <f>IF(AQ847="7",BI847,0)</f>
      </c>
      <c r="AF847" s="111">
        <f>IF(AQ847="2",BH847,0)</f>
      </c>
      <c r="AG847" s="111">
        <f>IF(AQ847="2",BI847,0)</f>
      </c>
      <c r="AH847" s="111">
        <f>IF(AQ847="0",BJ847,0)</f>
      </c>
      <c r="AI847" s="132" t="s">
        <v>84</v>
      </c>
      <c r="AJ847" s="111">
        <f>IF(AN847=0,I847,0)</f>
      </c>
      <c r="AK847" s="111">
        <f>IF(AN847=12,I847,0)</f>
      </c>
      <c r="AL847" s="111">
        <f>IF(AN847=21,I847,0)</f>
      </c>
      <c r="AN847" s="111" t="n">
        <v>21</v>
      </c>
      <c r="AO847" s="111">
        <f>H847*0.013885892</f>
      </c>
      <c r="AP847" s="111">
        <f>H847*(1-0.013885892)</f>
      </c>
      <c r="AQ847" s="153" t="s">
        <v>130</v>
      </c>
      <c r="AV847" s="111">
        <f>AW847+AX847</f>
      </c>
      <c r="AW847" s="111">
        <f>G847*AO847</f>
      </c>
      <c r="AX847" s="111">
        <f>G847*AP847</f>
      </c>
      <c r="AY847" s="153" t="s">
        <v>1436</v>
      </c>
      <c r="AZ847" s="153" t="s">
        <v>1326</v>
      </c>
      <c r="BA847" s="132" t="s">
        <v>137</v>
      </c>
      <c r="BC847" s="111">
        <f>AW847+AX847</f>
      </c>
      <c r="BD847" s="111">
        <f>H847/(100-BE847)*100</f>
      </c>
      <c r="BE847" s="111" t="n">
        <v>0</v>
      </c>
      <c r="BF847" s="111">
        <f>847</f>
      </c>
      <c r="BH847" s="111">
        <f>G847*AO847</f>
      </c>
      <c r="BI847" s="111">
        <f>G847*AP847</f>
      </c>
      <c r="BJ847" s="111">
        <f>G847*H847</f>
      </c>
      <c r="BK847" s="111"/>
      <c r="BL847" s="111" t="n">
        <v>95</v>
      </c>
      <c r="BW847" s="111" t="n">
        <v>21</v>
      </c>
      <c r="BX847" s="14" t="s">
        <v>1457</v>
      </c>
    </row>
    <row r="848">
      <c r="A848" s="154"/>
      <c r="B848" s="155"/>
      <c r="C848" s="155"/>
      <c r="D848" s="156" t="s">
        <v>1382</v>
      </c>
      <c r="E848" s="156" t="s">
        <v>421</v>
      </c>
      <c r="F848" s="155"/>
      <c r="G848" s="157" t="n">
        <v>181</v>
      </c>
      <c r="H848" s="158"/>
      <c r="I848" s="155"/>
      <c r="J848" s="155"/>
      <c r="K848" s="146"/>
    </row>
    <row r="849">
      <c r="A849" s="154"/>
      <c r="B849" s="155"/>
      <c r="C849" s="155"/>
      <c r="D849" s="156" t="s">
        <v>1383</v>
      </c>
      <c r="E849" s="156" t="s">
        <v>4</v>
      </c>
      <c r="F849" s="155"/>
      <c r="G849" s="157" t="n">
        <v>52</v>
      </c>
      <c r="H849" s="158"/>
      <c r="I849" s="155"/>
      <c r="J849" s="155"/>
      <c r="K849" s="146"/>
    </row>
    <row r="850">
      <c r="A850" s="154"/>
      <c r="B850" s="155"/>
      <c r="C850" s="155"/>
      <c r="D850" s="156" t="s">
        <v>1384</v>
      </c>
      <c r="E850" s="156" t="s">
        <v>4</v>
      </c>
      <c r="F850" s="155"/>
      <c r="G850" s="157" t="n">
        <v>50.1</v>
      </c>
      <c r="H850" s="158"/>
      <c r="I850" s="155"/>
      <c r="J850" s="155"/>
      <c r="K850" s="146"/>
    </row>
    <row r="851">
      <c r="A851" s="154"/>
      <c r="B851" s="155"/>
      <c r="C851" s="155"/>
      <c r="D851" s="156" t="s">
        <v>1385</v>
      </c>
      <c r="E851" s="156" t="s">
        <v>425</v>
      </c>
      <c r="F851" s="155"/>
      <c r="G851" s="157" t="n">
        <v>96.7</v>
      </c>
      <c r="H851" s="158"/>
      <c r="I851" s="155"/>
      <c r="J851" s="155"/>
      <c r="K851" s="146"/>
    </row>
    <row r="852">
      <c r="A852" s="9" t="s">
        <v>1458</v>
      </c>
      <c r="B852" s="10" t="s">
        <v>84</v>
      </c>
      <c r="C852" s="10" t="s">
        <v>1459</v>
      </c>
      <c r="D852" s="14" t="s">
        <v>1460</v>
      </c>
      <c r="E852" s="10"/>
      <c r="F852" s="10" t="s">
        <v>145</v>
      </c>
      <c r="G852" s="111" t="n">
        <v>220</v>
      </c>
      <c r="H852" s="152" t="n">
        <v>0</v>
      </c>
      <c r="I852" s="111">
        <f>G852*H852</f>
      </c>
      <c r="J852" s="153" t="s">
        <v>134</v>
      </c>
      <c r="K852" s="146"/>
      <c r="Z852" s="111">
        <f>IF(AQ852="5",BJ852,0)</f>
      </c>
      <c r="AB852" s="111">
        <f>IF(AQ852="1",BH852,0)</f>
      </c>
      <c r="AC852" s="111">
        <f>IF(AQ852="1",BI852,0)</f>
      </c>
      <c r="AD852" s="111">
        <f>IF(AQ852="7",BH852,0)</f>
      </c>
      <c r="AE852" s="111">
        <f>IF(AQ852="7",BI852,0)</f>
      </c>
      <c r="AF852" s="111">
        <f>IF(AQ852="2",BH852,0)</f>
      </c>
      <c r="AG852" s="111">
        <f>IF(AQ852="2",BI852,0)</f>
      </c>
      <c r="AH852" s="111">
        <f>IF(AQ852="0",BJ852,0)</f>
      </c>
      <c r="AI852" s="132" t="s">
        <v>84</v>
      </c>
      <c r="AJ852" s="111">
        <f>IF(AN852=0,I852,0)</f>
      </c>
      <c r="AK852" s="111">
        <f>IF(AN852=12,I852,0)</f>
      </c>
      <c r="AL852" s="111">
        <f>IF(AN852=21,I852,0)</f>
      </c>
      <c r="AN852" s="111" t="n">
        <v>21</v>
      </c>
      <c r="AO852" s="111">
        <f>H852*0.012100313</f>
      </c>
      <c r="AP852" s="111">
        <f>H852*(1-0.012100313)</f>
      </c>
      <c r="AQ852" s="153" t="s">
        <v>130</v>
      </c>
      <c r="AV852" s="111">
        <f>AW852+AX852</f>
      </c>
      <c r="AW852" s="111">
        <f>G852*AO852</f>
      </c>
      <c r="AX852" s="111">
        <f>G852*AP852</f>
      </c>
      <c r="AY852" s="153" t="s">
        <v>1436</v>
      </c>
      <c r="AZ852" s="153" t="s">
        <v>1326</v>
      </c>
      <c r="BA852" s="132" t="s">
        <v>137</v>
      </c>
      <c r="BC852" s="111">
        <f>AW852+AX852</f>
      </c>
      <c r="BD852" s="111">
        <f>H852/(100-BE852)*100</f>
      </c>
      <c r="BE852" s="111" t="n">
        <v>0</v>
      </c>
      <c r="BF852" s="111">
        <f>852</f>
      </c>
      <c r="BH852" s="111">
        <f>G852*AO852</f>
      </c>
      <c r="BI852" s="111">
        <f>G852*AP852</f>
      </c>
      <c r="BJ852" s="111">
        <f>G852*H852</f>
      </c>
      <c r="BK852" s="111"/>
      <c r="BL852" s="111" t="n">
        <v>95</v>
      </c>
      <c r="BW852" s="111" t="n">
        <v>21</v>
      </c>
      <c r="BX852" s="14" t="s">
        <v>1460</v>
      </c>
    </row>
    <row r="853">
      <c r="A853" s="154"/>
      <c r="B853" s="155"/>
      <c r="C853" s="155"/>
      <c r="D853" s="156" t="s">
        <v>1461</v>
      </c>
      <c r="E853" s="156" t="s">
        <v>985</v>
      </c>
      <c r="F853" s="155"/>
      <c r="G853" s="157" t="n">
        <v>220</v>
      </c>
      <c r="H853" s="158"/>
      <c r="I853" s="155"/>
      <c r="J853" s="155"/>
      <c r="K853" s="146"/>
    </row>
    <row r="854">
      <c r="A854" s="9" t="s">
        <v>1462</v>
      </c>
      <c r="B854" s="10" t="s">
        <v>84</v>
      </c>
      <c r="C854" s="10" t="s">
        <v>1463</v>
      </c>
      <c r="D854" s="14" t="s">
        <v>1464</v>
      </c>
      <c r="E854" s="10"/>
      <c r="F854" s="10" t="s">
        <v>229</v>
      </c>
      <c r="G854" s="111" t="n">
        <v>2147.86285</v>
      </c>
      <c r="H854" s="152" t="n">
        <v>0</v>
      </c>
      <c r="I854" s="111">
        <f>G854*H854</f>
      </c>
      <c r="J854" s="153" t="s">
        <v>134</v>
      </c>
      <c r="K854" s="146"/>
      <c r="Z854" s="111">
        <f>IF(AQ854="5",BJ854,0)</f>
      </c>
      <c r="AB854" s="111">
        <f>IF(AQ854="1",BH854,0)</f>
      </c>
      <c r="AC854" s="111">
        <f>IF(AQ854="1",BI854,0)</f>
      </c>
      <c r="AD854" s="111">
        <f>IF(AQ854="7",BH854,0)</f>
      </c>
      <c r="AE854" s="111">
        <f>IF(AQ854="7",BI854,0)</f>
      </c>
      <c r="AF854" s="111">
        <f>IF(AQ854="2",BH854,0)</f>
      </c>
      <c r="AG854" s="111">
        <f>IF(AQ854="2",BI854,0)</f>
      </c>
      <c r="AH854" s="111">
        <f>IF(AQ854="0",BJ854,0)</f>
      </c>
      <c r="AI854" s="132" t="s">
        <v>84</v>
      </c>
      <c r="AJ854" s="111">
        <f>IF(AN854=0,I854,0)</f>
      </c>
      <c r="AK854" s="111">
        <f>IF(AN854=12,I854,0)</f>
      </c>
      <c r="AL854" s="111">
        <f>IF(AN854=21,I854,0)</f>
      </c>
      <c r="AN854" s="111" t="n">
        <v>21</v>
      </c>
      <c r="AO854" s="111">
        <f>H854*0</f>
      </c>
      <c r="AP854" s="111">
        <f>H854*(1-0)</f>
      </c>
      <c r="AQ854" s="153" t="s">
        <v>156</v>
      </c>
      <c r="AV854" s="111">
        <f>AW854+AX854</f>
      </c>
      <c r="AW854" s="111">
        <f>G854*AO854</f>
      </c>
      <c r="AX854" s="111">
        <f>G854*AP854</f>
      </c>
      <c r="AY854" s="153" t="s">
        <v>1436</v>
      </c>
      <c r="AZ854" s="153" t="s">
        <v>1326</v>
      </c>
      <c r="BA854" s="132" t="s">
        <v>137</v>
      </c>
      <c r="BC854" s="111">
        <f>AW854+AX854</f>
      </c>
      <c r="BD854" s="111">
        <f>H854/(100-BE854)*100</f>
      </c>
      <c r="BE854" s="111" t="n">
        <v>0</v>
      </c>
      <c r="BF854" s="111">
        <f>854</f>
      </c>
      <c r="BH854" s="111">
        <f>G854*AO854</f>
      </c>
      <c r="BI854" s="111">
        <f>G854*AP854</f>
      </c>
      <c r="BJ854" s="111">
        <f>G854*H854</f>
      </c>
      <c r="BK854" s="111"/>
      <c r="BL854" s="111" t="n">
        <v>95</v>
      </c>
      <c r="BW854" s="111" t="n">
        <v>21</v>
      </c>
      <c r="BX854" s="14" t="s">
        <v>1464</v>
      </c>
    </row>
    <row r="855">
      <c r="A855" s="147" t="s">
        <v>4</v>
      </c>
      <c r="B855" s="148" t="s">
        <v>84</v>
      </c>
      <c r="C855" s="148" t="s">
        <v>768</v>
      </c>
      <c r="D855" s="149" t="s">
        <v>1465</v>
      </c>
      <c r="E855" s="148"/>
      <c r="F855" s="150" t="s">
        <v>79</v>
      </c>
      <c r="G855" s="150" t="s">
        <v>79</v>
      </c>
      <c r="H855" s="151" t="s">
        <v>79</v>
      </c>
      <c r="I855" s="117">
        <f>SUM(I856:I882)</f>
      </c>
      <c r="J855" s="132" t="s">
        <v>4</v>
      </c>
      <c r="K855" s="146"/>
      <c r="AI855" s="132" t="s">
        <v>84</v>
      </c>
      <c r="AS855" s="117">
        <f>SUM(AJ856:AJ882)</f>
      </c>
      <c r="AT855" s="117">
        <f>SUM(AK856:AK882)</f>
      </c>
      <c r="AU855" s="117">
        <f>SUM(AL856:AL882)</f>
      </c>
    </row>
    <row r="856">
      <c r="A856" s="9" t="s">
        <v>1466</v>
      </c>
      <c r="B856" s="10" t="s">
        <v>84</v>
      </c>
      <c r="C856" s="10" t="s">
        <v>1467</v>
      </c>
      <c r="D856" s="14" t="s">
        <v>1468</v>
      </c>
      <c r="E856" s="10"/>
      <c r="F856" s="10" t="s">
        <v>282</v>
      </c>
      <c r="G856" s="111" t="n">
        <v>24.9</v>
      </c>
      <c r="H856" s="152" t="n">
        <v>0</v>
      </c>
      <c r="I856" s="111">
        <f>G856*H856</f>
      </c>
      <c r="J856" s="153" t="s">
        <v>134</v>
      </c>
      <c r="K856" s="146"/>
      <c r="Z856" s="111">
        <f>IF(AQ856="5",BJ856,0)</f>
      </c>
      <c r="AB856" s="111">
        <f>IF(AQ856="1",BH856,0)</f>
      </c>
      <c r="AC856" s="111">
        <f>IF(AQ856="1",BI856,0)</f>
      </c>
      <c r="AD856" s="111">
        <f>IF(AQ856="7",BH856,0)</f>
      </c>
      <c r="AE856" s="111">
        <f>IF(AQ856="7",BI856,0)</f>
      </c>
      <c r="AF856" s="111">
        <f>IF(AQ856="2",BH856,0)</f>
      </c>
      <c r="AG856" s="111">
        <f>IF(AQ856="2",BI856,0)</f>
      </c>
      <c r="AH856" s="111">
        <f>IF(AQ856="0",BJ856,0)</f>
      </c>
      <c r="AI856" s="132" t="s">
        <v>84</v>
      </c>
      <c r="AJ856" s="111">
        <f>IF(AN856=0,I856,0)</f>
      </c>
      <c r="AK856" s="111">
        <f>IF(AN856=12,I856,0)</f>
      </c>
      <c r="AL856" s="111">
        <f>IF(AN856=21,I856,0)</f>
      </c>
      <c r="AN856" s="111" t="n">
        <v>21</v>
      </c>
      <c r="AO856" s="111">
        <f>H856*0</f>
      </c>
      <c r="AP856" s="111">
        <f>H856*(1-0)</f>
      </c>
      <c r="AQ856" s="153" t="s">
        <v>130</v>
      </c>
      <c r="AV856" s="111">
        <f>AW856+AX856</f>
      </c>
      <c r="AW856" s="111">
        <f>G856*AO856</f>
      </c>
      <c r="AX856" s="111">
        <f>G856*AP856</f>
      </c>
      <c r="AY856" s="153" t="s">
        <v>1469</v>
      </c>
      <c r="AZ856" s="153" t="s">
        <v>1326</v>
      </c>
      <c r="BA856" s="132" t="s">
        <v>137</v>
      </c>
      <c r="BC856" s="111">
        <f>AW856+AX856</f>
      </c>
      <c r="BD856" s="111">
        <f>H856/(100-BE856)*100</f>
      </c>
      <c r="BE856" s="111" t="n">
        <v>0</v>
      </c>
      <c r="BF856" s="111">
        <f>856</f>
      </c>
      <c r="BH856" s="111">
        <f>G856*AO856</f>
      </c>
      <c r="BI856" s="111">
        <f>G856*AP856</f>
      </c>
      <c r="BJ856" s="111">
        <f>G856*H856</f>
      </c>
      <c r="BK856" s="111"/>
      <c r="BL856" s="111" t="n">
        <v>96</v>
      </c>
      <c r="BW856" s="111" t="n">
        <v>21</v>
      </c>
      <c r="BX856" s="14" t="s">
        <v>1468</v>
      </c>
    </row>
    <row r="857">
      <c r="A857" s="154"/>
      <c r="B857" s="155"/>
      <c r="C857" s="155"/>
      <c r="D857" s="156" t="s">
        <v>1470</v>
      </c>
      <c r="E857" s="156" t="s">
        <v>1471</v>
      </c>
      <c r="F857" s="155"/>
      <c r="G857" s="157" t="n">
        <v>24.9</v>
      </c>
      <c r="H857" s="158"/>
      <c r="I857" s="155"/>
      <c r="J857" s="155"/>
      <c r="K857" s="146"/>
    </row>
    <row r="858">
      <c r="A858" s="9" t="s">
        <v>1472</v>
      </c>
      <c r="B858" s="10" t="s">
        <v>84</v>
      </c>
      <c r="C858" s="10" t="s">
        <v>1473</v>
      </c>
      <c r="D858" s="14" t="s">
        <v>1474</v>
      </c>
      <c r="E858" s="10"/>
      <c r="F858" s="10" t="s">
        <v>159</v>
      </c>
      <c r="G858" s="111" t="n">
        <v>0.96</v>
      </c>
      <c r="H858" s="152" t="n">
        <v>0</v>
      </c>
      <c r="I858" s="111">
        <f>G858*H858</f>
      </c>
      <c r="J858" s="153" t="s">
        <v>134</v>
      </c>
      <c r="K858" s="146"/>
      <c r="Z858" s="111">
        <f>IF(AQ858="5",BJ858,0)</f>
      </c>
      <c r="AB858" s="111">
        <f>IF(AQ858="1",BH858,0)</f>
      </c>
      <c r="AC858" s="111">
        <f>IF(AQ858="1",BI858,0)</f>
      </c>
      <c r="AD858" s="111">
        <f>IF(AQ858="7",BH858,0)</f>
      </c>
      <c r="AE858" s="111">
        <f>IF(AQ858="7",BI858,0)</f>
      </c>
      <c r="AF858" s="111">
        <f>IF(AQ858="2",BH858,0)</f>
      </c>
      <c r="AG858" s="111">
        <f>IF(AQ858="2",BI858,0)</f>
      </c>
      <c r="AH858" s="111">
        <f>IF(AQ858="0",BJ858,0)</f>
      </c>
      <c r="AI858" s="132" t="s">
        <v>84</v>
      </c>
      <c r="AJ858" s="111">
        <f>IF(AN858=0,I858,0)</f>
      </c>
      <c r="AK858" s="111">
        <f>IF(AN858=12,I858,0)</f>
      </c>
      <c r="AL858" s="111">
        <f>IF(AN858=21,I858,0)</f>
      </c>
      <c r="AN858" s="111" t="n">
        <v>21</v>
      </c>
      <c r="AO858" s="111">
        <f>H858*0.069774053</f>
      </c>
      <c r="AP858" s="111">
        <f>H858*(1-0.069774053)</f>
      </c>
      <c r="AQ858" s="153" t="s">
        <v>130</v>
      </c>
      <c r="AV858" s="111">
        <f>AW858+AX858</f>
      </c>
      <c r="AW858" s="111">
        <f>G858*AO858</f>
      </c>
      <c r="AX858" s="111">
        <f>G858*AP858</f>
      </c>
      <c r="AY858" s="153" t="s">
        <v>1469</v>
      </c>
      <c r="AZ858" s="153" t="s">
        <v>1326</v>
      </c>
      <c r="BA858" s="132" t="s">
        <v>137</v>
      </c>
      <c r="BC858" s="111">
        <f>AW858+AX858</f>
      </c>
      <c r="BD858" s="111">
        <f>H858/(100-BE858)*100</f>
      </c>
      <c r="BE858" s="111" t="n">
        <v>0</v>
      </c>
      <c r="BF858" s="111">
        <f>858</f>
      </c>
      <c r="BH858" s="111">
        <f>G858*AO858</f>
      </c>
      <c r="BI858" s="111">
        <f>G858*AP858</f>
      </c>
      <c r="BJ858" s="111">
        <f>G858*H858</f>
      </c>
      <c r="BK858" s="111"/>
      <c r="BL858" s="111" t="n">
        <v>96</v>
      </c>
      <c r="BW858" s="111" t="n">
        <v>21</v>
      </c>
      <c r="BX858" s="14" t="s">
        <v>1474</v>
      </c>
    </row>
    <row r="859" customHeight="true" ht="13.5">
      <c r="A859" s="159"/>
      <c r="C859" s="160" t="s">
        <v>146</v>
      </c>
      <c r="D859" s="161" t="s">
        <v>1475</v>
      </c>
      <c r="E859" s="156"/>
      <c r="F859" s="156"/>
      <c r="G859" s="156"/>
      <c r="H859" s="162"/>
      <c r="I859" s="156"/>
      <c r="J859" s="156"/>
      <c r="K859" s="163"/>
    </row>
    <row r="860">
      <c r="A860" s="154"/>
      <c r="B860" s="155"/>
      <c r="C860" s="155"/>
      <c r="D860" s="156" t="s">
        <v>1476</v>
      </c>
      <c r="E860" s="156" t="s">
        <v>1477</v>
      </c>
      <c r="F860" s="155"/>
      <c r="G860" s="157" t="n">
        <v>0.96</v>
      </c>
      <c r="H860" s="158"/>
      <c r="I860" s="155"/>
      <c r="J860" s="155"/>
      <c r="K860" s="146"/>
    </row>
    <row r="861">
      <c r="A861" s="9" t="s">
        <v>1478</v>
      </c>
      <c r="B861" s="10" t="s">
        <v>84</v>
      </c>
      <c r="C861" s="10" t="s">
        <v>1479</v>
      </c>
      <c r="D861" s="14" t="s">
        <v>1480</v>
      </c>
      <c r="E861" s="10"/>
      <c r="F861" s="10" t="s">
        <v>159</v>
      </c>
      <c r="G861" s="111" t="n">
        <v>18.849</v>
      </c>
      <c r="H861" s="152" t="n">
        <v>0</v>
      </c>
      <c r="I861" s="111">
        <f>G861*H861</f>
      </c>
      <c r="J861" s="153" t="s">
        <v>134</v>
      </c>
      <c r="K861" s="146"/>
      <c r="Z861" s="111">
        <f>IF(AQ861="5",BJ861,0)</f>
      </c>
      <c r="AB861" s="111">
        <f>IF(AQ861="1",BH861,0)</f>
      </c>
      <c r="AC861" s="111">
        <f>IF(AQ861="1",BI861,0)</f>
      </c>
      <c r="AD861" s="111">
        <f>IF(AQ861="7",BH861,0)</f>
      </c>
      <c r="AE861" s="111">
        <f>IF(AQ861="7",BI861,0)</f>
      </c>
      <c r="AF861" s="111">
        <f>IF(AQ861="2",BH861,0)</f>
      </c>
      <c r="AG861" s="111">
        <f>IF(AQ861="2",BI861,0)</f>
      </c>
      <c r="AH861" s="111">
        <f>IF(AQ861="0",BJ861,0)</f>
      </c>
      <c r="AI861" s="132" t="s">
        <v>84</v>
      </c>
      <c r="AJ861" s="111">
        <f>IF(AN861=0,I861,0)</f>
      </c>
      <c r="AK861" s="111">
        <f>IF(AN861=12,I861,0)</f>
      </c>
      <c r="AL861" s="111">
        <f>IF(AN861=21,I861,0)</f>
      </c>
      <c r="AN861" s="111" t="n">
        <v>21</v>
      </c>
      <c r="AO861" s="111">
        <f>H861*0</f>
      </c>
      <c r="AP861" s="111">
        <f>H861*(1-0)</f>
      </c>
      <c r="AQ861" s="153" t="s">
        <v>130</v>
      </c>
      <c r="AV861" s="111">
        <f>AW861+AX861</f>
      </c>
      <c r="AW861" s="111">
        <f>G861*AO861</f>
      </c>
      <c r="AX861" s="111">
        <f>G861*AP861</f>
      </c>
      <c r="AY861" s="153" t="s">
        <v>1469</v>
      </c>
      <c r="AZ861" s="153" t="s">
        <v>1326</v>
      </c>
      <c r="BA861" s="132" t="s">
        <v>137</v>
      </c>
      <c r="BC861" s="111">
        <f>AW861+AX861</f>
      </c>
      <c r="BD861" s="111">
        <f>H861/(100-BE861)*100</f>
      </c>
      <c r="BE861" s="111" t="n">
        <v>0</v>
      </c>
      <c r="BF861" s="111">
        <f>861</f>
      </c>
      <c r="BH861" s="111">
        <f>G861*AO861</f>
      </c>
      <c r="BI861" s="111">
        <f>G861*AP861</f>
      </c>
      <c r="BJ861" s="111">
        <f>G861*H861</f>
      </c>
      <c r="BK861" s="111"/>
      <c r="BL861" s="111" t="n">
        <v>96</v>
      </c>
      <c r="BW861" s="111" t="n">
        <v>21</v>
      </c>
      <c r="BX861" s="14" t="s">
        <v>1480</v>
      </c>
    </row>
    <row r="862" customHeight="true" ht="13.5">
      <c r="A862" s="159"/>
      <c r="C862" s="160" t="s">
        <v>146</v>
      </c>
      <c r="D862" s="161" t="s">
        <v>1481</v>
      </c>
      <c r="E862" s="156"/>
      <c r="F862" s="156"/>
      <c r="G862" s="156"/>
      <c r="H862" s="162"/>
      <c r="I862" s="156"/>
      <c r="J862" s="156"/>
      <c r="K862" s="163"/>
    </row>
    <row r="863">
      <c r="A863" s="154"/>
      <c r="B863" s="155"/>
      <c r="C863" s="155"/>
      <c r="D863" s="156" t="s">
        <v>1482</v>
      </c>
      <c r="E863" s="156" t="s">
        <v>1483</v>
      </c>
      <c r="F863" s="155"/>
      <c r="G863" s="157" t="n">
        <v>3.39</v>
      </c>
      <c r="H863" s="158"/>
      <c r="I863" s="155"/>
      <c r="J863" s="155"/>
      <c r="K863" s="146"/>
    </row>
    <row r="864">
      <c r="A864" s="154"/>
      <c r="B864" s="155"/>
      <c r="C864" s="155"/>
      <c r="D864" s="156" t="s">
        <v>1484</v>
      </c>
      <c r="E864" s="156" t="s">
        <v>1485</v>
      </c>
      <c r="F864" s="155"/>
      <c r="G864" s="157" t="n">
        <v>0.459</v>
      </c>
      <c r="H864" s="158"/>
      <c r="I864" s="155"/>
      <c r="J864" s="155"/>
      <c r="K864" s="146"/>
    </row>
    <row r="865">
      <c r="A865" s="154"/>
      <c r="B865" s="155"/>
      <c r="C865" s="155"/>
      <c r="D865" s="156" t="s">
        <v>1486</v>
      </c>
      <c r="E865" s="156" t="s">
        <v>1487</v>
      </c>
      <c r="F865" s="155"/>
      <c r="G865" s="157" t="n">
        <v>12.75</v>
      </c>
      <c r="H865" s="158"/>
      <c r="I865" s="155"/>
      <c r="J865" s="155"/>
      <c r="K865" s="146"/>
    </row>
    <row r="866">
      <c r="A866" s="154"/>
      <c r="B866" s="155"/>
      <c r="C866" s="155"/>
      <c r="D866" s="156" t="s">
        <v>1488</v>
      </c>
      <c r="E866" s="156" t="s">
        <v>1489</v>
      </c>
      <c r="F866" s="155"/>
      <c r="G866" s="157" t="n">
        <v>2.25</v>
      </c>
      <c r="H866" s="158"/>
      <c r="I866" s="155"/>
      <c r="J866" s="155"/>
      <c r="K866" s="146"/>
    </row>
    <row r="867">
      <c r="A867" s="9" t="s">
        <v>1490</v>
      </c>
      <c r="B867" s="10" t="s">
        <v>84</v>
      </c>
      <c r="C867" s="10" t="s">
        <v>1491</v>
      </c>
      <c r="D867" s="14" t="s">
        <v>1492</v>
      </c>
      <c r="E867" s="10"/>
      <c r="F867" s="10" t="s">
        <v>145</v>
      </c>
      <c r="G867" s="111" t="n">
        <v>100</v>
      </c>
      <c r="H867" s="152" t="n">
        <v>0</v>
      </c>
      <c r="I867" s="111">
        <f>G867*H867</f>
      </c>
      <c r="J867" s="153" t="s">
        <v>134</v>
      </c>
      <c r="K867" s="146"/>
      <c r="Z867" s="111">
        <f>IF(AQ867="5",BJ867,0)</f>
      </c>
      <c r="AB867" s="111">
        <f>IF(AQ867="1",BH867,0)</f>
      </c>
      <c r="AC867" s="111">
        <f>IF(AQ867="1",BI867,0)</f>
      </c>
      <c r="AD867" s="111">
        <f>IF(AQ867="7",BH867,0)</f>
      </c>
      <c r="AE867" s="111">
        <f>IF(AQ867="7",BI867,0)</f>
      </c>
      <c r="AF867" s="111">
        <f>IF(AQ867="2",BH867,0)</f>
      </c>
      <c r="AG867" s="111">
        <f>IF(AQ867="2",BI867,0)</f>
      </c>
      <c r="AH867" s="111">
        <f>IF(AQ867="0",BJ867,0)</f>
      </c>
      <c r="AI867" s="132" t="s">
        <v>84</v>
      </c>
      <c r="AJ867" s="111">
        <f>IF(AN867=0,I867,0)</f>
      </c>
      <c r="AK867" s="111">
        <f>IF(AN867=12,I867,0)</f>
      </c>
      <c r="AL867" s="111">
        <f>IF(AN867=21,I867,0)</f>
      </c>
      <c r="AN867" s="111" t="n">
        <v>21</v>
      </c>
      <c r="AO867" s="111">
        <f>H867*0</f>
      </c>
      <c r="AP867" s="111">
        <f>H867*(1-0)</f>
      </c>
      <c r="AQ867" s="153" t="s">
        <v>130</v>
      </c>
      <c r="AV867" s="111">
        <f>AW867+AX867</f>
      </c>
      <c r="AW867" s="111">
        <f>G867*AO867</f>
      </c>
      <c r="AX867" s="111">
        <f>G867*AP867</f>
      </c>
      <c r="AY867" s="153" t="s">
        <v>1469</v>
      </c>
      <c r="AZ867" s="153" t="s">
        <v>1326</v>
      </c>
      <c r="BA867" s="132" t="s">
        <v>137</v>
      </c>
      <c r="BC867" s="111">
        <f>AW867+AX867</f>
      </c>
      <c r="BD867" s="111">
        <f>H867/(100-BE867)*100</f>
      </c>
      <c r="BE867" s="111" t="n">
        <v>0</v>
      </c>
      <c r="BF867" s="111">
        <f>867</f>
      </c>
      <c r="BH867" s="111">
        <f>G867*AO867</f>
      </c>
      <c r="BI867" s="111">
        <f>G867*AP867</f>
      </c>
      <c r="BJ867" s="111">
        <f>G867*H867</f>
      </c>
      <c r="BK867" s="111"/>
      <c r="BL867" s="111" t="n">
        <v>96</v>
      </c>
      <c r="BW867" s="111" t="n">
        <v>21</v>
      </c>
      <c r="BX867" s="14" t="s">
        <v>1492</v>
      </c>
    </row>
    <row r="868" customHeight="true" ht="13.5">
      <c r="A868" s="159"/>
      <c r="C868" s="160" t="s">
        <v>146</v>
      </c>
      <c r="D868" s="161" t="s">
        <v>1493</v>
      </c>
      <c r="E868" s="156"/>
      <c r="F868" s="156"/>
      <c r="G868" s="156"/>
      <c r="H868" s="162"/>
      <c r="I868" s="156"/>
      <c r="J868" s="156"/>
      <c r="K868" s="163"/>
    </row>
    <row r="869">
      <c r="A869" s="154"/>
      <c r="B869" s="155"/>
      <c r="C869" s="155"/>
      <c r="D869" s="156" t="s">
        <v>698</v>
      </c>
      <c r="E869" s="156" t="s">
        <v>1494</v>
      </c>
      <c r="F869" s="155"/>
      <c r="G869" s="157" t="n">
        <v>85</v>
      </c>
      <c r="H869" s="158"/>
      <c r="I869" s="155"/>
      <c r="J869" s="155"/>
      <c r="K869" s="146"/>
    </row>
    <row r="870">
      <c r="A870" s="154"/>
      <c r="B870" s="155"/>
      <c r="C870" s="155"/>
      <c r="D870" s="156" t="s">
        <v>224</v>
      </c>
      <c r="E870" s="156" t="s">
        <v>1495</v>
      </c>
      <c r="F870" s="155"/>
      <c r="G870" s="157" t="n">
        <v>15</v>
      </c>
      <c r="H870" s="158"/>
      <c r="I870" s="155"/>
      <c r="J870" s="155"/>
      <c r="K870" s="146"/>
    </row>
    <row r="871">
      <c r="A871" s="9" t="s">
        <v>1496</v>
      </c>
      <c r="B871" s="10" t="s">
        <v>84</v>
      </c>
      <c r="C871" s="10" t="s">
        <v>1497</v>
      </c>
      <c r="D871" s="14" t="s">
        <v>1498</v>
      </c>
      <c r="E871" s="10"/>
      <c r="F871" s="10" t="s">
        <v>159</v>
      </c>
      <c r="G871" s="111" t="n">
        <v>2.75946</v>
      </c>
      <c r="H871" s="152" t="n">
        <v>0</v>
      </c>
      <c r="I871" s="111">
        <f>G871*H871</f>
      </c>
      <c r="J871" s="153" t="s">
        <v>134</v>
      </c>
      <c r="K871" s="146"/>
      <c r="Z871" s="111">
        <f>IF(AQ871="5",BJ871,0)</f>
      </c>
      <c r="AB871" s="111">
        <f>IF(AQ871="1",BH871,0)</f>
      </c>
      <c r="AC871" s="111">
        <f>IF(AQ871="1",BI871,0)</f>
      </c>
      <c r="AD871" s="111">
        <f>IF(AQ871="7",BH871,0)</f>
      </c>
      <c r="AE871" s="111">
        <f>IF(AQ871="7",BI871,0)</f>
      </c>
      <c r="AF871" s="111">
        <f>IF(AQ871="2",BH871,0)</f>
      </c>
      <c r="AG871" s="111">
        <f>IF(AQ871="2",BI871,0)</f>
      </c>
      <c r="AH871" s="111">
        <f>IF(AQ871="0",BJ871,0)</f>
      </c>
      <c r="AI871" s="132" t="s">
        <v>84</v>
      </c>
      <c r="AJ871" s="111">
        <f>IF(AN871=0,I871,0)</f>
      </c>
      <c r="AK871" s="111">
        <f>IF(AN871=12,I871,0)</f>
      </c>
      <c r="AL871" s="111">
        <f>IF(AN871=21,I871,0)</f>
      </c>
      <c r="AN871" s="111" t="n">
        <v>21</v>
      </c>
      <c r="AO871" s="111">
        <f>H871*0.013908991</f>
      </c>
      <c r="AP871" s="111">
        <f>H871*(1-0.013908991)</f>
      </c>
      <c r="AQ871" s="153" t="s">
        <v>130</v>
      </c>
      <c r="AV871" s="111">
        <f>AW871+AX871</f>
      </c>
      <c r="AW871" s="111">
        <f>G871*AO871</f>
      </c>
      <c r="AX871" s="111">
        <f>G871*AP871</f>
      </c>
      <c r="AY871" s="153" t="s">
        <v>1469</v>
      </c>
      <c r="AZ871" s="153" t="s">
        <v>1326</v>
      </c>
      <c r="BA871" s="132" t="s">
        <v>137</v>
      </c>
      <c r="BC871" s="111">
        <f>AW871+AX871</f>
      </c>
      <c r="BD871" s="111">
        <f>H871/(100-BE871)*100</f>
      </c>
      <c r="BE871" s="111" t="n">
        <v>0</v>
      </c>
      <c r="BF871" s="111">
        <f>871</f>
      </c>
      <c r="BH871" s="111">
        <f>G871*AO871</f>
      </c>
      <c r="BI871" s="111">
        <f>G871*AP871</f>
      </c>
      <c r="BJ871" s="111">
        <f>G871*H871</f>
      </c>
      <c r="BK871" s="111"/>
      <c r="BL871" s="111" t="n">
        <v>96</v>
      </c>
      <c r="BW871" s="111" t="n">
        <v>21</v>
      </c>
      <c r="BX871" s="14" t="s">
        <v>1498</v>
      </c>
    </row>
    <row r="872">
      <c r="A872" s="154"/>
      <c r="B872" s="155"/>
      <c r="C872" s="155"/>
      <c r="D872" s="156" t="s">
        <v>1499</v>
      </c>
      <c r="E872" s="156" t="s">
        <v>1500</v>
      </c>
      <c r="F872" s="155"/>
      <c r="G872" s="157" t="n">
        <v>2.75946</v>
      </c>
      <c r="H872" s="158"/>
      <c r="I872" s="155"/>
      <c r="J872" s="155"/>
      <c r="K872" s="146"/>
    </row>
    <row r="873">
      <c r="A873" s="9" t="s">
        <v>1501</v>
      </c>
      <c r="B873" s="10" t="s">
        <v>84</v>
      </c>
      <c r="C873" s="10" t="s">
        <v>1502</v>
      </c>
      <c r="D873" s="14" t="s">
        <v>1503</v>
      </c>
      <c r="E873" s="10"/>
      <c r="F873" s="10" t="s">
        <v>159</v>
      </c>
      <c r="G873" s="111" t="n">
        <v>3.2736</v>
      </c>
      <c r="H873" s="152" t="n">
        <v>0</v>
      </c>
      <c r="I873" s="111">
        <f>G873*H873</f>
      </c>
      <c r="J873" s="153" t="s">
        <v>134</v>
      </c>
      <c r="K873" s="146"/>
      <c r="Z873" s="111">
        <f>IF(AQ873="5",BJ873,0)</f>
      </c>
      <c r="AB873" s="111">
        <f>IF(AQ873="1",BH873,0)</f>
      </c>
      <c r="AC873" s="111">
        <f>IF(AQ873="1",BI873,0)</f>
      </c>
      <c r="AD873" s="111">
        <f>IF(AQ873="7",BH873,0)</f>
      </c>
      <c r="AE873" s="111">
        <f>IF(AQ873="7",BI873,0)</f>
      </c>
      <c r="AF873" s="111">
        <f>IF(AQ873="2",BH873,0)</f>
      </c>
      <c r="AG873" s="111">
        <f>IF(AQ873="2",BI873,0)</f>
      </c>
      <c r="AH873" s="111">
        <f>IF(AQ873="0",BJ873,0)</f>
      </c>
      <c r="AI873" s="132" t="s">
        <v>84</v>
      </c>
      <c r="AJ873" s="111">
        <f>IF(AN873=0,I873,0)</f>
      </c>
      <c r="AK873" s="111">
        <f>IF(AN873=12,I873,0)</f>
      </c>
      <c r="AL873" s="111">
        <f>IF(AN873=21,I873,0)</f>
      </c>
      <c r="AN873" s="111" t="n">
        <v>21</v>
      </c>
      <c r="AO873" s="111">
        <f>H873*0</f>
      </c>
      <c r="AP873" s="111">
        <f>H873*(1-0)</f>
      </c>
      <c r="AQ873" s="153" t="s">
        <v>130</v>
      </c>
      <c r="AV873" s="111">
        <f>AW873+AX873</f>
      </c>
      <c r="AW873" s="111">
        <f>G873*AO873</f>
      </c>
      <c r="AX873" s="111">
        <f>G873*AP873</f>
      </c>
      <c r="AY873" s="153" t="s">
        <v>1469</v>
      </c>
      <c r="AZ873" s="153" t="s">
        <v>1326</v>
      </c>
      <c r="BA873" s="132" t="s">
        <v>137</v>
      </c>
      <c r="BC873" s="111">
        <f>AW873+AX873</f>
      </c>
      <c r="BD873" s="111">
        <f>H873/(100-BE873)*100</f>
      </c>
      <c r="BE873" s="111" t="n">
        <v>0</v>
      </c>
      <c r="BF873" s="111">
        <f>873</f>
      </c>
      <c r="BH873" s="111">
        <f>G873*AO873</f>
      </c>
      <c r="BI873" s="111">
        <f>G873*AP873</f>
      </c>
      <c r="BJ873" s="111">
        <f>G873*H873</f>
      </c>
      <c r="BK873" s="111"/>
      <c r="BL873" s="111" t="n">
        <v>96</v>
      </c>
      <c r="BW873" s="111" t="n">
        <v>21</v>
      </c>
      <c r="BX873" s="14" t="s">
        <v>1503</v>
      </c>
    </row>
    <row r="874">
      <c r="A874" s="154"/>
      <c r="B874" s="155"/>
      <c r="C874" s="155"/>
      <c r="D874" s="156" t="s">
        <v>1504</v>
      </c>
      <c r="E874" s="156" t="s">
        <v>1500</v>
      </c>
      <c r="F874" s="155"/>
      <c r="G874" s="157" t="n">
        <v>3.2736</v>
      </c>
      <c r="H874" s="158"/>
      <c r="I874" s="155"/>
      <c r="J874" s="155"/>
      <c r="K874" s="146"/>
    </row>
    <row r="875">
      <c r="A875" s="9" t="s">
        <v>1505</v>
      </c>
      <c r="B875" s="10" t="s">
        <v>84</v>
      </c>
      <c r="C875" s="10" t="s">
        <v>1506</v>
      </c>
      <c r="D875" s="14" t="s">
        <v>1507</v>
      </c>
      <c r="E875" s="10"/>
      <c r="F875" s="10" t="s">
        <v>282</v>
      </c>
      <c r="G875" s="111" t="n">
        <v>3.3</v>
      </c>
      <c r="H875" s="152" t="n">
        <v>0</v>
      </c>
      <c r="I875" s="111">
        <f>G875*H875</f>
      </c>
      <c r="J875" s="153" t="s">
        <v>134</v>
      </c>
      <c r="K875" s="146"/>
      <c r="Z875" s="111">
        <f>IF(AQ875="5",BJ875,0)</f>
      </c>
      <c r="AB875" s="111">
        <f>IF(AQ875="1",BH875,0)</f>
      </c>
      <c r="AC875" s="111">
        <f>IF(AQ875="1",BI875,0)</f>
      </c>
      <c r="AD875" s="111">
        <f>IF(AQ875="7",BH875,0)</f>
      </c>
      <c r="AE875" s="111">
        <f>IF(AQ875="7",BI875,0)</f>
      </c>
      <c r="AF875" s="111">
        <f>IF(AQ875="2",BH875,0)</f>
      </c>
      <c r="AG875" s="111">
        <f>IF(AQ875="2",BI875,0)</f>
      </c>
      <c r="AH875" s="111">
        <f>IF(AQ875="0",BJ875,0)</f>
      </c>
      <c r="AI875" s="132" t="s">
        <v>84</v>
      </c>
      <c r="AJ875" s="111">
        <f>IF(AN875=0,I875,0)</f>
      </c>
      <c r="AK875" s="111">
        <f>IF(AN875=12,I875,0)</f>
      </c>
      <c r="AL875" s="111">
        <f>IF(AN875=21,I875,0)</f>
      </c>
      <c r="AN875" s="111" t="n">
        <v>21</v>
      </c>
      <c r="AO875" s="111">
        <f>H875*0</f>
      </c>
      <c r="AP875" s="111">
        <f>H875*(1-0)</f>
      </c>
      <c r="AQ875" s="153" t="s">
        <v>130</v>
      </c>
      <c r="AV875" s="111">
        <f>AW875+AX875</f>
      </c>
      <c r="AW875" s="111">
        <f>G875*AO875</f>
      </c>
      <c r="AX875" s="111">
        <f>G875*AP875</f>
      </c>
      <c r="AY875" s="153" t="s">
        <v>1469</v>
      </c>
      <c r="AZ875" s="153" t="s">
        <v>1326</v>
      </c>
      <c r="BA875" s="132" t="s">
        <v>137</v>
      </c>
      <c r="BC875" s="111">
        <f>AW875+AX875</f>
      </c>
      <c r="BD875" s="111">
        <f>H875/(100-BE875)*100</f>
      </c>
      <c r="BE875" s="111" t="n">
        <v>0</v>
      </c>
      <c r="BF875" s="111">
        <f>875</f>
      </c>
      <c r="BH875" s="111">
        <f>G875*AO875</f>
      </c>
      <c r="BI875" s="111">
        <f>G875*AP875</f>
      </c>
      <c r="BJ875" s="111">
        <f>G875*H875</f>
      </c>
      <c r="BK875" s="111"/>
      <c r="BL875" s="111" t="n">
        <v>96</v>
      </c>
      <c r="BW875" s="111" t="n">
        <v>21</v>
      </c>
      <c r="BX875" s="14" t="s">
        <v>1507</v>
      </c>
    </row>
    <row r="876">
      <c r="A876" s="154"/>
      <c r="B876" s="155"/>
      <c r="C876" s="155"/>
      <c r="D876" s="156" t="s">
        <v>1508</v>
      </c>
      <c r="E876" s="156" t="s">
        <v>1509</v>
      </c>
      <c r="F876" s="155"/>
      <c r="G876" s="157" t="n">
        <v>3.3</v>
      </c>
      <c r="H876" s="158"/>
      <c r="I876" s="155"/>
      <c r="J876" s="155"/>
      <c r="K876" s="146"/>
    </row>
    <row r="877">
      <c r="A877" s="9" t="s">
        <v>1510</v>
      </c>
      <c r="B877" s="10" t="s">
        <v>84</v>
      </c>
      <c r="C877" s="10" t="s">
        <v>1511</v>
      </c>
      <c r="D877" s="14" t="s">
        <v>1512</v>
      </c>
      <c r="E877" s="10"/>
      <c r="F877" s="10" t="s">
        <v>159</v>
      </c>
      <c r="G877" s="111" t="n">
        <v>4.48806</v>
      </c>
      <c r="H877" s="152" t="n">
        <v>0</v>
      </c>
      <c r="I877" s="111">
        <f>G877*H877</f>
      </c>
      <c r="J877" s="153" t="s">
        <v>134</v>
      </c>
      <c r="K877" s="146"/>
      <c r="Z877" s="111">
        <f>IF(AQ877="5",BJ877,0)</f>
      </c>
      <c r="AB877" s="111">
        <f>IF(AQ877="1",BH877,0)</f>
      </c>
      <c r="AC877" s="111">
        <f>IF(AQ877="1",BI877,0)</f>
      </c>
      <c r="AD877" s="111">
        <f>IF(AQ877="7",BH877,0)</f>
      </c>
      <c r="AE877" s="111">
        <f>IF(AQ877="7",BI877,0)</f>
      </c>
      <c r="AF877" s="111">
        <f>IF(AQ877="2",BH877,0)</f>
      </c>
      <c r="AG877" s="111">
        <f>IF(AQ877="2",BI877,0)</f>
      </c>
      <c r="AH877" s="111">
        <f>IF(AQ877="0",BJ877,0)</f>
      </c>
      <c r="AI877" s="132" t="s">
        <v>84</v>
      </c>
      <c r="AJ877" s="111">
        <f>IF(AN877=0,I877,0)</f>
      </c>
      <c r="AK877" s="111">
        <f>IF(AN877=12,I877,0)</f>
      </c>
      <c r="AL877" s="111">
        <f>IF(AN877=21,I877,0)</f>
      </c>
      <c r="AN877" s="111" t="n">
        <v>21</v>
      </c>
      <c r="AO877" s="111">
        <f>H877*0.035145732</f>
      </c>
      <c r="AP877" s="111">
        <f>H877*(1-0.035145732)</f>
      </c>
      <c r="AQ877" s="153" t="s">
        <v>130</v>
      </c>
      <c r="AV877" s="111">
        <f>AW877+AX877</f>
      </c>
      <c r="AW877" s="111">
        <f>G877*AO877</f>
      </c>
      <c r="AX877" s="111">
        <f>G877*AP877</f>
      </c>
      <c r="AY877" s="153" t="s">
        <v>1469</v>
      </c>
      <c r="AZ877" s="153" t="s">
        <v>1326</v>
      </c>
      <c r="BA877" s="132" t="s">
        <v>137</v>
      </c>
      <c r="BC877" s="111">
        <f>AW877+AX877</f>
      </c>
      <c r="BD877" s="111">
        <f>H877/(100-BE877)*100</f>
      </c>
      <c r="BE877" s="111" t="n">
        <v>0</v>
      </c>
      <c r="BF877" s="111">
        <f>877</f>
      </c>
      <c r="BH877" s="111">
        <f>G877*AO877</f>
      </c>
      <c r="BI877" s="111">
        <f>G877*AP877</f>
      </c>
      <c r="BJ877" s="111">
        <f>G877*H877</f>
      </c>
      <c r="BK877" s="111"/>
      <c r="BL877" s="111" t="n">
        <v>96</v>
      </c>
      <c r="BW877" s="111" t="n">
        <v>21</v>
      </c>
      <c r="BX877" s="14" t="s">
        <v>1512</v>
      </c>
    </row>
    <row r="878">
      <c r="A878" s="154"/>
      <c r="B878" s="155"/>
      <c r="C878" s="155"/>
      <c r="D878" s="156" t="s">
        <v>1513</v>
      </c>
      <c r="E878" s="156" t="s">
        <v>1514</v>
      </c>
      <c r="F878" s="155"/>
      <c r="G878" s="157" t="n">
        <v>1.573</v>
      </c>
      <c r="H878" s="158"/>
      <c r="I878" s="155"/>
      <c r="J878" s="155"/>
      <c r="K878" s="146"/>
    </row>
    <row r="879">
      <c r="A879" s="154"/>
      <c r="B879" s="155"/>
      <c r="C879" s="155"/>
      <c r="D879" s="156" t="s">
        <v>1515</v>
      </c>
      <c r="E879" s="156" t="s">
        <v>1516</v>
      </c>
      <c r="F879" s="155"/>
      <c r="G879" s="157" t="n">
        <v>2.91506</v>
      </c>
      <c r="H879" s="158"/>
      <c r="I879" s="155"/>
      <c r="J879" s="155"/>
      <c r="K879" s="146"/>
    </row>
    <row r="880">
      <c r="A880" s="9" t="s">
        <v>1517</v>
      </c>
      <c r="B880" s="10" t="s">
        <v>84</v>
      </c>
      <c r="C880" s="10" t="s">
        <v>1518</v>
      </c>
      <c r="D880" s="14" t="s">
        <v>1519</v>
      </c>
      <c r="E880" s="10"/>
      <c r="F880" s="10" t="s">
        <v>133</v>
      </c>
      <c r="G880" s="111" t="n">
        <v>5</v>
      </c>
      <c r="H880" s="152" t="n">
        <v>0</v>
      </c>
      <c r="I880" s="111">
        <f>G880*H880</f>
      </c>
      <c r="J880" s="153" t="s">
        <v>134</v>
      </c>
      <c r="K880" s="146"/>
      <c r="Z880" s="111">
        <f>IF(AQ880="5",BJ880,0)</f>
      </c>
      <c r="AB880" s="111">
        <f>IF(AQ880="1",BH880,0)</f>
      </c>
      <c r="AC880" s="111">
        <f>IF(AQ880="1",BI880,0)</f>
      </c>
      <c r="AD880" s="111">
        <f>IF(AQ880="7",BH880,0)</f>
      </c>
      <c r="AE880" s="111">
        <f>IF(AQ880="7",BI880,0)</f>
      </c>
      <c r="AF880" s="111">
        <f>IF(AQ880="2",BH880,0)</f>
      </c>
      <c r="AG880" s="111">
        <f>IF(AQ880="2",BI880,0)</f>
      </c>
      <c r="AH880" s="111">
        <f>IF(AQ880="0",BJ880,0)</f>
      </c>
      <c r="AI880" s="132" t="s">
        <v>84</v>
      </c>
      <c r="AJ880" s="111">
        <f>IF(AN880=0,I880,0)</f>
      </c>
      <c r="AK880" s="111">
        <f>IF(AN880=12,I880,0)</f>
      </c>
      <c r="AL880" s="111">
        <f>IF(AN880=21,I880,0)</f>
      </c>
      <c r="AN880" s="111" t="n">
        <v>21</v>
      </c>
      <c r="AO880" s="111">
        <f>H880*0</f>
      </c>
      <c r="AP880" s="111">
        <f>H880*(1-0)</f>
      </c>
      <c r="AQ880" s="153" t="s">
        <v>130</v>
      </c>
      <c r="AV880" s="111">
        <f>AW880+AX880</f>
      </c>
      <c r="AW880" s="111">
        <f>G880*AO880</f>
      </c>
      <c r="AX880" s="111">
        <f>G880*AP880</f>
      </c>
      <c r="AY880" s="153" t="s">
        <v>1469</v>
      </c>
      <c r="AZ880" s="153" t="s">
        <v>1326</v>
      </c>
      <c r="BA880" s="132" t="s">
        <v>137</v>
      </c>
      <c r="BC880" s="111">
        <f>AW880+AX880</f>
      </c>
      <c r="BD880" s="111">
        <f>H880/(100-BE880)*100</f>
      </c>
      <c r="BE880" s="111" t="n">
        <v>0</v>
      </c>
      <c r="BF880" s="111">
        <f>880</f>
      </c>
      <c r="BH880" s="111">
        <f>G880*AO880</f>
      </c>
      <c r="BI880" s="111">
        <f>G880*AP880</f>
      </c>
      <c r="BJ880" s="111">
        <f>G880*H880</f>
      </c>
      <c r="BK880" s="111"/>
      <c r="BL880" s="111" t="n">
        <v>96</v>
      </c>
      <c r="BW880" s="111" t="n">
        <v>21</v>
      </c>
      <c r="BX880" s="14" t="s">
        <v>1519</v>
      </c>
    </row>
    <row r="881">
      <c r="A881" s="154"/>
      <c r="B881" s="155"/>
      <c r="C881" s="155"/>
      <c r="D881" s="156" t="s">
        <v>156</v>
      </c>
      <c r="E881" s="156" t="s">
        <v>1520</v>
      </c>
      <c r="F881" s="155"/>
      <c r="G881" s="157" t="n">
        <v>5</v>
      </c>
      <c r="H881" s="158"/>
      <c r="I881" s="155"/>
      <c r="J881" s="155"/>
      <c r="K881" s="146"/>
    </row>
    <row r="882">
      <c r="A882" s="9" t="s">
        <v>1521</v>
      </c>
      <c r="B882" s="10" t="s">
        <v>84</v>
      </c>
      <c r="C882" s="10" t="s">
        <v>1522</v>
      </c>
      <c r="D882" s="14" t="s">
        <v>1523</v>
      </c>
      <c r="E882" s="10"/>
      <c r="F882" s="10" t="s">
        <v>145</v>
      </c>
      <c r="G882" s="111" t="n">
        <v>5.045</v>
      </c>
      <c r="H882" s="152" t="n">
        <v>0</v>
      </c>
      <c r="I882" s="111">
        <f>G882*H882</f>
      </c>
      <c r="J882" s="153" t="s">
        <v>134</v>
      </c>
      <c r="K882" s="146"/>
      <c r="Z882" s="111">
        <f>IF(AQ882="5",BJ882,0)</f>
      </c>
      <c r="AB882" s="111">
        <f>IF(AQ882="1",BH882,0)</f>
      </c>
      <c r="AC882" s="111">
        <f>IF(AQ882="1",BI882,0)</f>
      </c>
      <c r="AD882" s="111">
        <f>IF(AQ882="7",BH882,0)</f>
      </c>
      <c r="AE882" s="111">
        <f>IF(AQ882="7",BI882,0)</f>
      </c>
      <c r="AF882" s="111">
        <f>IF(AQ882="2",BH882,0)</f>
      </c>
      <c r="AG882" s="111">
        <f>IF(AQ882="2",BI882,0)</f>
      </c>
      <c r="AH882" s="111">
        <f>IF(AQ882="0",BJ882,0)</f>
      </c>
      <c r="AI882" s="132" t="s">
        <v>84</v>
      </c>
      <c r="AJ882" s="111">
        <f>IF(AN882=0,I882,0)</f>
      </c>
      <c r="AK882" s="111">
        <f>IF(AN882=12,I882,0)</f>
      </c>
      <c r="AL882" s="111">
        <f>IF(AN882=21,I882,0)</f>
      </c>
      <c r="AN882" s="111" t="n">
        <v>21</v>
      </c>
      <c r="AO882" s="111">
        <f>H882*0.181566213</f>
      </c>
      <c r="AP882" s="111">
        <f>H882*(1-0.181566213)</f>
      </c>
      <c r="AQ882" s="153" t="s">
        <v>130</v>
      </c>
      <c r="AV882" s="111">
        <f>AW882+AX882</f>
      </c>
      <c r="AW882" s="111">
        <f>G882*AO882</f>
      </c>
      <c r="AX882" s="111">
        <f>G882*AP882</f>
      </c>
      <c r="AY882" s="153" t="s">
        <v>1469</v>
      </c>
      <c r="AZ882" s="153" t="s">
        <v>1326</v>
      </c>
      <c r="BA882" s="132" t="s">
        <v>137</v>
      </c>
      <c r="BC882" s="111">
        <f>AW882+AX882</f>
      </c>
      <c r="BD882" s="111">
        <f>H882/(100-BE882)*100</f>
      </c>
      <c r="BE882" s="111" t="n">
        <v>0</v>
      </c>
      <c r="BF882" s="111">
        <f>882</f>
      </c>
      <c r="BH882" s="111">
        <f>G882*AO882</f>
      </c>
      <c r="BI882" s="111">
        <f>G882*AP882</f>
      </c>
      <c r="BJ882" s="111">
        <f>G882*H882</f>
      </c>
      <c r="BK882" s="111"/>
      <c r="BL882" s="111" t="n">
        <v>96</v>
      </c>
      <c r="BW882" s="111" t="n">
        <v>21</v>
      </c>
      <c r="BX882" s="14" t="s">
        <v>1523</v>
      </c>
    </row>
    <row r="883">
      <c r="A883" s="154"/>
      <c r="B883" s="155"/>
      <c r="C883" s="155"/>
      <c r="D883" s="156" t="s">
        <v>1524</v>
      </c>
      <c r="E883" s="156" t="s">
        <v>1520</v>
      </c>
      <c r="F883" s="155"/>
      <c r="G883" s="157" t="n">
        <v>2.945</v>
      </c>
      <c r="H883" s="158"/>
      <c r="I883" s="155"/>
      <c r="J883" s="155"/>
      <c r="K883" s="146"/>
    </row>
    <row r="884">
      <c r="A884" s="154"/>
      <c r="B884" s="155"/>
      <c r="C884" s="155"/>
      <c r="D884" s="156" t="s">
        <v>1525</v>
      </c>
      <c r="E884" s="156" t="s">
        <v>4</v>
      </c>
      <c r="F884" s="155"/>
      <c r="G884" s="157" t="n">
        <v>2.1</v>
      </c>
      <c r="H884" s="158"/>
      <c r="I884" s="155"/>
      <c r="J884" s="155"/>
      <c r="K884" s="146"/>
    </row>
    <row r="885">
      <c r="A885" s="147" t="s">
        <v>4</v>
      </c>
      <c r="B885" s="148" t="s">
        <v>84</v>
      </c>
      <c r="C885" s="148" t="s">
        <v>783</v>
      </c>
      <c r="D885" s="149" t="s">
        <v>1526</v>
      </c>
      <c r="E885" s="148"/>
      <c r="F885" s="150" t="s">
        <v>79</v>
      </c>
      <c r="G885" s="150" t="s">
        <v>79</v>
      </c>
      <c r="H885" s="151" t="s">
        <v>79</v>
      </c>
      <c r="I885" s="117">
        <f>SUM(I886:I897)</f>
      </c>
      <c r="J885" s="132" t="s">
        <v>4</v>
      </c>
      <c r="K885" s="146"/>
      <c r="AI885" s="132" t="s">
        <v>84</v>
      </c>
      <c r="AS885" s="117">
        <f>SUM(AJ886:AJ897)</f>
      </c>
      <c r="AT885" s="117">
        <f>SUM(AK886:AK897)</f>
      </c>
      <c r="AU885" s="117">
        <f>SUM(AL886:AL897)</f>
      </c>
    </row>
    <row r="886">
      <c r="A886" s="9" t="s">
        <v>1527</v>
      </c>
      <c r="B886" s="10" t="s">
        <v>84</v>
      </c>
      <c r="C886" s="10" t="s">
        <v>1528</v>
      </c>
      <c r="D886" s="14" t="s">
        <v>1529</v>
      </c>
      <c r="E886" s="10"/>
      <c r="F886" s="10" t="s">
        <v>133</v>
      </c>
      <c r="G886" s="111" t="n">
        <v>10</v>
      </c>
      <c r="H886" s="152" t="n">
        <v>0</v>
      </c>
      <c r="I886" s="111">
        <f>G886*H886</f>
      </c>
      <c r="J886" s="153" t="s">
        <v>134</v>
      </c>
      <c r="K886" s="146"/>
      <c r="Z886" s="111">
        <f>IF(AQ886="5",BJ886,0)</f>
      </c>
      <c r="AB886" s="111">
        <f>IF(AQ886="1",BH886,0)</f>
      </c>
      <c r="AC886" s="111">
        <f>IF(AQ886="1",BI886,0)</f>
      </c>
      <c r="AD886" s="111">
        <f>IF(AQ886="7",BH886,0)</f>
      </c>
      <c r="AE886" s="111">
        <f>IF(AQ886="7",BI886,0)</f>
      </c>
      <c r="AF886" s="111">
        <f>IF(AQ886="2",BH886,0)</f>
      </c>
      <c r="AG886" s="111">
        <f>IF(AQ886="2",BI886,0)</f>
      </c>
      <c r="AH886" s="111">
        <f>IF(AQ886="0",BJ886,0)</f>
      </c>
      <c r="AI886" s="132" t="s">
        <v>84</v>
      </c>
      <c r="AJ886" s="111">
        <f>IF(AN886=0,I886,0)</f>
      </c>
      <c r="AK886" s="111">
        <f>IF(AN886=12,I886,0)</f>
      </c>
      <c r="AL886" s="111">
        <f>IF(AN886=21,I886,0)</f>
      </c>
      <c r="AN886" s="111" t="n">
        <v>21</v>
      </c>
      <c r="AO886" s="111">
        <f>H886*0.037615665</f>
      </c>
      <c r="AP886" s="111">
        <f>H886*(1-0.037615665)</f>
      </c>
      <c r="AQ886" s="153" t="s">
        <v>130</v>
      </c>
      <c r="AV886" s="111">
        <f>AW886+AX886</f>
      </c>
      <c r="AW886" s="111">
        <f>G886*AO886</f>
      </c>
      <c r="AX886" s="111">
        <f>G886*AP886</f>
      </c>
      <c r="AY886" s="153" t="s">
        <v>1530</v>
      </c>
      <c r="AZ886" s="153" t="s">
        <v>1326</v>
      </c>
      <c r="BA886" s="132" t="s">
        <v>137</v>
      </c>
      <c r="BC886" s="111">
        <f>AW886+AX886</f>
      </c>
      <c r="BD886" s="111">
        <f>H886/(100-BE886)*100</f>
      </c>
      <c r="BE886" s="111" t="n">
        <v>0</v>
      </c>
      <c r="BF886" s="111">
        <f>886</f>
      </c>
      <c r="BH886" s="111">
        <f>G886*AO886</f>
      </c>
      <c r="BI886" s="111">
        <f>G886*AP886</f>
      </c>
      <c r="BJ886" s="111">
        <f>G886*H886</f>
      </c>
      <c r="BK886" s="111"/>
      <c r="BL886" s="111" t="n">
        <v>97</v>
      </c>
      <c r="BW886" s="111" t="n">
        <v>21</v>
      </c>
      <c r="BX886" s="14" t="s">
        <v>1529</v>
      </c>
    </row>
    <row r="887">
      <c r="A887" s="154"/>
      <c r="B887" s="155"/>
      <c r="C887" s="155"/>
      <c r="D887" s="156" t="s">
        <v>1531</v>
      </c>
      <c r="E887" s="156" t="s">
        <v>709</v>
      </c>
      <c r="F887" s="155"/>
      <c r="G887" s="157" t="n">
        <v>10</v>
      </c>
      <c r="H887" s="158"/>
      <c r="I887" s="155"/>
      <c r="J887" s="155"/>
      <c r="K887" s="146"/>
    </row>
    <row r="888">
      <c r="A888" s="9" t="s">
        <v>1532</v>
      </c>
      <c r="B888" s="10" t="s">
        <v>84</v>
      </c>
      <c r="C888" s="10" t="s">
        <v>1533</v>
      </c>
      <c r="D888" s="14" t="s">
        <v>1534</v>
      </c>
      <c r="E888" s="10"/>
      <c r="F888" s="10" t="s">
        <v>133</v>
      </c>
      <c r="G888" s="111" t="n">
        <v>6</v>
      </c>
      <c r="H888" s="152" t="n">
        <v>0</v>
      </c>
      <c r="I888" s="111">
        <f>G888*H888</f>
      </c>
      <c r="J888" s="153" t="s">
        <v>134</v>
      </c>
      <c r="K888" s="146"/>
      <c r="Z888" s="111">
        <f>IF(AQ888="5",BJ888,0)</f>
      </c>
      <c r="AB888" s="111">
        <f>IF(AQ888="1",BH888,0)</f>
      </c>
      <c r="AC888" s="111">
        <f>IF(AQ888="1",BI888,0)</f>
      </c>
      <c r="AD888" s="111">
        <f>IF(AQ888="7",BH888,0)</f>
      </c>
      <c r="AE888" s="111">
        <f>IF(AQ888="7",BI888,0)</f>
      </c>
      <c r="AF888" s="111">
        <f>IF(AQ888="2",BH888,0)</f>
      </c>
      <c r="AG888" s="111">
        <f>IF(AQ888="2",BI888,0)</f>
      </c>
      <c r="AH888" s="111">
        <f>IF(AQ888="0",BJ888,0)</f>
      </c>
      <c r="AI888" s="132" t="s">
        <v>84</v>
      </c>
      <c r="AJ888" s="111">
        <f>IF(AN888=0,I888,0)</f>
      </c>
      <c r="AK888" s="111">
        <f>IF(AN888=12,I888,0)</f>
      </c>
      <c r="AL888" s="111">
        <f>IF(AN888=21,I888,0)</f>
      </c>
      <c r="AN888" s="111" t="n">
        <v>21</v>
      </c>
      <c r="AO888" s="111">
        <f>H888*0</f>
      </c>
      <c r="AP888" s="111">
        <f>H888*(1-0)</f>
      </c>
      <c r="AQ888" s="153" t="s">
        <v>130</v>
      </c>
      <c r="AV888" s="111">
        <f>AW888+AX888</f>
      </c>
      <c r="AW888" s="111">
        <f>G888*AO888</f>
      </c>
      <c r="AX888" s="111">
        <f>G888*AP888</f>
      </c>
      <c r="AY888" s="153" t="s">
        <v>1530</v>
      </c>
      <c r="AZ888" s="153" t="s">
        <v>1326</v>
      </c>
      <c r="BA888" s="132" t="s">
        <v>137</v>
      </c>
      <c r="BC888" s="111">
        <f>AW888+AX888</f>
      </c>
      <c r="BD888" s="111">
        <f>H888/(100-BE888)*100</f>
      </c>
      <c r="BE888" s="111" t="n">
        <v>0</v>
      </c>
      <c r="BF888" s="111">
        <f>888</f>
      </c>
      <c r="BH888" s="111">
        <f>G888*AO888</f>
      </c>
      <c r="BI888" s="111">
        <f>G888*AP888</f>
      </c>
      <c r="BJ888" s="111">
        <f>G888*H888</f>
      </c>
      <c r="BK888" s="111"/>
      <c r="BL888" s="111" t="n">
        <v>97</v>
      </c>
      <c r="BW888" s="111" t="n">
        <v>21</v>
      </c>
      <c r="BX888" s="14" t="s">
        <v>1534</v>
      </c>
    </row>
    <row r="889">
      <c r="A889" s="154"/>
      <c r="B889" s="155"/>
      <c r="C889" s="155"/>
      <c r="D889" s="156" t="s">
        <v>1535</v>
      </c>
      <c r="E889" s="156" t="s">
        <v>1536</v>
      </c>
      <c r="F889" s="155"/>
      <c r="G889" s="157" t="n">
        <v>6</v>
      </c>
      <c r="H889" s="158"/>
      <c r="I889" s="155"/>
      <c r="J889" s="155"/>
      <c r="K889" s="146"/>
    </row>
    <row r="890">
      <c r="A890" s="9" t="s">
        <v>1537</v>
      </c>
      <c r="B890" s="10" t="s">
        <v>84</v>
      </c>
      <c r="C890" s="10" t="s">
        <v>1538</v>
      </c>
      <c r="D890" s="14" t="s">
        <v>1539</v>
      </c>
      <c r="E890" s="10"/>
      <c r="F890" s="10" t="s">
        <v>145</v>
      </c>
      <c r="G890" s="111" t="n">
        <v>94.848</v>
      </c>
      <c r="H890" s="152" t="n">
        <v>0</v>
      </c>
      <c r="I890" s="111">
        <f>G890*H890</f>
      </c>
      <c r="J890" s="153" t="s">
        <v>134</v>
      </c>
      <c r="K890" s="146"/>
      <c r="Z890" s="111">
        <f>IF(AQ890="5",BJ890,0)</f>
      </c>
      <c r="AB890" s="111">
        <f>IF(AQ890="1",BH890,0)</f>
      </c>
      <c r="AC890" s="111">
        <f>IF(AQ890="1",BI890,0)</f>
      </c>
      <c r="AD890" s="111">
        <f>IF(AQ890="7",BH890,0)</f>
      </c>
      <c r="AE890" s="111">
        <f>IF(AQ890="7",BI890,0)</f>
      </c>
      <c r="AF890" s="111">
        <f>IF(AQ890="2",BH890,0)</f>
      </c>
      <c r="AG890" s="111">
        <f>IF(AQ890="2",BI890,0)</f>
      </c>
      <c r="AH890" s="111">
        <f>IF(AQ890="0",BJ890,0)</f>
      </c>
      <c r="AI890" s="132" t="s">
        <v>84</v>
      </c>
      <c r="AJ890" s="111">
        <f>IF(AN890=0,I890,0)</f>
      </c>
      <c r="AK890" s="111">
        <f>IF(AN890=12,I890,0)</f>
      </c>
      <c r="AL890" s="111">
        <f>IF(AN890=21,I890,0)</f>
      </c>
      <c r="AN890" s="111" t="n">
        <v>21</v>
      </c>
      <c r="AO890" s="111">
        <f>H890*0</f>
      </c>
      <c r="AP890" s="111">
        <f>H890*(1-0)</f>
      </c>
      <c r="AQ890" s="153" t="s">
        <v>130</v>
      </c>
      <c r="AV890" s="111">
        <f>AW890+AX890</f>
      </c>
      <c r="AW890" s="111">
        <f>G890*AO890</f>
      </c>
      <c r="AX890" s="111">
        <f>G890*AP890</f>
      </c>
      <c r="AY890" s="153" t="s">
        <v>1530</v>
      </c>
      <c r="AZ890" s="153" t="s">
        <v>1326</v>
      </c>
      <c r="BA890" s="132" t="s">
        <v>137</v>
      </c>
      <c r="BC890" s="111">
        <f>AW890+AX890</f>
      </c>
      <c r="BD890" s="111">
        <f>H890/(100-BE890)*100</f>
      </c>
      <c r="BE890" s="111" t="n">
        <v>0</v>
      </c>
      <c r="BF890" s="111">
        <f>890</f>
      </c>
      <c r="BH890" s="111">
        <f>G890*AO890</f>
      </c>
      <c r="BI890" s="111">
        <f>G890*AP890</f>
      </c>
      <c r="BJ890" s="111">
        <f>G890*H890</f>
      </c>
      <c r="BK890" s="111"/>
      <c r="BL890" s="111" t="n">
        <v>97</v>
      </c>
      <c r="BW890" s="111" t="n">
        <v>21</v>
      </c>
      <c r="BX890" s="14" t="s">
        <v>1539</v>
      </c>
    </row>
    <row r="891">
      <c r="A891" s="154"/>
      <c r="B891" s="155"/>
      <c r="C891" s="155"/>
      <c r="D891" s="156" t="s">
        <v>1540</v>
      </c>
      <c r="E891" s="156" t="s">
        <v>1541</v>
      </c>
      <c r="F891" s="155"/>
      <c r="G891" s="157" t="n">
        <v>18.69</v>
      </c>
      <c r="H891" s="158"/>
      <c r="I891" s="155"/>
      <c r="J891" s="155"/>
      <c r="K891" s="146"/>
    </row>
    <row r="892">
      <c r="A892" s="154"/>
      <c r="B892" s="155"/>
      <c r="C892" s="155"/>
      <c r="D892" s="156" t="s">
        <v>1070</v>
      </c>
      <c r="E892" s="156" t="s">
        <v>1071</v>
      </c>
      <c r="F892" s="155"/>
      <c r="G892" s="157" t="n">
        <v>47.268</v>
      </c>
      <c r="H892" s="158"/>
      <c r="I892" s="155"/>
      <c r="J892" s="155"/>
      <c r="K892" s="146"/>
    </row>
    <row r="893">
      <c r="A893" s="154"/>
      <c r="B893" s="155"/>
      <c r="C893" s="155"/>
      <c r="D893" s="156" t="s">
        <v>1542</v>
      </c>
      <c r="E893" s="156" t="s">
        <v>1073</v>
      </c>
      <c r="F893" s="155"/>
      <c r="G893" s="157" t="n">
        <v>28.89</v>
      </c>
      <c r="H893" s="158"/>
      <c r="I893" s="155"/>
      <c r="J893" s="155"/>
      <c r="K893" s="146"/>
    </row>
    <row r="894">
      <c r="A894" s="9" t="s">
        <v>1543</v>
      </c>
      <c r="B894" s="10" t="s">
        <v>84</v>
      </c>
      <c r="C894" s="10" t="s">
        <v>1544</v>
      </c>
      <c r="D894" s="14" t="s">
        <v>1545</v>
      </c>
      <c r="E894" s="10"/>
      <c r="F894" s="10" t="s">
        <v>282</v>
      </c>
      <c r="G894" s="111" t="n">
        <v>3.9</v>
      </c>
      <c r="H894" s="152" t="n">
        <v>0</v>
      </c>
      <c r="I894" s="111">
        <f>G894*H894</f>
      </c>
      <c r="J894" s="153" t="s">
        <v>134</v>
      </c>
      <c r="K894" s="146"/>
      <c r="Z894" s="111">
        <f>IF(AQ894="5",BJ894,0)</f>
      </c>
      <c r="AB894" s="111">
        <f>IF(AQ894="1",BH894,0)</f>
      </c>
      <c r="AC894" s="111">
        <f>IF(AQ894="1",BI894,0)</f>
      </c>
      <c r="AD894" s="111">
        <f>IF(AQ894="7",BH894,0)</f>
      </c>
      <c r="AE894" s="111">
        <f>IF(AQ894="7",BI894,0)</f>
      </c>
      <c r="AF894" s="111">
        <f>IF(AQ894="2",BH894,0)</f>
      </c>
      <c r="AG894" s="111">
        <f>IF(AQ894="2",BI894,0)</f>
      </c>
      <c r="AH894" s="111">
        <f>IF(AQ894="0",BJ894,0)</f>
      </c>
      <c r="AI894" s="132" t="s">
        <v>84</v>
      </c>
      <c r="AJ894" s="111">
        <f>IF(AN894=0,I894,0)</f>
      </c>
      <c r="AK894" s="111">
        <f>IF(AN894=12,I894,0)</f>
      </c>
      <c r="AL894" s="111">
        <f>IF(AN894=21,I894,0)</f>
      </c>
      <c r="AN894" s="111" t="n">
        <v>21</v>
      </c>
      <c r="AO894" s="111">
        <f>H894*0.238697674</f>
      </c>
      <c r="AP894" s="111">
        <f>H894*(1-0.238697674)</f>
      </c>
      <c r="AQ894" s="153" t="s">
        <v>130</v>
      </c>
      <c r="AV894" s="111">
        <f>AW894+AX894</f>
      </c>
      <c r="AW894" s="111">
        <f>G894*AO894</f>
      </c>
      <c r="AX894" s="111">
        <f>G894*AP894</f>
      </c>
      <c r="AY894" s="153" t="s">
        <v>1530</v>
      </c>
      <c r="AZ894" s="153" t="s">
        <v>1326</v>
      </c>
      <c r="BA894" s="132" t="s">
        <v>137</v>
      </c>
      <c r="BC894" s="111">
        <f>AW894+AX894</f>
      </c>
      <c r="BD894" s="111">
        <f>H894/(100-BE894)*100</f>
      </c>
      <c r="BE894" s="111" t="n">
        <v>0</v>
      </c>
      <c r="BF894" s="111">
        <f>894</f>
      </c>
      <c r="BH894" s="111">
        <f>G894*AO894</f>
      </c>
      <c r="BI894" s="111">
        <f>G894*AP894</f>
      </c>
      <c r="BJ894" s="111">
        <f>G894*H894</f>
      </c>
      <c r="BK894" s="111"/>
      <c r="BL894" s="111" t="n">
        <v>97</v>
      </c>
      <c r="BW894" s="111" t="n">
        <v>21</v>
      </c>
      <c r="BX894" s="14" t="s">
        <v>1545</v>
      </c>
    </row>
    <row r="895">
      <c r="A895" s="154"/>
      <c r="B895" s="155"/>
      <c r="C895" s="155"/>
      <c r="D895" s="156" t="s">
        <v>874</v>
      </c>
      <c r="E895" s="156" t="s">
        <v>862</v>
      </c>
      <c r="F895" s="155"/>
      <c r="G895" s="157" t="n">
        <v>2.1</v>
      </c>
      <c r="H895" s="158"/>
      <c r="I895" s="155"/>
      <c r="J895" s="155"/>
      <c r="K895" s="146"/>
    </row>
    <row r="896">
      <c r="A896" s="154"/>
      <c r="B896" s="155"/>
      <c r="C896" s="155"/>
      <c r="D896" s="156" t="s">
        <v>1546</v>
      </c>
      <c r="E896" s="156" t="s">
        <v>933</v>
      </c>
      <c r="F896" s="155"/>
      <c r="G896" s="157" t="n">
        <v>1.8</v>
      </c>
      <c r="H896" s="158"/>
      <c r="I896" s="155"/>
      <c r="J896" s="155"/>
      <c r="K896" s="146"/>
    </row>
    <row r="897">
      <c r="A897" s="9" t="s">
        <v>1547</v>
      </c>
      <c r="B897" s="10" t="s">
        <v>84</v>
      </c>
      <c r="C897" s="10" t="s">
        <v>1548</v>
      </c>
      <c r="D897" s="14" t="s">
        <v>1549</v>
      </c>
      <c r="E897" s="10"/>
      <c r="F897" s="10" t="s">
        <v>145</v>
      </c>
      <c r="G897" s="111" t="n">
        <v>15.24585</v>
      </c>
      <c r="H897" s="152" t="n">
        <v>0</v>
      </c>
      <c r="I897" s="111">
        <f>G897*H897</f>
      </c>
      <c r="J897" s="153" t="s">
        <v>134</v>
      </c>
      <c r="K897" s="146"/>
      <c r="Z897" s="111">
        <f>IF(AQ897="5",BJ897,0)</f>
      </c>
      <c r="AB897" s="111">
        <f>IF(AQ897="1",BH897,0)</f>
      </c>
      <c r="AC897" s="111">
        <f>IF(AQ897="1",BI897,0)</f>
      </c>
      <c r="AD897" s="111">
        <f>IF(AQ897="7",BH897,0)</f>
      </c>
      <c r="AE897" s="111">
        <f>IF(AQ897="7",BI897,0)</f>
      </c>
      <c r="AF897" s="111">
        <f>IF(AQ897="2",BH897,0)</f>
      </c>
      <c r="AG897" s="111">
        <f>IF(AQ897="2",BI897,0)</f>
      </c>
      <c r="AH897" s="111">
        <f>IF(AQ897="0",BJ897,0)</f>
      </c>
      <c r="AI897" s="132" t="s">
        <v>84</v>
      </c>
      <c r="AJ897" s="111">
        <f>IF(AN897=0,I897,0)</f>
      </c>
      <c r="AK897" s="111">
        <f>IF(AN897=12,I897,0)</f>
      </c>
      <c r="AL897" s="111">
        <f>IF(AN897=21,I897,0)</f>
      </c>
      <c r="AN897" s="111" t="n">
        <v>21</v>
      </c>
      <c r="AO897" s="111">
        <f>H897*0.24959685</f>
      </c>
      <c r="AP897" s="111">
        <f>H897*(1-0.24959685)</f>
      </c>
      <c r="AQ897" s="153" t="s">
        <v>130</v>
      </c>
      <c r="AV897" s="111">
        <f>AW897+AX897</f>
      </c>
      <c r="AW897" s="111">
        <f>G897*AO897</f>
      </c>
      <c r="AX897" s="111">
        <f>G897*AP897</f>
      </c>
      <c r="AY897" s="153" t="s">
        <v>1530</v>
      </c>
      <c r="AZ897" s="153" t="s">
        <v>1326</v>
      </c>
      <c r="BA897" s="132" t="s">
        <v>137</v>
      </c>
      <c r="BC897" s="111">
        <f>AW897+AX897</f>
      </c>
      <c r="BD897" s="111">
        <f>H897/(100-BE897)*100</f>
      </c>
      <c r="BE897" s="111" t="n">
        <v>0</v>
      </c>
      <c r="BF897" s="111">
        <f>897</f>
      </c>
      <c r="BH897" s="111">
        <f>G897*AO897</f>
      </c>
      <c r="BI897" s="111">
        <f>G897*AP897</f>
      </c>
      <c r="BJ897" s="111">
        <f>G897*H897</f>
      </c>
      <c r="BK897" s="111"/>
      <c r="BL897" s="111" t="n">
        <v>97</v>
      </c>
      <c r="BW897" s="111" t="n">
        <v>21</v>
      </c>
      <c r="BX897" s="14" t="s">
        <v>1549</v>
      </c>
    </row>
    <row r="898" customHeight="true" ht="13.5">
      <c r="A898" s="159"/>
      <c r="C898" s="160" t="s">
        <v>146</v>
      </c>
      <c r="D898" s="161" t="s">
        <v>1550</v>
      </c>
      <c r="E898" s="156"/>
      <c r="F898" s="156"/>
      <c r="G898" s="156"/>
      <c r="H898" s="162"/>
      <c r="I898" s="156"/>
      <c r="J898" s="156"/>
      <c r="K898" s="163"/>
    </row>
    <row r="899">
      <c r="A899" s="154"/>
      <c r="B899" s="155"/>
      <c r="C899" s="155"/>
      <c r="D899" s="156" t="s">
        <v>1551</v>
      </c>
      <c r="E899" s="156" t="s">
        <v>933</v>
      </c>
      <c r="F899" s="155"/>
      <c r="G899" s="157" t="n">
        <v>15.24585</v>
      </c>
      <c r="H899" s="158"/>
      <c r="I899" s="155"/>
      <c r="J899" s="155"/>
      <c r="K899" s="146"/>
    </row>
    <row r="900">
      <c r="A900" s="147" t="s">
        <v>4</v>
      </c>
      <c r="B900" s="148" t="s">
        <v>84</v>
      </c>
      <c r="C900" s="148" t="s">
        <v>793</v>
      </c>
      <c r="D900" s="149" t="s">
        <v>1552</v>
      </c>
      <c r="E900" s="148"/>
      <c r="F900" s="150" t="s">
        <v>79</v>
      </c>
      <c r="G900" s="150" t="s">
        <v>79</v>
      </c>
      <c r="H900" s="151" t="s">
        <v>79</v>
      </c>
      <c r="I900" s="117">
        <f>SUM(I901:I901)</f>
      </c>
      <c r="J900" s="132" t="s">
        <v>4</v>
      </c>
      <c r="K900" s="146"/>
      <c r="AI900" s="132" t="s">
        <v>84</v>
      </c>
      <c r="AS900" s="117">
        <f>SUM(AJ901:AJ901)</f>
      </c>
      <c r="AT900" s="117">
        <f>SUM(AK901:AK901)</f>
      </c>
      <c r="AU900" s="117">
        <f>SUM(AL901:AL901)</f>
      </c>
    </row>
    <row r="901">
      <c r="A901" s="9" t="s">
        <v>1553</v>
      </c>
      <c r="B901" s="10" t="s">
        <v>84</v>
      </c>
      <c r="C901" s="10" t="s">
        <v>1554</v>
      </c>
      <c r="D901" s="14" t="s">
        <v>1555</v>
      </c>
      <c r="E901" s="10"/>
      <c r="F901" s="10" t="s">
        <v>159</v>
      </c>
      <c r="G901" s="111" t="n">
        <v>470.9277</v>
      </c>
      <c r="H901" s="152" t="n">
        <v>0</v>
      </c>
      <c r="I901" s="111">
        <f>G901*H901</f>
      </c>
      <c r="J901" s="153" t="s">
        <v>134</v>
      </c>
      <c r="K901" s="146"/>
      <c r="Z901" s="111">
        <f>IF(AQ901="5",BJ901,0)</f>
      </c>
      <c r="AB901" s="111">
        <f>IF(AQ901="1",BH901,0)</f>
      </c>
      <c r="AC901" s="111">
        <f>IF(AQ901="1",BI901,0)</f>
      </c>
      <c r="AD901" s="111">
        <f>IF(AQ901="7",BH901,0)</f>
      </c>
      <c r="AE901" s="111">
        <f>IF(AQ901="7",BI901,0)</f>
      </c>
      <c r="AF901" s="111">
        <f>IF(AQ901="2",BH901,0)</f>
      </c>
      <c r="AG901" s="111">
        <f>IF(AQ901="2",BI901,0)</f>
      </c>
      <c r="AH901" s="111">
        <f>IF(AQ901="0",BJ901,0)</f>
      </c>
      <c r="AI901" s="132" t="s">
        <v>84</v>
      </c>
      <c r="AJ901" s="111">
        <f>IF(AN901=0,I901,0)</f>
      </c>
      <c r="AK901" s="111">
        <f>IF(AN901=12,I901,0)</f>
      </c>
      <c r="AL901" s="111">
        <f>IF(AN901=21,I901,0)</f>
      </c>
      <c r="AN901" s="111" t="n">
        <v>21</v>
      </c>
      <c r="AO901" s="111">
        <f>H901*0.009764706</f>
      </c>
      <c r="AP901" s="111">
        <f>H901*(1-0.009764706)</f>
      </c>
      <c r="AQ901" s="153" t="s">
        <v>130</v>
      </c>
      <c r="AV901" s="111">
        <f>AW901+AX901</f>
      </c>
      <c r="AW901" s="111">
        <f>G901*AO901</f>
      </c>
      <c r="AX901" s="111">
        <f>G901*AP901</f>
      </c>
      <c r="AY901" s="153" t="s">
        <v>1556</v>
      </c>
      <c r="AZ901" s="153" t="s">
        <v>1326</v>
      </c>
      <c r="BA901" s="132" t="s">
        <v>137</v>
      </c>
      <c r="BC901" s="111">
        <f>AW901+AX901</f>
      </c>
      <c r="BD901" s="111">
        <f>H901/(100-BE901)*100</f>
      </c>
      <c r="BE901" s="111" t="n">
        <v>0</v>
      </c>
      <c r="BF901" s="111">
        <f>901</f>
      </c>
      <c r="BH901" s="111">
        <f>G901*AO901</f>
      </c>
      <c r="BI901" s="111">
        <f>G901*AP901</f>
      </c>
      <c r="BJ901" s="111">
        <f>G901*H901</f>
      </c>
      <c r="BK901" s="111"/>
      <c r="BL901" s="111" t="n">
        <v>98</v>
      </c>
      <c r="BW901" s="111" t="n">
        <v>21</v>
      </c>
      <c r="BX901" s="14" t="s">
        <v>1555</v>
      </c>
    </row>
    <row r="902" customHeight="true" ht="13.5">
      <c r="A902" s="159"/>
      <c r="C902" s="160" t="s">
        <v>146</v>
      </c>
      <c r="D902" s="161" t="s">
        <v>1557</v>
      </c>
      <c r="E902" s="156"/>
      <c r="F902" s="156"/>
      <c r="G902" s="156"/>
      <c r="H902" s="162"/>
      <c r="I902" s="156"/>
      <c r="J902" s="156"/>
      <c r="K902" s="163"/>
    </row>
    <row r="903">
      <c r="A903" s="154"/>
      <c r="B903" s="155"/>
      <c r="C903" s="155"/>
      <c r="D903" s="156" t="s">
        <v>1558</v>
      </c>
      <c r="E903" s="156" t="s">
        <v>1559</v>
      </c>
      <c r="F903" s="155"/>
      <c r="G903" s="157" t="n">
        <v>23.9277</v>
      </c>
      <c r="H903" s="158"/>
      <c r="I903" s="155"/>
      <c r="J903" s="155"/>
      <c r="K903" s="146"/>
    </row>
    <row r="904">
      <c r="A904" s="154"/>
      <c r="B904" s="155"/>
      <c r="C904" s="155"/>
      <c r="D904" s="156" t="s">
        <v>1560</v>
      </c>
      <c r="E904" s="156" t="s">
        <v>1561</v>
      </c>
      <c r="F904" s="155"/>
      <c r="G904" s="157" t="n">
        <v>19.1</v>
      </c>
      <c r="H904" s="158"/>
      <c r="I904" s="155"/>
      <c r="J904" s="155"/>
      <c r="K904" s="146"/>
    </row>
    <row r="905">
      <c r="A905" s="154"/>
      <c r="B905" s="155"/>
      <c r="C905" s="155"/>
      <c r="D905" s="156" t="s">
        <v>1562</v>
      </c>
      <c r="E905" s="156" t="s">
        <v>1307</v>
      </c>
      <c r="F905" s="155"/>
      <c r="G905" s="157" t="n">
        <v>340.4</v>
      </c>
      <c r="H905" s="158"/>
      <c r="I905" s="155"/>
      <c r="J905" s="155"/>
      <c r="K905" s="146"/>
    </row>
    <row r="906">
      <c r="A906" s="154"/>
      <c r="B906" s="155"/>
      <c r="C906" s="155"/>
      <c r="D906" s="156" t="s">
        <v>342</v>
      </c>
      <c r="E906" s="156" t="s">
        <v>1563</v>
      </c>
      <c r="F906" s="155"/>
      <c r="G906" s="157" t="n">
        <v>30</v>
      </c>
      <c r="H906" s="158"/>
      <c r="I906" s="155"/>
      <c r="J906" s="155"/>
      <c r="K906" s="146"/>
    </row>
    <row r="907">
      <c r="A907" s="154"/>
      <c r="B907" s="155"/>
      <c r="C907" s="155"/>
      <c r="D907" s="156" t="s">
        <v>1564</v>
      </c>
      <c r="E907" s="156" t="s">
        <v>1565</v>
      </c>
      <c r="F907" s="155"/>
      <c r="G907" s="157" t="n">
        <v>57.5</v>
      </c>
      <c r="H907" s="158"/>
      <c r="I907" s="155"/>
      <c r="J907" s="155"/>
      <c r="K907" s="146"/>
    </row>
    <row r="908">
      <c r="A908" s="147" t="s">
        <v>4</v>
      </c>
      <c r="B908" s="148" t="s">
        <v>84</v>
      </c>
      <c r="C908" s="148" t="s">
        <v>1566</v>
      </c>
      <c r="D908" s="149" t="s">
        <v>1567</v>
      </c>
      <c r="E908" s="148"/>
      <c r="F908" s="150" t="s">
        <v>79</v>
      </c>
      <c r="G908" s="150" t="s">
        <v>79</v>
      </c>
      <c r="H908" s="151" t="s">
        <v>79</v>
      </c>
      <c r="I908" s="117">
        <f>SUM(I909:I928)</f>
      </c>
      <c r="J908" s="132" t="s">
        <v>4</v>
      </c>
      <c r="K908" s="146"/>
      <c r="AI908" s="132" t="s">
        <v>84</v>
      </c>
      <c r="AS908" s="117">
        <f>SUM(AJ909:AJ928)</f>
      </c>
      <c r="AT908" s="117">
        <f>SUM(AK909:AK928)</f>
      </c>
      <c r="AU908" s="117">
        <f>SUM(AL909:AL928)</f>
      </c>
    </row>
    <row r="909">
      <c r="A909" s="9" t="s">
        <v>1568</v>
      </c>
      <c r="B909" s="10" t="s">
        <v>84</v>
      </c>
      <c r="C909" s="10" t="s">
        <v>1569</v>
      </c>
      <c r="D909" s="14" t="s">
        <v>1570</v>
      </c>
      <c r="E909" s="10"/>
      <c r="F909" s="10" t="s">
        <v>229</v>
      </c>
      <c r="G909" s="111" t="n">
        <v>410.802</v>
      </c>
      <c r="H909" s="152" t="n">
        <v>0</v>
      </c>
      <c r="I909" s="111">
        <f>G909*H909</f>
      </c>
      <c r="J909" s="153" t="s">
        <v>134</v>
      </c>
      <c r="K909" s="146"/>
      <c r="Z909" s="111">
        <f>IF(AQ909="5",BJ909,0)</f>
      </c>
      <c r="AB909" s="111">
        <f>IF(AQ909="1",BH909,0)</f>
      </c>
      <c r="AC909" s="111">
        <f>IF(AQ909="1",BI909,0)</f>
      </c>
      <c r="AD909" s="111">
        <f>IF(AQ909="7",BH909,0)</f>
      </c>
      <c r="AE909" s="111">
        <f>IF(AQ909="7",BI909,0)</f>
      </c>
      <c r="AF909" s="111">
        <f>IF(AQ909="2",BH909,0)</f>
      </c>
      <c r="AG909" s="111">
        <f>IF(AQ909="2",BI909,0)</f>
      </c>
      <c r="AH909" s="111">
        <f>IF(AQ909="0",BJ909,0)</f>
      </c>
      <c r="AI909" s="132" t="s">
        <v>84</v>
      </c>
      <c r="AJ909" s="111">
        <f>IF(AN909=0,I909,0)</f>
      </c>
      <c r="AK909" s="111">
        <f>IF(AN909=12,I909,0)</f>
      </c>
      <c r="AL909" s="111">
        <f>IF(AN909=21,I909,0)</f>
      </c>
      <c r="AN909" s="111" t="n">
        <v>21</v>
      </c>
      <c r="AO909" s="111">
        <f>H909*0</f>
      </c>
      <c r="AP909" s="111">
        <f>H909*(1-0)</f>
      </c>
      <c r="AQ909" s="153" t="s">
        <v>156</v>
      </c>
      <c r="AV909" s="111">
        <f>AW909+AX909</f>
      </c>
      <c r="AW909" s="111">
        <f>G909*AO909</f>
      </c>
      <c r="AX909" s="111">
        <f>G909*AP909</f>
      </c>
      <c r="AY909" s="153" t="s">
        <v>1571</v>
      </c>
      <c r="AZ909" s="153" t="s">
        <v>1326</v>
      </c>
      <c r="BA909" s="132" t="s">
        <v>137</v>
      </c>
      <c r="BC909" s="111">
        <f>AW909+AX909</f>
      </c>
      <c r="BD909" s="111">
        <f>H909/(100-BE909)*100</f>
      </c>
      <c r="BE909" s="111" t="n">
        <v>0</v>
      </c>
      <c r="BF909" s="111">
        <f>909</f>
      </c>
      <c r="BH909" s="111">
        <f>G909*AO909</f>
      </c>
      <c r="BI909" s="111">
        <f>G909*AP909</f>
      </c>
      <c r="BJ909" s="111">
        <f>G909*H909</f>
      </c>
      <c r="BK909" s="111"/>
      <c r="BL909" s="111"/>
      <c r="BW909" s="111" t="n">
        <v>21</v>
      </c>
      <c r="BX909" s="14" t="s">
        <v>1570</v>
      </c>
    </row>
    <row r="910">
      <c r="A910" s="154"/>
      <c r="B910" s="155"/>
      <c r="C910" s="155"/>
      <c r="D910" s="156" t="s">
        <v>1572</v>
      </c>
      <c r="E910" s="156" t="s">
        <v>4</v>
      </c>
      <c r="F910" s="155"/>
      <c r="G910" s="157" t="n">
        <v>410.802</v>
      </c>
      <c r="H910" s="158"/>
      <c r="I910" s="155"/>
      <c r="J910" s="155"/>
      <c r="K910" s="146"/>
    </row>
    <row r="911">
      <c r="A911" s="9" t="s">
        <v>1573</v>
      </c>
      <c r="B911" s="10" t="s">
        <v>84</v>
      </c>
      <c r="C911" s="10" t="s">
        <v>1574</v>
      </c>
      <c r="D911" s="14" t="s">
        <v>1575</v>
      </c>
      <c r="E911" s="10"/>
      <c r="F911" s="10" t="s">
        <v>229</v>
      </c>
      <c r="G911" s="111" t="n">
        <v>821.604</v>
      </c>
      <c r="H911" s="152" t="n">
        <v>0</v>
      </c>
      <c r="I911" s="111">
        <f>G911*H911</f>
      </c>
      <c r="J911" s="153" t="s">
        <v>134</v>
      </c>
      <c r="K911" s="146"/>
      <c r="Z911" s="111">
        <f>IF(AQ911="5",BJ911,0)</f>
      </c>
      <c r="AB911" s="111">
        <f>IF(AQ911="1",BH911,0)</f>
      </c>
      <c r="AC911" s="111">
        <f>IF(AQ911="1",BI911,0)</f>
      </c>
      <c r="AD911" s="111">
        <f>IF(AQ911="7",BH911,0)</f>
      </c>
      <c r="AE911" s="111">
        <f>IF(AQ911="7",BI911,0)</f>
      </c>
      <c r="AF911" s="111">
        <f>IF(AQ911="2",BH911,0)</f>
      </c>
      <c r="AG911" s="111">
        <f>IF(AQ911="2",BI911,0)</f>
      </c>
      <c r="AH911" s="111">
        <f>IF(AQ911="0",BJ911,0)</f>
      </c>
      <c r="AI911" s="132" t="s">
        <v>84</v>
      </c>
      <c r="AJ911" s="111">
        <f>IF(AN911=0,I911,0)</f>
      </c>
      <c r="AK911" s="111">
        <f>IF(AN911=12,I911,0)</f>
      </c>
      <c r="AL911" s="111">
        <f>IF(AN911=21,I911,0)</f>
      </c>
      <c r="AN911" s="111" t="n">
        <v>21</v>
      </c>
      <c r="AO911" s="111">
        <f>H911*0</f>
      </c>
      <c r="AP911" s="111">
        <f>H911*(1-0)</f>
      </c>
      <c r="AQ911" s="153" t="s">
        <v>156</v>
      </c>
      <c r="AV911" s="111">
        <f>AW911+AX911</f>
      </c>
      <c r="AW911" s="111">
        <f>G911*AO911</f>
      </c>
      <c r="AX911" s="111">
        <f>G911*AP911</f>
      </c>
      <c r="AY911" s="153" t="s">
        <v>1571</v>
      </c>
      <c r="AZ911" s="153" t="s">
        <v>1326</v>
      </c>
      <c r="BA911" s="132" t="s">
        <v>137</v>
      </c>
      <c r="BC911" s="111">
        <f>AW911+AX911</f>
      </c>
      <c r="BD911" s="111">
        <f>H911/(100-BE911)*100</f>
      </c>
      <c r="BE911" s="111" t="n">
        <v>0</v>
      </c>
      <c r="BF911" s="111">
        <f>911</f>
      </c>
      <c r="BH911" s="111">
        <f>G911*AO911</f>
      </c>
      <c r="BI911" s="111">
        <f>G911*AP911</f>
      </c>
      <c r="BJ911" s="111">
        <f>G911*H911</f>
      </c>
      <c r="BK911" s="111"/>
      <c r="BL911" s="111"/>
      <c r="BW911" s="111" t="n">
        <v>21</v>
      </c>
      <c r="BX911" s="14" t="s">
        <v>1575</v>
      </c>
    </row>
    <row r="912">
      <c r="A912" s="154"/>
      <c r="B912" s="155"/>
      <c r="C912" s="155"/>
      <c r="D912" s="156" t="s">
        <v>1576</v>
      </c>
      <c r="E912" s="156" t="s">
        <v>4</v>
      </c>
      <c r="F912" s="155"/>
      <c r="G912" s="157" t="n">
        <v>821.604</v>
      </c>
      <c r="H912" s="158"/>
      <c r="I912" s="155"/>
      <c r="J912" s="155"/>
      <c r="K912" s="146"/>
    </row>
    <row r="913">
      <c r="A913" s="9" t="s">
        <v>1577</v>
      </c>
      <c r="B913" s="10" t="s">
        <v>84</v>
      </c>
      <c r="C913" s="10" t="s">
        <v>1578</v>
      </c>
      <c r="D913" s="14" t="s">
        <v>1579</v>
      </c>
      <c r="E913" s="10"/>
      <c r="F913" s="10" t="s">
        <v>229</v>
      </c>
      <c r="G913" s="111" t="n">
        <v>410.8</v>
      </c>
      <c r="H913" s="152" t="n">
        <v>0</v>
      </c>
      <c r="I913" s="111">
        <f>G913*H913</f>
      </c>
      <c r="J913" s="153" t="s">
        <v>134</v>
      </c>
      <c r="K913" s="146"/>
      <c r="Z913" s="111">
        <f>IF(AQ913="5",BJ913,0)</f>
      </c>
      <c r="AB913" s="111">
        <f>IF(AQ913="1",BH913,0)</f>
      </c>
      <c r="AC913" s="111">
        <f>IF(AQ913="1",BI913,0)</f>
      </c>
      <c r="AD913" s="111">
        <f>IF(AQ913="7",BH913,0)</f>
      </c>
      <c r="AE913" s="111">
        <f>IF(AQ913="7",BI913,0)</f>
      </c>
      <c r="AF913" s="111">
        <f>IF(AQ913="2",BH913,0)</f>
      </c>
      <c r="AG913" s="111">
        <f>IF(AQ913="2",BI913,0)</f>
      </c>
      <c r="AH913" s="111">
        <f>IF(AQ913="0",BJ913,0)</f>
      </c>
      <c r="AI913" s="132" t="s">
        <v>84</v>
      </c>
      <c r="AJ913" s="111">
        <f>IF(AN913=0,I913,0)</f>
      </c>
      <c r="AK913" s="111">
        <f>IF(AN913=12,I913,0)</f>
      </c>
      <c r="AL913" s="111">
        <f>IF(AN913=21,I913,0)</f>
      </c>
      <c r="AN913" s="111" t="n">
        <v>21</v>
      </c>
      <c r="AO913" s="111">
        <f>H913*0</f>
      </c>
      <c r="AP913" s="111">
        <f>H913*(1-0)</f>
      </c>
      <c r="AQ913" s="153" t="s">
        <v>156</v>
      </c>
      <c r="AV913" s="111">
        <f>AW913+AX913</f>
      </c>
      <c r="AW913" s="111">
        <f>G913*AO913</f>
      </c>
      <c r="AX913" s="111">
        <f>G913*AP913</f>
      </c>
      <c r="AY913" s="153" t="s">
        <v>1571</v>
      </c>
      <c r="AZ913" s="153" t="s">
        <v>1326</v>
      </c>
      <c r="BA913" s="132" t="s">
        <v>137</v>
      </c>
      <c r="BC913" s="111">
        <f>AW913+AX913</f>
      </c>
      <c r="BD913" s="111">
        <f>H913/(100-BE913)*100</f>
      </c>
      <c r="BE913" s="111" t="n">
        <v>0</v>
      </c>
      <c r="BF913" s="111">
        <f>913</f>
      </c>
      <c r="BH913" s="111">
        <f>G913*AO913</f>
      </c>
      <c r="BI913" s="111">
        <f>G913*AP913</f>
      </c>
      <c r="BJ913" s="111">
        <f>G913*H913</f>
      </c>
      <c r="BK913" s="111"/>
      <c r="BL913" s="111"/>
      <c r="BW913" s="111" t="n">
        <v>21</v>
      </c>
      <c r="BX913" s="14" t="s">
        <v>1579</v>
      </c>
    </row>
    <row r="914">
      <c r="A914" s="9" t="s">
        <v>1580</v>
      </c>
      <c r="B914" s="10" t="s">
        <v>84</v>
      </c>
      <c r="C914" s="10" t="s">
        <v>1581</v>
      </c>
      <c r="D914" s="14" t="s">
        <v>1582</v>
      </c>
      <c r="E914" s="10"/>
      <c r="F914" s="10" t="s">
        <v>229</v>
      </c>
      <c r="G914" s="111" t="n">
        <v>3697.2</v>
      </c>
      <c r="H914" s="152" t="n">
        <v>0</v>
      </c>
      <c r="I914" s="111">
        <f>G914*H914</f>
      </c>
      <c r="J914" s="153" t="s">
        <v>134</v>
      </c>
      <c r="K914" s="146"/>
      <c r="Z914" s="111">
        <f>IF(AQ914="5",BJ914,0)</f>
      </c>
      <c r="AB914" s="111">
        <f>IF(AQ914="1",BH914,0)</f>
      </c>
      <c r="AC914" s="111">
        <f>IF(AQ914="1",BI914,0)</f>
      </c>
      <c r="AD914" s="111">
        <f>IF(AQ914="7",BH914,0)</f>
      </c>
      <c r="AE914" s="111">
        <f>IF(AQ914="7",BI914,0)</f>
      </c>
      <c r="AF914" s="111">
        <f>IF(AQ914="2",BH914,0)</f>
      </c>
      <c r="AG914" s="111">
        <f>IF(AQ914="2",BI914,0)</f>
      </c>
      <c r="AH914" s="111">
        <f>IF(AQ914="0",BJ914,0)</f>
      </c>
      <c r="AI914" s="132" t="s">
        <v>84</v>
      </c>
      <c r="AJ914" s="111">
        <f>IF(AN914=0,I914,0)</f>
      </c>
      <c r="AK914" s="111">
        <f>IF(AN914=12,I914,0)</f>
      </c>
      <c r="AL914" s="111">
        <f>IF(AN914=21,I914,0)</f>
      </c>
      <c r="AN914" s="111" t="n">
        <v>21</v>
      </c>
      <c r="AO914" s="111">
        <f>H914*0</f>
      </c>
      <c r="AP914" s="111">
        <f>H914*(1-0)</f>
      </c>
      <c r="AQ914" s="153" t="s">
        <v>156</v>
      </c>
      <c r="AV914" s="111">
        <f>AW914+AX914</f>
      </c>
      <c r="AW914" s="111">
        <f>G914*AO914</f>
      </c>
      <c r="AX914" s="111">
        <f>G914*AP914</f>
      </c>
      <c r="AY914" s="153" t="s">
        <v>1571</v>
      </c>
      <c r="AZ914" s="153" t="s">
        <v>1326</v>
      </c>
      <c r="BA914" s="132" t="s">
        <v>137</v>
      </c>
      <c r="BC914" s="111">
        <f>AW914+AX914</f>
      </c>
      <c r="BD914" s="111">
        <f>H914/(100-BE914)*100</f>
      </c>
      <c r="BE914" s="111" t="n">
        <v>0</v>
      </c>
      <c r="BF914" s="111">
        <f>914</f>
      </c>
      <c r="BH914" s="111">
        <f>G914*AO914</f>
      </c>
      <c r="BI914" s="111">
        <f>G914*AP914</f>
      </c>
      <c r="BJ914" s="111">
        <f>G914*H914</f>
      </c>
      <c r="BK914" s="111"/>
      <c r="BL914" s="111"/>
      <c r="BW914" s="111" t="n">
        <v>21</v>
      </c>
      <c r="BX914" s="14" t="s">
        <v>1582</v>
      </c>
    </row>
    <row r="915">
      <c r="A915" s="154"/>
      <c r="B915" s="155"/>
      <c r="C915" s="155"/>
      <c r="D915" s="156" t="s">
        <v>1583</v>
      </c>
      <c r="E915" s="156" t="s">
        <v>4</v>
      </c>
      <c r="F915" s="155"/>
      <c r="G915" s="157" t="n">
        <v>3697.2</v>
      </c>
      <c r="H915" s="158"/>
      <c r="I915" s="155"/>
      <c r="J915" s="155"/>
      <c r="K915" s="146"/>
    </row>
    <row r="916">
      <c r="A916" s="9" t="s">
        <v>1584</v>
      </c>
      <c r="B916" s="10" t="s">
        <v>84</v>
      </c>
      <c r="C916" s="10" t="s">
        <v>1585</v>
      </c>
      <c r="D916" s="14" t="s">
        <v>1586</v>
      </c>
      <c r="E916" s="10"/>
      <c r="F916" s="10" t="s">
        <v>229</v>
      </c>
      <c r="G916" s="111" t="n">
        <v>3.5</v>
      </c>
      <c r="H916" s="152" t="n">
        <v>0</v>
      </c>
      <c r="I916" s="111">
        <f>G916*H916</f>
      </c>
      <c r="J916" s="153" t="s">
        <v>134</v>
      </c>
      <c r="K916" s="146"/>
      <c r="Z916" s="111">
        <f>IF(AQ916="5",BJ916,0)</f>
      </c>
      <c r="AB916" s="111">
        <f>IF(AQ916="1",BH916,0)</f>
      </c>
      <c r="AC916" s="111">
        <f>IF(AQ916="1",BI916,0)</f>
      </c>
      <c r="AD916" s="111">
        <f>IF(AQ916="7",BH916,0)</f>
      </c>
      <c r="AE916" s="111">
        <f>IF(AQ916="7",BI916,0)</f>
      </c>
      <c r="AF916" s="111">
        <f>IF(AQ916="2",BH916,0)</f>
      </c>
      <c r="AG916" s="111">
        <f>IF(AQ916="2",BI916,0)</f>
      </c>
      <c r="AH916" s="111">
        <f>IF(AQ916="0",BJ916,0)</f>
      </c>
      <c r="AI916" s="132" t="s">
        <v>84</v>
      </c>
      <c r="AJ916" s="111">
        <f>IF(AN916=0,I916,0)</f>
      </c>
      <c r="AK916" s="111">
        <f>IF(AN916=12,I916,0)</f>
      </c>
      <c r="AL916" s="111">
        <f>IF(AN916=21,I916,0)</f>
      </c>
      <c r="AN916" s="111" t="n">
        <v>21</v>
      </c>
      <c r="AO916" s="111">
        <f>H916*0</f>
      </c>
      <c r="AP916" s="111">
        <f>H916*(1-0)</f>
      </c>
      <c r="AQ916" s="153" t="s">
        <v>156</v>
      </c>
      <c r="AV916" s="111">
        <f>AW916+AX916</f>
      </c>
      <c r="AW916" s="111">
        <f>G916*AO916</f>
      </c>
      <c r="AX916" s="111">
        <f>G916*AP916</f>
      </c>
      <c r="AY916" s="153" t="s">
        <v>1571</v>
      </c>
      <c r="AZ916" s="153" t="s">
        <v>1326</v>
      </c>
      <c r="BA916" s="132" t="s">
        <v>137</v>
      </c>
      <c r="BC916" s="111">
        <f>AW916+AX916</f>
      </c>
      <c r="BD916" s="111">
        <f>H916/(100-BE916)*100</f>
      </c>
      <c r="BE916" s="111" t="n">
        <v>0</v>
      </c>
      <c r="BF916" s="111">
        <f>916</f>
      </c>
      <c r="BH916" s="111">
        <f>G916*AO916</f>
      </c>
      <c r="BI916" s="111">
        <f>G916*AP916</f>
      </c>
      <c r="BJ916" s="111">
        <f>G916*H916</f>
      </c>
      <c r="BK916" s="111"/>
      <c r="BL916" s="111"/>
      <c r="BW916" s="111" t="n">
        <v>21</v>
      </c>
      <c r="BX916" s="14" t="s">
        <v>1586</v>
      </c>
    </row>
    <row r="917">
      <c r="A917" s="9" t="s">
        <v>1587</v>
      </c>
      <c r="B917" s="10" t="s">
        <v>84</v>
      </c>
      <c r="C917" s="10" t="s">
        <v>1588</v>
      </c>
      <c r="D917" s="14" t="s">
        <v>1589</v>
      </c>
      <c r="E917" s="10"/>
      <c r="F917" s="10" t="s">
        <v>229</v>
      </c>
      <c r="G917" s="111" t="n">
        <v>410.8</v>
      </c>
      <c r="H917" s="152" t="n">
        <v>0</v>
      </c>
      <c r="I917" s="111">
        <f>G917*H917</f>
      </c>
      <c r="J917" s="153" t="s">
        <v>134</v>
      </c>
      <c r="K917" s="146"/>
      <c r="Z917" s="111">
        <f>IF(AQ917="5",BJ917,0)</f>
      </c>
      <c r="AB917" s="111">
        <f>IF(AQ917="1",BH917,0)</f>
      </c>
      <c r="AC917" s="111">
        <f>IF(AQ917="1",BI917,0)</f>
      </c>
      <c r="AD917" s="111">
        <f>IF(AQ917="7",BH917,0)</f>
      </c>
      <c r="AE917" s="111">
        <f>IF(AQ917="7",BI917,0)</f>
      </c>
      <c r="AF917" s="111">
        <f>IF(AQ917="2",BH917,0)</f>
      </c>
      <c r="AG917" s="111">
        <f>IF(AQ917="2",BI917,0)</f>
      </c>
      <c r="AH917" s="111">
        <f>IF(AQ917="0",BJ917,0)</f>
      </c>
      <c r="AI917" s="132" t="s">
        <v>84</v>
      </c>
      <c r="AJ917" s="111">
        <f>IF(AN917=0,I917,0)</f>
      </c>
      <c r="AK917" s="111">
        <f>IF(AN917=12,I917,0)</f>
      </c>
      <c r="AL917" s="111">
        <f>IF(AN917=21,I917,0)</f>
      </c>
      <c r="AN917" s="111" t="n">
        <v>21</v>
      </c>
      <c r="AO917" s="111">
        <f>H917*0</f>
      </c>
      <c r="AP917" s="111">
        <f>H917*(1-0)</f>
      </c>
      <c r="AQ917" s="153" t="s">
        <v>156</v>
      </c>
      <c r="AV917" s="111">
        <f>AW917+AX917</f>
      </c>
      <c r="AW917" s="111">
        <f>G917*AO917</f>
      </c>
      <c r="AX917" s="111">
        <f>G917*AP917</f>
      </c>
      <c r="AY917" s="153" t="s">
        <v>1571</v>
      </c>
      <c r="AZ917" s="153" t="s">
        <v>1326</v>
      </c>
      <c r="BA917" s="132" t="s">
        <v>137</v>
      </c>
      <c r="BC917" s="111">
        <f>AW917+AX917</f>
      </c>
      <c r="BD917" s="111">
        <f>H917/(100-BE917)*100</f>
      </c>
      <c r="BE917" s="111" t="n">
        <v>0</v>
      </c>
      <c r="BF917" s="111">
        <f>917</f>
      </c>
      <c r="BH917" s="111">
        <f>G917*AO917</f>
      </c>
      <c r="BI917" s="111">
        <f>G917*AP917</f>
      </c>
      <c r="BJ917" s="111">
        <f>G917*H917</f>
      </c>
      <c r="BK917" s="111"/>
      <c r="BL917" s="111"/>
      <c r="BW917" s="111" t="n">
        <v>21</v>
      </c>
      <c r="BX917" s="14" t="s">
        <v>1589</v>
      </c>
    </row>
    <row r="918" ht="24.75">
      <c r="A918" s="9" t="s">
        <v>1461</v>
      </c>
      <c r="B918" s="10" t="s">
        <v>84</v>
      </c>
      <c r="C918" s="10" t="s">
        <v>1590</v>
      </c>
      <c r="D918" s="14" t="s">
        <v>1591</v>
      </c>
      <c r="E918" s="10"/>
      <c r="F918" s="10" t="s">
        <v>229</v>
      </c>
      <c r="G918" s="111" t="n">
        <v>308.8102</v>
      </c>
      <c r="H918" s="152" t="n">
        <v>0</v>
      </c>
      <c r="I918" s="111">
        <f>G918*H918</f>
      </c>
      <c r="J918" s="153" t="s">
        <v>134</v>
      </c>
      <c r="K918" s="146"/>
      <c r="Z918" s="111">
        <f>IF(AQ918="5",BJ918,0)</f>
      </c>
      <c r="AB918" s="111">
        <f>IF(AQ918="1",BH918,0)</f>
      </c>
      <c r="AC918" s="111">
        <f>IF(AQ918="1",BI918,0)</f>
      </c>
      <c r="AD918" s="111">
        <f>IF(AQ918="7",BH918,0)</f>
      </c>
      <c r="AE918" s="111">
        <f>IF(AQ918="7",BI918,0)</f>
      </c>
      <c r="AF918" s="111">
        <f>IF(AQ918="2",BH918,0)</f>
      </c>
      <c r="AG918" s="111">
        <f>IF(AQ918="2",BI918,0)</f>
      </c>
      <c r="AH918" s="111">
        <f>IF(AQ918="0",BJ918,0)</f>
      </c>
      <c r="AI918" s="132" t="s">
        <v>84</v>
      </c>
      <c r="AJ918" s="111">
        <f>IF(AN918=0,I918,0)</f>
      </c>
      <c r="AK918" s="111">
        <f>IF(AN918=12,I918,0)</f>
      </c>
      <c r="AL918" s="111">
        <f>IF(AN918=21,I918,0)</f>
      </c>
      <c r="AN918" s="111" t="n">
        <v>21</v>
      </c>
      <c r="AO918" s="111">
        <f>H918*0</f>
      </c>
      <c r="AP918" s="111">
        <f>H918*(1-0)</f>
      </c>
      <c r="AQ918" s="153" t="s">
        <v>156</v>
      </c>
      <c r="AV918" s="111">
        <f>AW918+AX918</f>
      </c>
      <c r="AW918" s="111">
        <f>G918*AO918</f>
      </c>
      <c r="AX918" s="111">
        <f>G918*AP918</f>
      </c>
      <c r="AY918" s="153" t="s">
        <v>1571</v>
      </c>
      <c r="AZ918" s="153" t="s">
        <v>1326</v>
      </c>
      <c r="BA918" s="132" t="s">
        <v>137</v>
      </c>
      <c r="BC918" s="111">
        <f>AW918+AX918</f>
      </c>
      <c r="BD918" s="111">
        <f>H918/(100-BE918)*100</f>
      </c>
      <c r="BE918" s="111" t="n">
        <v>0</v>
      </c>
      <c r="BF918" s="111">
        <f>918</f>
      </c>
      <c r="BH918" s="111">
        <f>G918*AO918</f>
      </c>
      <c r="BI918" s="111">
        <f>G918*AP918</f>
      </c>
      <c r="BJ918" s="111">
        <f>G918*H918</f>
      </c>
      <c r="BK918" s="111"/>
      <c r="BL918" s="111"/>
      <c r="BW918" s="111" t="n">
        <v>21</v>
      </c>
      <c r="BX918" s="14" t="s">
        <v>1591</v>
      </c>
    </row>
    <row r="919">
      <c r="A919" s="154"/>
      <c r="B919" s="155"/>
      <c r="C919" s="155"/>
      <c r="D919" s="156" t="s">
        <v>1592</v>
      </c>
      <c r="E919" s="156" t="s">
        <v>4</v>
      </c>
      <c r="F919" s="155"/>
      <c r="G919" s="157" t="n">
        <v>308.8102</v>
      </c>
      <c r="H919" s="158"/>
      <c r="I919" s="155"/>
      <c r="J919" s="155"/>
      <c r="K919" s="146"/>
    </row>
    <row r="920">
      <c r="A920" s="9" t="s">
        <v>1593</v>
      </c>
      <c r="B920" s="10" t="s">
        <v>84</v>
      </c>
      <c r="C920" s="10" t="s">
        <v>1594</v>
      </c>
      <c r="D920" s="14" t="s">
        <v>1595</v>
      </c>
      <c r="E920" s="10"/>
      <c r="F920" s="10" t="s">
        <v>229</v>
      </c>
      <c r="G920" s="111" t="n">
        <v>4.972</v>
      </c>
      <c r="H920" s="152" t="n">
        <v>0</v>
      </c>
      <c r="I920" s="111">
        <f>G920*H920</f>
      </c>
      <c r="J920" s="153" t="s">
        <v>134</v>
      </c>
      <c r="K920" s="146"/>
      <c r="Z920" s="111">
        <f>IF(AQ920="5",BJ920,0)</f>
      </c>
      <c r="AB920" s="111">
        <f>IF(AQ920="1",BH920,0)</f>
      </c>
      <c r="AC920" s="111">
        <f>IF(AQ920="1",BI920,0)</f>
      </c>
      <c r="AD920" s="111">
        <f>IF(AQ920="7",BH920,0)</f>
      </c>
      <c r="AE920" s="111">
        <f>IF(AQ920="7",BI920,0)</f>
      </c>
      <c r="AF920" s="111">
        <f>IF(AQ920="2",BH920,0)</f>
      </c>
      <c r="AG920" s="111">
        <f>IF(AQ920="2",BI920,0)</f>
      </c>
      <c r="AH920" s="111">
        <f>IF(AQ920="0",BJ920,0)</f>
      </c>
      <c r="AI920" s="132" t="s">
        <v>84</v>
      </c>
      <c r="AJ920" s="111">
        <f>IF(AN920=0,I920,0)</f>
      </c>
      <c r="AK920" s="111">
        <f>IF(AN920=12,I920,0)</f>
      </c>
      <c r="AL920" s="111">
        <f>IF(AN920=21,I920,0)</f>
      </c>
      <c r="AN920" s="111" t="n">
        <v>21</v>
      </c>
      <c r="AO920" s="111">
        <f>H920*0</f>
      </c>
      <c r="AP920" s="111">
        <f>H920*(1-0)</f>
      </c>
      <c r="AQ920" s="153" t="s">
        <v>156</v>
      </c>
      <c r="AV920" s="111">
        <f>AW920+AX920</f>
      </c>
      <c r="AW920" s="111">
        <f>G920*AO920</f>
      </c>
      <c r="AX920" s="111">
        <f>G920*AP920</f>
      </c>
      <c r="AY920" s="153" t="s">
        <v>1571</v>
      </c>
      <c r="AZ920" s="153" t="s">
        <v>1326</v>
      </c>
      <c r="BA920" s="132" t="s">
        <v>137</v>
      </c>
      <c r="BC920" s="111">
        <f>AW920+AX920</f>
      </c>
      <c r="BD920" s="111">
        <f>H920/(100-BE920)*100</f>
      </c>
      <c r="BE920" s="111" t="n">
        <v>0</v>
      </c>
      <c r="BF920" s="111">
        <f>920</f>
      </c>
      <c r="BH920" s="111">
        <f>G920*AO920</f>
      </c>
      <c r="BI920" s="111">
        <f>G920*AP920</f>
      </c>
      <c r="BJ920" s="111">
        <f>G920*H920</f>
      </c>
      <c r="BK920" s="111"/>
      <c r="BL920" s="111"/>
      <c r="BW920" s="111" t="n">
        <v>21</v>
      </c>
      <c r="BX920" s="14" t="s">
        <v>1595</v>
      </c>
    </row>
    <row r="921">
      <c r="A921" s="154"/>
      <c r="B921" s="155"/>
      <c r="C921" s="155"/>
      <c r="D921" s="156" t="s">
        <v>1596</v>
      </c>
      <c r="E921" s="156" t="s">
        <v>4</v>
      </c>
      <c r="F921" s="155"/>
      <c r="G921" s="157" t="n">
        <v>4.972</v>
      </c>
      <c r="H921" s="158"/>
      <c r="I921" s="155"/>
      <c r="J921" s="155"/>
      <c r="K921" s="146"/>
    </row>
    <row r="922">
      <c r="A922" s="9" t="s">
        <v>1597</v>
      </c>
      <c r="B922" s="10" t="s">
        <v>84</v>
      </c>
      <c r="C922" s="10" t="s">
        <v>227</v>
      </c>
      <c r="D922" s="14" t="s">
        <v>228</v>
      </c>
      <c r="E922" s="10"/>
      <c r="F922" s="10" t="s">
        <v>229</v>
      </c>
      <c r="G922" s="111" t="n">
        <v>11.7</v>
      </c>
      <c r="H922" s="152" t="n">
        <v>0</v>
      </c>
      <c r="I922" s="111">
        <f>G922*H922</f>
      </c>
      <c r="J922" s="153" t="s">
        <v>134</v>
      </c>
      <c r="K922" s="146"/>
      <c r="Z922" s="111">
        <f>IF(AQ922="5",BJ922,0)</f>
      </c>
      <c r="AB922" s="111">
        <f>IF(AQ922="1",BH922,0)</f>
      </c>
      <c r="AC922" s="111">
        <f>IF(AQ922="1",BI922,0)</f>
      </c>
      <c r="AD922" s="111">
        <f>IF(AQ922="7",BH922,0)</f>
      </c>
      <c r="AE922" s="111">
        <f>IF(AQ922="7",BI922,0)</f>
      </c>
      <c r="AF922" s="111">
        <f>IF(AQ922="2",BH922,0)</f>
      </c>
      <c r="AG922" s="111">
        <f>IF(AQ922="2",BI922,0)</f>
      </c>
      <c r="AH922" s="111">
        <f>IF(AQ922="0",BJ922,0)</f>
      </c>
      <c r="AI922" s="132" t="s">
        <v>84</v>
      </c>
      <c r="AJ922" s="111">
        <f>IF(AN922=0,I922,0)</f>
      </c>
      <c r="AK922" s="111">
        <f>IF(AN922=12,I922,0)</f>
      </c>
      <c r="AL922" s="111">
        <f>IF(AN922=21,I922,0)</f>
      </c>
      <c r="AN922" s="111" t="n">
        <v>21</v>
      </c>
      <c r="AO922" s="111">
        <f>H922*0</f>
      </c>
      <c r="AP922" s="111">
        <f>H922*(1-0)</f>
      </c>
      <c r="AQ922" s="153" t="s">
        <v>156</v>
      </c>
      <c r="AV922" s="111">
        <f>AW922+AX922</f>
      </c>
      <c r="AW922" s="111">
        <f>G922*AO922</f>
      </c>
      <c r="AX922" s="111">
        <f>G922*AP922</f>
      </c>
      <c r="AY922" s="153" t="s">
        <v>1571</v>
      </c>
      <c r="AZ922" s="153" t="s">
        <v>1326</v>
      </c>
      <c r="BA922" s="132" t="s">
        <v>137</v>
      </c>
      <c r="BC922" s="111">
        <f>AW922+AX922</f>
      </c>
      <c r="BD922" s="111">
        <f>H922/(100-BE922)*100</f>
      </c>
      <c r="BE922" s="111" t="n">
        <v>0</v>
      </c>
      <c r="BF922" s="111">
        <f>922</f>
      </c>
      <c r="BH922" s="111">
        <f>G922*AO922</f>
      </c>
      <c r="BI922" s="111">
        <f>G922*AP922</f>
      </c>
      <c r="BJ922" s="111">
        <f>G922*H922</f>
      </c>
      <c r="BK922" s="111"/>
      <c r="BL922" s="111"/>
      <c r="BW922" s="111" t="n">
        <v>21</v>
      </c>
      <c r="BX922" s="14" t="s">
        <v>228</v>
      </c>
    </row>
    <row r="923">
      <c r="A923" s="9" t="s">
        <v>1598</v>
      </c>
      <c r="B923" s="10" t="s">
        <v>84</v>
      </c>
      <c r="C923" s="10" t="s">
        <v>1599</v>
      </c>
      <c r="D923" s="14" t="s">
        <v>1600</v>
      </c>
      <c r="E923" s="10"/>
      <c r="F923" s="10" t="s">
        <v>229</v>
      </c>
      <c r="G923" s="111" t="n">
        <v>0.141</v>
      </c>
      <c r="H923" s="152" t="n">
        <v>0</v>
      </c>
      <c r="I923" s="111">
        <f>G923*H923</f>
      </c>
      <c r="J923" s="153" t="s">
        <v>134</v>
      </c>
      <c r="K923" s="146"/>
      <c r="Z923" s="111">
        <f>IF(AQ923="5",BJ923,0)</f>
      </c>
      <c r="AB923" s="111">
        <f>IF(AQ923="1",BH923,0)</f>
      </c>
      <c r="AC923" s="111">
        <f>IF(AQ923="1",BI923,0)</f>
      </c>
      <c r="AD923" s="111">
        <f>IF(AQ923="7",BH923,0)</f>
      </c>
      <c r="AE923" s="111">
        <f>IF(AQ923="7",BI923,0)</f>
      </c>
      <c r="AF923" s="111">
        <f>IF(AQ923="2",BH923,0)</f>
      </c>
      <c r="AG923" s="111">
        <f>IF(AQ923="2",BI923,0)</f>
      </c>
      <c r="AH923" s="111">
        <f>IF(AQ923="0",BJ923,0)</f>
      </c>
      <c r="AI923" s="132" t="s">
        <v>84</v>
      </c>
      <c r="AJ923" s="111">
        <f>IF(AN923=0,I923,0)</f>
      </c>
      <c r="AK923" s="111">
        <f>IF(AN923=12,I923,0)</f>
      </c>
      <c r="AL923" s="111">
        <f>IF(AN923=21,I923,0)</f>
      </c>
      <c r="AN923" s="111" t="n">
        <v>21</v>
      </c>
      <c r="AO923" s="111">
        <f>H923*0</f>
      </c>
      <c r="AP923" s="111">
        <f>H923*(1-0)</f>
      </c>
      <c r="AQ923" s="153" t="s">
        <v>156</v>
      </c>
      <c r="AV923" s="111">
        <f>AW923+AX923</f>
      </c>
      <c r="AW923" s="111">
        <f>G923*AO923</f>
      </c>
      <c r="AX923" s="111">
        <f>G923*AP923</f>
      </c>
      <c r="AY923" s="153" t="s">
        <v>1571</v>
      </c>
      <c r="AZ923" s="153" t="s">
        <v>1326</v>
      </c>
      <c r="BA923" s="132" t="s">
        <v>137</v>
      </c>
      <c r="BC923" s="111">
        <f>AW923+AX923</f>
      </c>
      <c r="BD923" s="111">
        <f>H923/(100-BE923)*100</f>
      </c>
      <c r="BE923" s="111" t="n">
        <v>0</v>
      </c>
      <c r="BF923" s="111">
        <f>923</f>
      </c>
      <c r="BH923" s="111">
        <f>G923*AO923</f>
      </c>
      <c r="BI923" s="111">
        <f>G923*AP923</f>
      </c>
      <c r="BJ923" s="111">
        <f>G923*H923</f>
      </c>
      <c r="BK923" s="111"/>
      <c r="BL923" s="111"/>
      <c r="BW923" s="111" t="n">
        <v>21</v>
      </c>
      <c r="BX923" s="14" t="s">
        <v>1600</v>
      </c>
    </row>
    <row r="924">
      <c r="A924" s="154"/>
      <c r="B924" s="155"/>
      <c r="C924" s="155"/>
      <c r="D924" s="156" t="s">
        <v>1601</v>
      </c>
      <c r="E924" s="156" t="s">
        <v>4</v>
      </c>
      <c r="F924" s="155"/>
      <c r="G924" s="157" t="n">
        <v>0.141</v>
      </c>
      <c r="H924" s="158"/>
      <c r="I924" s="155"/>
      <c r="J924" s="155"/>
      <c r="K924" s="146"/>
    </row>
    <row r="925">
      <c r="A925" s="9" t="s">
        <v>1602</v>
      </c>
      <c r="B925" s="10" t="s">
        <v>84</v>
      </c>
      <c r="C925" s="10" t="s">
        <v>1603</v>
      </c>
      <c r="D925" s="14" t="s">
        <v>1604</v>
      </c>
      <c r="E925" s="10"/>
      <c r="F925" s="10" t="s">
        <v>229</v>
      </c>
      <c r="G925" s="111" t="n">
        <v>0.8</v>
      </c>
      <c r="H925" s="152" t="n">
        <v>0</v>
      </c>
      <c r="I925" s="111">
        <f>G925*H925</f>
      </c>
      <c r="J925" s="153" t="s">
        <v>134</v>
      </c>
      <c r="K925" s="146"/>
      <c r="Z925" s="111">
        <f>IF(AQ925="5",BJ925,0)</f>
      </c>
      <c r="AB925" s="111">
        <f>IF(AQ925="1",BH925,0)</f>
      </c>
      <c r="AC925" s="111">
        <f>IF(AQ925="1",BI925,0)</f>
      </c>
      <c r="AD925" s="111">
        <f>IF(AQ925="7",BH925,0)</f>
      </c>
      <c r="AE925" s="111">
        <f>IF(AQ925="7",BI925,0)</f>
      </c>
      <c r="AF925" s="111">
        <f>IF(AQ925="2",BH925,0)</f>
      </c>
      <c r="AG925" s="111">
        <f>IF(AQ925="2",BI925,0)</f>
      </c>
      <c r="AH925" s="111">
        <f>IF(AQ925="0",BJ925,0)</f>
      </c>
      <c r="AI925" s="132" t="s">
        <v>84</v>
      </c>
      <c r="AJ925" s="111">
        <f>IF(AN925=0,I925,0)</f>
      </c>
      <c r="AK925" s="111">
        <f>IF(AN925=12,I925,0)</f>
      </c>
      <c r="AL925" s="111">
        <f>IF(AN925=21,I925,0)</f>
      </c>
      <c r="AN925" s="111" t="n">
        <v>21</v>
      </c>
      <c r="AO925" s="111">
        <f>H925*0</f>
      </c>
      <c r="AP925" s="111">
        <f>H925*(1-0)</f>
      </c>
      <c r="AQ925" s="153" t="s">
        <v>156</v>
      </c>
      <c r="AV925" s="111">
        <f>AW925+AX925</f>
      </c>
      <c r="AW925" s="111">
        <f>G925*AO925</f>
      </c>
      <c r="AX925" s="111">
        <f>G925*AP925</f>
      </c>
      <c r="AY925" s="153" t="s">
        <v>1571</v>
      </c>
      <c r="AZ925" s="153" t="s">
        <v>1326</v>
      </c>
      <c r="BA925" s="132" t="s">
        <v>137</v>
      </c>
      <c r="BC925" s="111">
        <f>AW925+AX925</f>
      </c>
      <c r="BD925" s="111">
        <f>H925/(100-BE925)*100</f>
      </c>
      <c r="BE925" s="111" t="n">
        <v>0</v>
      </c>
      <c r="BF925" s="111">
        <f>925</f>
      </c>
      <c r="BH925" s="111">
        <f>G925*AO925</f>
      </c>
      <c r="BI925" s="111">
        <f>G925*AP925</f>
      </c>
      <c r="BJ925" s="111">
        <f>G925*H925</f>
      </c>
      <c r="BK925" s="111"/>
      <c r="BL925" s="111"/>
      <c r="BW925" s="111" t="n">
        <v>21</v>
      </c>
      <c r="BX925" s="14" t="s">
        <v>1604</v>
      </c>
    </row>
    <row r="926">
      <c r="A926" s="9" t="s">
        <v>1605</v>
      </c>
      <c r="B926" s="10" t="s">
        <v>84</v>
      </c>
      <c r="C926" s="10" t="s">
        <v>1606</v>
      </c>
      <c r="D926" s="14" t="s">
        <v>1607</v>
      </c>
      <c r="E926" s="10"/>
      <c r="F926" s="10" t="s">
        <v>229</v>
      </c>
      <c r="G926" s="111" t="n">
        <v>1.226</v>
      </c>
      <c r="H926" s="152" t="n">
        <v>0</v>
      </c>
      <c r="I926" s="111">
        <f>G926*H926</f>
      </c>
      <c r="J926" s="153" t="s">
        <v>1608</v>
      </c>
      <c r="K926" s="146"/>
      <c r="Z926" s="111">
        <f>IF(AQ926="5",BJ926,0)</f>
      </c>
      <c r="AB926" s="111">
        <f>IF(AQ926="1",BH926,0)</f>
      </c>
      <c r="AC926" s="111">
        <f>IF(AQ926="1",BI926,0)</f>
      </c>
      <c r="AD926" s="111">
        <f>IF(AQ926="7",BH926,0)</f>
      </c>
      <c r="AE926" s="111">
        <f>IF(AQ926="7",BI926,0)</f>
      </c>
      <c r="AF926" s="111">
        <f>IF(AQ926="2",BH926,0)</f>
      </c>
      <c r="AG926" s="111">
        <f>IF(AQ926="2",BI926,0)</f>
      </c>
      <c r="AH926" s="111">
        <f>IF(AQ926="0",BJ926,0)</f>
      </c>
      <c r="AI926" s="132" t="s">
        <v>84</v>
      </c>
      <c r="AJ926" s="111">
        <f>IF(AN926=0,I926,0)</f>
      </c>
      <c r="AK926" s="111">
        <f>IF(AN926=12,I926,0)</f>
      </c>
      <c r="AL926" s="111">
        <f>IF(AN926=21,I926,0)</f>
      </c>
      <c r="AN926" s="111" t="n">
        <v>21</v>
      </c>
      <c r="AO926" s="111">
        <f>H926*0</f>
      </c>
      <c r="AP926" s="111">
        <f>H926*(1-0)</f>
      </c>
      <c r="AQ926" s="153" t="s">
        <v>156</v>
      </c>
      <c r="AV926" s="111">
        <f>AW926+AX926</f>
      </c>
      <c r="AW926" s="111">
        <f>G926*AO926</f>
      </c>
      <c r="AX926" s="111">
        <f>G926*AP926</f>
      </c>
      <c r="AY926" s="153" t="s">
        <v>1571</v>
      </c>
      <c r="AZ926" s="153" t="s">
        <v>1326</v>
      </c>
      <c r="BA926" s="132" t="s">
        <v>137</v>
      </c>
      <c r="BC926" s="111">
        <f>AW926+AX926</f>
      </c>
      <c r="BD926" s="111">
        <f>H926/(100-BE926)*100</f>
      </c>
      <c r="BE926" s="111" t="n">
        <v>0</v>
      </c>
      <c r="BF926" s="111">
        <f>926</f>
      </c>
      <c r="BH926" s="111">
        <f>G926*AO926</f>
      </c>
      <c r="BI926" s="111">
        <f>G926*AP926</f>
      </c>
      <c r="BJ926" s="111">
        <f>G926*H926</f>
      </c>
      <c r="BK926" s="111"/>
      <c r="BL926" s="111"/>
      <c r="BW926" s="111" t="n">
        <v>21</v>
      </c>
      <c r="BX926" s="14" t="s">
        <v>1607</v>
      </c>
    </row>
    <row r="927">
      <c r="A927" s="159"/>
      <c r="D927" s="156" t="s">
        <v>1609</v>
      </c>
      <c r="E927" s="156" t="s">
        <v>4</v>
      </c>
      <c r="G927" s="157" t="n">
        <v>1.226</v>
      </c>
      <c r="K927" s="146"/>
    </row>
    <row r="928" ht="24.75">
      <c r="A928" s="9" t="s">
        <v>1610</v>
      </c>
      <c r="B928" s="10" t="s">
        <v>84</v>
      </c>
      <c r="C928" s="10" t="s">
        <v>1611</v>
      </c>
      <c r="D928" s="14" t="s">
        <v>1612</v>
      </c>
      <c r="E928" s="10"/>
      <c r="F928" s="10" t="s">
        <v>229</v>
      </c>
      <c r="G928" s="111" t="n">
        <v>83.153</v>
      </c>
      <c r="H928" s="152" t="n">
        <v>0</v>
      </c>
      <c r="I928" s="111">
        <f>G928*H928</f>
      </c>
      <c r="J928" s="153" t="s">
        <v>1608</v>
      </c>
      <c r="K928" s="146"/>
      <c r="Z928" s="111">
        <f>IF(AQ928="5",BJ928,0)</f>
      </c>
      <c r="AB928" s="111">
        <f>IF(AQ928="1",BH928,0)</f>
      </c>
      <c r="AC928" s="111">
        <f>IF(AQ928="1",BI928,0)</f>
      </c>
      <c r="AD928" s="111">
        <f>IF(AQ928="7",BH928,0)</f>
      </c>
      <c r="AE928" s="111">
        <f>IF(AQ928="7",BI928,0)</f>
      </c>
      <c r="AF928" s="111">
        <f>IF(AQ928="2",BH928,0)</f>
      </c>
      <c r="AG928" s="111">
        <f>IF(AQ928="2",BI928,0)</f>
      </c>
      <c r="AH928" s="111">
        <f>IF(AQ928="0",BJ928,0)</f>
      </c>
      <c r="AI928" s="132" t="s">
        <v>84</v>
      </c>
      <c r="AJ928" s="111">
        <f>IF(AN928=0,I928,0)</f>
      </c>
      <c r="AK928" s="111">
        <f>IF(AN928=12,I928,0)</f>
      </c>
      <c r="AL928" s="111">
        <f>IF(AN928=21,I928,0)</f>
      </c>
      <c r="AN928" s="111" t="n">
        <v>21</v>
      </c>
      <c r="AO928" s="111">
        <f>H928*0</f>
      </c>
      <c r="AP928" s="111">
        <f>H928*(1-0)</f>
      </c>
      <c r="AQ928" s="153" t="s">
        <v>156</v>
      </c>
      <c r="AV928" s="111">
        <f>AW928+AX928</f>
      </c>
      <c r="AW928" s="111">
        <f>G928*AO928</f>
      </c>
      <c r="AX928" s="111">
        <f>G928*AP928</f>
      </c>
      <c r="AY928" s="153" t="s">
        <v>1571</v>
      </c>
      <c r="AZ928" s="153" t="s">
        <v>1326</v>
      </c>
      <c r="BA928" s="132" t="s">
        <v>137</v>
      </c>
      <c r="BC928" s="111">
        <f>AW928+AX928</f>
      </c>
      <c r="BD928" s="111">
        <f>H928/(100-BE928)*100</f>
      </c>
      <c r="BE928" s="111" t="n">
        <v>0</v>
      </c>
      <c r="BF928" s="111">
        <f>928</f>
      </c>
      <c r="BH928" s="111">
        <f>G928*AO928</f>
      </c>
      <c r="BI928" s="111">
        <f>G928*AP928</f>
      </c>
      <c r="BJ928" s="111">
        <f>G928*H928</f>
      </c>
      <c r="BK928" s="111"/>
      <c r="BL928" s="111"/>
      <c r="BW928" s="111" t="n">
        <v>21</v>
      </c>
      <c r="BX928" s="14" t="s">
        <v>1612</v>
      </c>
    </row>
    <row r="929">
      <c r="A929" s="159"/>
      <c r="D929" s="156" t="s">
        <v>1613</v>
      </c>
      <c r="E929" s="156" t="s">
        <v>4</v>
      </c>
      <c r="G929" s="157" t="n">
        <v>83.153</v>
      </c>
      <c r="K929" s="146"/>
    </row>
    <row r="930">
      <c r="A930" s="147" t="s">
        <v>4</v>
      </c>
      <c r="B930" s="148" t="s">
        <v>84</v>
      </c>
      <c r="C930" s="148" t="s">
        <v>1614</v>
      </c>
      <c r="D930" s="149" t="s">
        <v>1615</v>
      </c>
      <c r="E930" s="148"/>
      <c r="F930" s="150" t="s">
        <v>79</v>
      </c>
      <c r="G930" s="150" t="s">
        <v>79</v>
      </c>
      <c r="H930" s="151" t="s">
        <v>79</v>
      </c>
      <c r="I930" s="117">
        <f>SUM(I931:I971)</f>
      </c>
      <c r="J930" s="132" t="s">
        <v>4</v>
      </c>
      <c r="K930" s="146"/>
      <c r="AI930" s="132" t="s">
        <v>84</v>
      </c>
      <c r="AS930" s="117">
        <f>SUM(AJ931:AJ971)</f>
      </c>
      <c r="AT930" s="117">
        <f>SUM(AK931:AK971)</f>
      </c>
      <c r="AU930" s="117">
        <f>SUM(AL931:AL971)</f>
      </c>
    </row>
    <row r="931">
      <c r="A931" s="9" t="s">
        <v>1616</v>
      </c>
      <c r="B931" s="10" t="s">
        <v>84</v>
      </c>
      <c r="C931" s="10" t="s">
        <v>1617</v>
      </c>
      <c r="D931" s="14" t="s">
        <v>1618</v>
      </c>
      <c r="E931" s="10"/>
      <c r="F931" s="10" t="s">
        <v>145</v>
      </c>
      <c r="G931" s="111" t="n">
        <v>527.4</v>
      </c>
      <c r="H931" s="152" t="n">
        <v>0</v>
      </c>
      <c r="I931" s="111">
        <f>G931*H931</f>
      </c>
      <c r="J931" s="153" t="s">
        <v>134</v>
      </c>
      <c r="K931" s="146"/>
      <c r="Z931" s="111">
        <f>IF(AQ931="5",BJ931,0)</f>
      </c>
      <c r="AB931" s="111">
        <f>IF(AQ931="1",BH931,0)</f>
      </c>
      <c r="AC931" s="111">
        <f>IF(AQ931="1",BI931,0)</f>
      </c>
      <c r="AD931" s="111">
        <f>IF(AQ931="7",BH931,0)</f>
      </c>
      <c r="AE931" s="111">
        <f>IF(AQ931="7",BI931,0)</f>
      </c>
      <c r="AF931" s="111">
        <f>IF(AQ931="2",BH931,0)</f>
      </c>
      <c r="AG931" s="111">
        <f>IF(AQ931="2",BI931,0)</f>
      </c>
      <c r="AH931" s="111">
        <f>IF(AQ931="0",BJ931,0)</f>
      </c>
      <c r="AI931" s="132" t="s">
        <v>84</v>
      </c>
      <c r="AJ931" s="111">
        <f>IF(AN931=0,I931,0)</f>
      </c>
      <c r="AK931" s="111">
        <f>IF(AN931=12,I931,0)</f>
      </c>
      <c r="AL931" s="111">
        <f>IF(AN931=21,I931,0)</f>
      </c>
      <c r="AN931" s="111" t="n">
        <v>21</v>
      </c>
      <c r="AO931" s="111">
        <f>H931*0.726204239</f>
      </c>
      <c r="AP931" s="111">
        <f>H931*(1-0.726204239)</f>
      </c>
      <c r="AQ931" s="153" t="s">
        <v>173</v>
      </c>
      <c r="AV931" s="111">
        <f>AW931+AX931</f>
      </c>
      <c r="AW931" s="111">
        <f>G931*AO931</f>
      </c>
      <c r="AX931" s="111">
        <f>G931*AP931</f>
      </c>
      <c r="AY931" s="153" t="s">
        <v>1619</v>
      </c>
      <c r="AZ931" s="153" t="s">
        <v>1620</v>
      </c>
      <c r="BA931" s="132" t="s">
        <v>137</v>
      </c>
      <c r="BC931" s="111">
        <f>AW931+AX931</f>
      </c>
      <c r="BD931" s="111">
        <f>H931/(100-BE931)*100</f>
      </c>
      <c r="BE931" s="111" t="n">
        <v>0</v>
      </c>
      <c r="BF931" s="111">
        <f>931</f>
      </c>
      <c r="BH931" s="111">
        <f>G931*AO931</f>
      </c>
      <c r="BI931" s="111">
        <f>G931*AP931</f>
      </c>
      <c r="BJ931" s="111">
        <f>G931*H931</f>
      </c>
      <c r="BK931" s="111"/>
      <c r="BL931" s="111" t="n">
        <v>711</v>
      </c>
      <c r="BW931" s="111" t="n">
        <v>21</v>
      </c>
      <c r="BX931" s="14" t="s">
        <v>1618</v>
      </c>
    </row>
    <row r="932" customHeight="true" ht="13.5">
      <c r="A932" s="159"/>
      <c r="C932" s="160" t="s">
        <v>146</v>
      </c>
      <c r="D932" s="161" t="s">
        <v>1621</v>
      </c>
      <c r="E932" s="156"/>
      <c r="F932" s="156"/>
      <c r="G932" s="156"/>
      <c r="H932" s="162"/>
      <c r="I932" s="156"/>
      <c r="J932" s="156"/>
      <c r="K932" s="163"/>
    </row>
    <row r="933">
      <c r="A933" s="154"/>
      <c r="B933" s="155"/>
      <c r="C933" s="155"/>
      <c r="D933" s="156" t="s">
        <v>358</v>
      </c>
      <c r="E933" s="156" t="s">
        <v>1622</v>
      </c>
      <c r="F933" s="155"/>
      <c r="G933" s="157" t="n">
        <v>527.4</v>
      </c>
      <c r="H933" s="158"/>
      <c r="I933" s="155"/>
      <c r="J933" s="155"/>
      <c r="K933" s="146"/>
    </row>
    <row r="934">
      <c r="A934" s="9" t="s">
        <v>1623</v>
      </c>
      <c r="B934" s="10" t="s">
        <v>84</v>
      </c>
      <c r="C934" s="10" t="s">
        <v>1624</v>
      </c>
      <c r="D934" s="14" t="s">
        <v>1625</v>
      </c>
      <c r="E934" s="10"/>
      <c r="F934" s="10" t="s">
        <v>145</v>
      </c>
      <c r="G934" s="111" t="n">
        <v>527.4</v>
      </c>
      <c r="H934" s="152" t="n">
        <v>0</v>
      </c>
      <c r="I934" s="111">
        <f>G934*H934</f>
      </c>
      <c r="J934" s="153" t="s">
        <v>134</v>
      </c>
      <c r="K934" s="146"/>
      <c r="Z934" s="111">
        <f>IF(AQ934="5",BJ934,0)</f>
      </c>
      <c r="AB934" s="111">
        <f>IF(AQ934="1",BH934,0)</f>
      </c>
      <c r="AC934" s="111">
        <f>IF(AQ934="1",BI934,0)</f>
      </c>
      <c r="AD934" s="111">
        <f>IF(AQ934="7",BH934,0)</f>
      </c>
      <c r="AE934" s="111">
        <f>IF(AQ934="7",BI934,0)</f>
      </c>
      <c r="AF934" s="111">
        <f>IF(AQ934="2",BH934,0)</f>
      </c>
      <c r="AG934" s="111">
        <f>IF(AQ934="2",BI934,0)</f>
      </c>
      <c r="AH934" s="111">
        <f>IF(AQ934="0",BJ934,0)</f>
      </c>
      <c r="AI934" s="132" t="s">
        <v>84</v>
      </c>
      <c r="AJ934" s="111">
        <f>IF(AN934=0,I934,0)</f>
      </c>
      <c r="AK934" s="111">
        <f>IF(AN934=12,I934,0)</f>
      </c>
      <c r="AL934" s="111">
        <f>IF(AN934=21,I934,0)</f>
      </c>
      <c r="AN934" s="111" t="n">
        <v>21</v>
      </c>
      <c r="AO934" s="111">
        <f>H934*0.081081081</f>
      </c>
      <c r="AP934" s="111">
        <f>H934*(1-0.081081081)</f>
      </c>
      <c r="AQ934" s="153" t="s">
        <v>173</v>
      </c>
      <c r="AV934" s="111">
        <f>AW934+AX934</f>
      </c>
      <c r="AW934" s="111">
        <f>G934*AO934</f>
      </c>
      <c r="AX934" s="111">
        <f>G934*AP934</f>
      </c>
      <c r="AY934" s="153" t="s">
        <v>1619</v>
      </c>
      <c r="AZ934" s="153" t="s">
        <v>1620</v>
      </c>
      <c r="BA934" s="132" t="s">
        <v>137</v>
      </c>
      <c r="BC934" s="111">
        <f>AW934+AX934</f>
      </c>
      <c r="BD934" s="111">
        <f>H934/(100-BE934)*100</f>
      </c>
      <c r="BE934" s="111" t="n">
        <v>0</v>
      </c>
      <c r="BF934" s="111">
        <f>934</f>
      </c>
      <c r="BH934" s="111">
        <f>G934*AO934</f>
      </c>
      <c r="BI934" s="111">
        <f>G934*AP934</f>
      </c>
      <c r="BJ934" s="111">
        <f>G934*H934</f>
      </c>
      <c r="BK934" s="111"/>
      <c r="BL934" s="111" t="n">
        <v>711</v>
      </c>
      <c r="BW934" s="111" t="n">
        <v>21</v>
      </c>
      <c r="BX934" s="14" t="s">
        <v>1625</v>
      </c>
    </row>
    <row r="935" customHeight="true" ht="13.5">
      <c r="A935" s="159"/>
      <c r="C935" s="160" t="s">
        <v>146</v>
      </c>
      <c r="D935" s="161" t="s">
        <v>1626</v>
      </c>
      <c r="E935" s="156"/>
      <c r="F935" s="156"/>
      <c r="G935" s="156"/>
      <c r="H935" s="162"/>
      <c r="I935" s="156"/>
      <c r="J935" s="156"/>
      <c r="K935" s="163"/>
    </row>
    <row r="936">
      <c r="A936" s="154"/>
      <c r="B936" s="155"/>
      <c r="C936" s="155"/>
      <c r="D936" s="156" t="s">
        <v>358</v>
      </c>
      <c r="E936" s="156" t="s">
        <v>1622</v>
      </c>
      <c r="F936" s="155"/>
      <c r="G936" s="157" t="n">
        <v>527.4</v>
      </c>
      <c r="H936" s="158"/>
      <c r="I936" s="155"/>
      <c r="J936" s="155"/>
      <c r="K936" s="146"/>
    </row>
    <row r="937">
      <c r="A937" s="9" t="s">
        <v>1627</v>
      </c>
      <c r="B937" s="10" t="s">
        <v>84</v>
      </c>
      <c r="C937" s="10" t="s">
        <v>1628</v>
      </c>
      <c r="D937" s="14" t="s">
        <v>1629</v>
      </c>
      <c r="E937" s="10"/>
      <c r="F937" s="10" t="s">
        <v>145</v>
      </c>
      <c r="G937" s="111" t="n">
        <v>606.51</v>
      </c>
      <c r="H937" s="152" t="n">
        <v>0</v>
      </c>
      <c r="I937" s="111">
        <f>G937*H937</f>
      </c>
      <c r="J937" s="153" t="s">
        <v>134</v>
      </c>
      <c r="K937" s="146"/>
      <c r="Z937" s="111">
        <f>IF(AQ937="5",BJ937,0)</f>
      </c>
      <c r="AB937" s="111">
        <f>IF(AQ937="1",BH937,0)</f>
      </c>
      <c r="AC937" s="111">
        <f>IF(AQ937="1",BI937,0)</f>
      </c>
      <c r="AD937" s="111">
        <f>IF(AQ937="7",BH937,0)</f>
      </c>
      <c r="AE937" s="111">
        <f>IF(AQ937="7",BI937,0)</f>
      </c>
      <c r="AF937" s="111">
        <f>IF(AQ937="2",BH937,0)</f>
      </c>
      <c r="AG937" s="111">
        <f>IF(AQ937="2",BI937,0)</f>
      </c>
      <c r="AH937" s="111">
        <f>IF(AQ937="0",BJ937,0)</f>
      </c>
      <c r="AI937" s="132" t="s">
        <v>84</v>
      </c>
      <c r="AJ937" s="111">
        <f>IF(AN937=0,I937,0)</f>
      </c>
      <c r="AK937" s="111">
        <f>IF(AN937=12,I937,0)</f>
      </c>
      <c r="AL937" s="111">
        <f>IF(AN937=21,I937,0)</f>
      </c>
      <c r="AN937" s="111" t="n">
        <v>21</v>
      </c>
      <c r="AO937" s="111">
        <f>H937*1</f>
      </c>
      <c r="AP937" s="111">
        <f>H937*(1-1)</f>
      </c>
      <c r="AQ937" s="153" t="s">
        <v>173</v>
      </c>
      <c r="AV937" s="111">
        <f>AW937+AX937</f>
      </c>
      <c r="AW937" s="111">
        <f>G937*AO937</f>
      </c>
      <c r="AX937" s="111">
        <f>G937*AP937</f>
      </c>
      <c r="AY937" s="153" t="s">
        <v>1619</v>
      </c>
      <c r="AZ937" s="153" t="s">
        <v>1620</v>
      </c>
      <c r="BA937" s="132" t="s">
        <v>137</v>
      </c>
      <c r="BC937" s="111">
        <f>AW937+AX937</f>
      </c>
      <c r="BD937" s="111">
        <f>H937/(100-BE937)*100</f>
      </c>
      <c r="BE937" s="111" t="n">
        <v>0</v>
      </c>
      <c r="BF937" s="111">
        <f>937</f>
      </c>
      <c r="BH937" s="111">
        <f>G937*AO937</f>
      </c>
      <c r="BI937" s="111">
        <f>G937*AP937</f>
      </c>
      <c r="BJ937" s="111">
        <f>G937*H937</f>
      </c>
      <c r="BK937" s="111"/>
      <c r="BL937" s="111" t="n">
        <v>711</v>
      </c>
      <c r="BW937" s="111" t="n">
        <v>21</v>
      </c>
      <c r="BX937" s="14" t="s">
        <v>1629</v>
      </c>
    </row>
    <row r="938">
      <c r="A938" s="154"/>
      <c r="B938" s="155"/>
      <c r="C938" s="155"/>
      <c r="D938" s="156" t="s">
        <v>358</v>
      </c>
      <c r="E938" s="156" t="s">
        <v>1622</v>
      </c>
      <c r="F938" s="155"/>
      <c r="G938" s="157" t="n">
        <v>527.4</v>
      </c>
      <c r="H938" s="158"/>
      <c r="I938" s="155"/>
      <c r="J938" s="155"/>
      <c r="K938" s="146"/>
    </row>
    <row r="939">
      <c r="A939" s="154"/>
      <c r="B939" s="155"/>
      <c r="C939" s="155"/>
      <c r="D939" s="156" t="s">
        <v>1630</v>
      </c>
      <c r="E939" s="156" t="s">
        <v>674</v>
      </c>
      <c r="F939" s="155"/>
      <c r="G939" s="157" t="n">
        <v>79.11</v>
      </c>
      <c r="H939" s="158"/>
      <c r="I939" s="155"/>
      <c r="J939" s="155"/>
      <c r="K939" s="146"/>
    </row>
    <row r="940">
      <c r="A940" s="9" t="s">
        <v>1631</v>
      </c>
      <c r="B940" s="10" t="s">
        <v>84</v>
      </c>
      <c r="C940" s="10" t="s">
        <v>1632</v>
      </c>
      <c r="D940" s="14" t="s">
        <v>1633</v>
      </c>
      <c r="E940" s="10"/>
      <c r="F940" s="10" t="s">
        <v>145</v>
      </c>
      <c r="G940" s="111" t="n">
        <v>172.801</v>
      </c>
      <c r="H940" s="152" t="n">
        <v>0</v>
      </c>
      <c r="I940" s="111">
        <f>G940*H940</f>
      </c>
      <c r="J940" s="153" t="s">
        <v>134</v>
      </c>
      <c r="K940" s="146"/>
      <c r="Z940" s="111">
        <f>IF(AQ940="5",BJ940,0)</f>
      </c>
      <c r="AB940" s="111">
        <f>IF(AQ940="1",BH940,0)</f>
      </c>
      <c r="AC940" s="111">
        <f>IF(AQ940="1",BI940,0)</f>
      </c>
      <c r="AD940" s="111">
        <f>IF(AQ940="7",BH940,0)</f>
      </c>
      <c r="AE940" s="111">
        <f>IF(AQ940="7",BI940,0)</f>
      </c>
      <c r="AF940" s="111">
        <f>IF(AQ940="2",BH940,0)</f>
      </c>
      <c r="AG940" s="111">
        <f>IF(AQ940="2",BI940,0)</f>
      </c>
      <c r="AH940" s="111">
        <f>IF(AQ940="0",BJ940,0)</f>
      </c>
      <c r="AI940" s="132" t="s">
        <v>84</v>
      </c>
      <c r="AJ940" s="111">
        <f>IF(AN940=0,I940,0)</f>
      </c>
      <c r="AK940" s="111">
        <f>IF(AN940=12,I940,0)</f>
      </c>
      <c r="AL940" s="111">
        <f>IF(AN940=21,I940,0)</f>
      </c>
      <c r="AN940" s="111" t="n">
        <v>21</v>
      </c>
      <c r="AO940" s="111">
        <f>H940*0.642550133</f>
      </c>
      <c r="AP940" s="111">
        <f>H940*(1-0.642550133)</f>
      </c>
      <c r="AQ940" s="153" t="s">
        <v>173</v>
      </c>
      <c r="AV940" s="111">
        <f>AW940+AX940</f>
      </c>
      <c r="AW940" s="111">
        <f>G940*AO940</f>
      </c>
      <c r="AX940" s="111">
        <f>G940*AP940</f>
      </c>
      <c r="AY940" s="153" t="s">
        <v>1619</v>
      </c>
      <c r="AZ940" s="153" t="s">
        <v>1620</v>
      </c>
      <c r="BA940" s="132" t="s">
        <v>137</v>
      </c>
      <c r="BC940" s="111">
        <f>AW940+AX940</f>
      </c>
      <c r="BD940" s="111">
        <f>H940/(100-BE940)*100</f>
      </c>
      <c r="BE940" s="111" t="n">
        <v>0</v>
      </c>
      <c r="BF940" s="111">
        <f>940</f>
      </c>
      <c r="BH940" s="111">
        <f>G940*AO940</f>
      </c>
      <c r="BI940" s="111">
        <f>G940*AP940</f>
      </c>
      <c r="BJ940" s="111">
        <f>G940*H940</f>
      </c>
      <c r="BK940" s="111"/>
      <c r="BL940" s="111" t="n">
        <v>711</v>
      </c>
      <c r="BW940" s="111" t="n">
        <v>21</v>
      </c>
      <c r="BX940" s="14" t="s">
        <v>1633</v>
      </c>
    </row>
    <row r="941" customHeight="true" ht="13.5">
      <c r="A941" s="159"/>
      <c r="C941" s="160" t="s">
        <v>146</v>
      </c>
      <c r="D941" s="161" t="s">
        <v>1634</v>
      </c>
      <c r="E941" s="156"/>
      <c r="F941" s="156"/>
      <c r="G941" s="156"/>
      <c r="H941" s="162"/>
      <c r="I941" s="156"/>
      <c r="J941" s="156"/>
      <c r="K941" s="163"/>
    </row>
    <row r="942">
      <c r="A942" s="154"/>
      <c r="B942" s="155"/>
      <c r="C942" s="155"/>
      <c r="D942" s="156" t="s">
        <v>4</v>
      </c>
      <c r="E942" s="156" t="s">
        <v>1635</v>
      </c>
      <c r="F942" s="155"/>
      <c r="G942" s="157" t="n">
        <v>0</v>
      </c>
      <c r="H942" s="158"/>
      <c r="I942" s="155"/>
      <c r="J942" s="155"/>
      <c r="K942" s="146"/>
    </row>
    <row r="943">
      <c r="A943" s="154"/>
      <c r="B943" s="155"/>
      <c r="C943" s="155"/>
      <c r="D943" s="156" t="s">
        <v>1636</v>
      </c>
      <c r="E943" s="156" t="s">
        <v>1046</v>
      </c>
      <c r="F943" s="155"/>
      <c r="G943" s="157" t="n">
        <v>32.325</v>
      </c>
      <c r="H943" s="158"/>
      <c r="I943" s="155"/>
      <c r="J943" s="155"/>
      <c r="K943" s="146"/>
    </row>
    <row r="944">
      <c r="A944" s="154"/>
      <c r="B944" s="155"/>
      <c r="C944" s="155"/>
      <c r="D944" s="156" t="s">
        <v>1637</v>
      </c>
      <c r="E944" s="156" t="s">
        <v>1048</v>
      </c>
      <c r="F944" s="155"/>
      <c r="G944" s="157" t="n">
        <v>65.17</v>
      </c>
      <c r="H944" s="158"/>
      <c r="I944" s="155"/>
      <c r="J944" s="155"/>
      <c r="K944" s="146"/>
    </row>
    <row r="945">
      <c r="A945" s="154"/>
      <c r="B945" s="155"/>
      <c r="C945" s="155"/>
      <c r="D945" s="156" t="s">
        <v>1638</v>
      </c>
      <c r="E945" s="156" t="s">
        <v>1050</v>
      </c>
      <c r="F945" s="155"/>
      <c r="G945" s="157" t="n">
        <v>30.836</v>
      </c>
      <c r="H945" s="158"/>
      <c r="I945" s="155"/>
      <c r="J945" s="155"/>
      <c r="K945" s="146"/>
    </row>
    <row r="946">
      <c r="A946" s="154"/>
      <c r="B946" s="155"/>
      <c r="C946" s="155"/>
      <c r="D946" s="156" t="s">
        <v>1639</v>
      </c>
      <c r="E946" s="156" t="s">
        <v>1054</v>
      </c>
      <c r="F946" s="155"/>
      <c r="G946" s="157" t="n">
        <v>6.4</v>
      </c>
      <c r="H946" s="158"/>
      <c r="I946" s="155"/>
      <c r="J946" s="155"/>
      <c r="K946" s="146"/>
    </row>
    <row r="947">
      <c r="A947" s="154"/>
      <c r="B947" s="155"/>
      <c r="C947" s="155"/>
      <c r="D947" s="156" t="s">
        <v>1087</v>
      </c>
      <c r="E947" s="156" t="s">
        <v>1640</v>
      </c>
      <c r="F947" s="155"/>
      <c r="G947" s="157" t="n">
        <v>25.2</v>
      </c>
      <c r="H947" s="158"/>
      <c r="I947" s="155"/>
      <c r="J947" s="155"/>
      <c r="K947" s="146"/>
    </row>
    <row r="948">
      <c r="A948" s="154"/>
      <c r="B948" s="155"/>
      <c r="C948" s="155"/>
      <c r="D948" s="156" t="s">
        <v>1641</v>
      </c>
      <c r="E948" s="156" t="s">
        <v>1090</v>
      </c>
      <c r="F948" s="155"/>
      <c r="G948" s="157" t="n">
        <v>12.87</v>
      </c>
      <c r="H948" s="158"/>
      <c r="I948" s="155"/>
      <c r="J948" s="155"/>
      <c r="K948" s="146"/>
    </row>
    <row r="949">
      <c r="A949" s="9" t="s">
        <v>1642</v>
      </c>
      <c r="B949" s="10" t="s">
        <v>84</v>
      </c>
      <c r="C949" s="10" t="s">
        <v>1643</v>
      </c>
      <c r="D949" s="14" t="s">
        <v>1644</v>
      </c>
      <c r="E949" s="10"/>
      <c r="F949" s="10" t="s">
        <v>145</v>
      </c>
      <c r="G949" s="111" t="n">
        <v>172.801</v>
      </c>
      <c r="H949" s="152" t="n">
        <v>0</v>
      </c>
      <c r="I949" s="111">
        <f>G949*H949</f>
      </c>
      <c r="J949" s="153" t="s">
        <v>134</v>
      </c>
      <c r="K949" s="146"/>
      <c r="Z949" s="111">
        <f>IF(AQ949="5",BJ949,0)</f>
      </c>
      <c r="AB949" s="111">
        <f>IF(AQ949="1",BH949,0)</f>
      </c>
      <c r="AC949" s="111">
        <f>IF(AQ949="1",BI949,0)</f>
      </c>
      <c r="AD949" s="111">
        <f>IF(AQ949="7",BH949,0)</f>
      </c>
      <c r="AE949" s="111">
        <f>IF(AQ949="7",BI949,0)</f>
      </c>
      <c r="AF949" s="111">
        <f>IF(AQ949="2",BH949,0)</f>
      </c>
      <c r="AG949" s="111">
        <f>IF(AQ949="2",BI949,0)</f>
      </c>
      <c r="AH949" s="111">
        <f>IF(AQ949="0",BJ949,0)</f>
      </c>
      <c r="AI949" s="132" t="s">
        <v>84</v>
      </c>
      <c r="AJ949" s="111">
        <f>IF(AN949=0,I949,0)</f>
      </c>
      <c r="AK949" s="111">
        <f>IF(AN949=12,I949,0)</f>
      </c>
      <c r="AL949" s="111">
        <f>IF(AN949=21,I949,0)</f>
      </c>
      <c r="AN949" s="111" t="n">
        <v>21</v>
      </c>
      <c r="AO949" s="111">
        <f>H949*0.086389352</f>
      </c>
      <c r="AP949" s="111">
        <f>H949*(1-0.086389352)</f>
      </c>
      <c r="AQ949" s="153" t="s">
        <v>173</v>
      </c>
      <c r="AV949" s="111">
        <f>AW949+AX949</f>
      </c>
      <c r="AW949" s="111">
        <f>G949*AO949</f>
      </c>
      <c r="AX949" s="111">
        <f>G949*AP949</f>
      </c>
      <c r="AY949" s="153" t="s">
        <v>1619</v>
      </c>
      <c r="AZ949" s="153" t="s">
        <v>1620</v>
      </c>
      <c r="BA949" s="132" t="s">
        <v>137</v>
      </c>
      <c r="BC949" s="111">
        <f>AW949+AX949</f>
      </c>
      <c r="BD949" s="111">
        <f>H949/(100-BE949)*100</f>
      </c>
      <c r="BE949" s="111" t="n">
        <v>0</v>
      </c>
      <c r="BF949" s="111">
        <f>949</f>
      </c>
      <c r="BH949" s="111">
        <f>G949*AO949</f>
      </c>
      <c r="BI949" s="111">
        <f>G949*AP949</f>
      </c>
      <c r="BJ949" s="111">
        <f>G949*H949</f>
      </c>
      <c r="BK949" s="111"/>
      <c r="BL949" s="111" t="n">
        <v>711</v>
      </c>
      <c r="BW949" s="111" t="n">
        <v>21</v>
      </c>
      <c r="BX949" s="14" t="s">
        <v>1644</v>
      </c>
    </row>
    <row r="950" customHeight="true" ht="13.5">
      <c r="A950" s="159"/>
      <c r="C950" s="160" t="s">
        <v>146</v>
      </c>
      <c r="D950" s="161" t="s">
        <v>1645</v>
      </c>
      <c r="E950" s="156"/>
      <c r="F950" s="156"/>
      <c r="G950" s="156"/>
      <c r="H950" s="162"/>
      <c r="I950" s="156"/>
      <c r="J950" s="156"/>
      <c r="K950" s="163"/>
    </row>
    <row r="951">
      <c r="A951" s="154"/>
      <c r="B951" s="155"/>
      <c r="C951" s="155"/>
      <c r="D951" s="156" t="s">
        <v>4</v>
      </c>
      <c r="E951" s="156" t="s">
        <v>1635</v>
      </c>
      <c r="F951" s="155"/>
      <c r="G951" s="157" t="n">
        <v>0</v>
      </c>
      <c r="H951" s="158"/>
      <c r="I951" s="155"/>
      <c r="J951" s="155"/>
      <c r="K951" s="146"/>
    </row>
    <row r="952">
      <c r="A952" s="154"/>
      <c r="B952" s="155"/>
      <c r="C952" s="155"/>
      <c r="D952" s="156" t="s">
        <v>1636</v>
      </c>
      <c r="E952" s="156" t="s">
        <v>1046</v>
      </c>
      <c r="F952" s="155"/>
      <c r="G952" s="157" t="n">
        <v>32.325</v>
      </c>
      <c r="H952" s="158"/>
      <c r="I952" s="155"/>
      <c r="J952" s="155"/>
      <c r="K952" s="146"/>
    </row>
    <row r="953">
      <c r="A953" s="154"/>
      <c r="B953" s="155"/>
      <c r="C953" s="155"/>
      <c r="D953" s="156" t="s">
        <v>1637</v>
      </c>
      <c r="E953" s="156" t="s">
        <v>1048</v>
      </c>
      <c r="F953" s="155"/>
      <c r="G953" s="157" t="n">
        <v>65.17</v>
      </c>
      <c r="H953" s="158"/>
      <c r="I953" s="155"/>
      <c r="J953" s="155"/>
      <c r="K953" s="146"/>
    </row>
    <row r="954">
      <c r="A954" s="154"/>
      <c r="B954" s="155"/>
      <c r="C954" s="155"/>
      <c r="D954" s="156" t="s">
        <v>1638</v>
      </c>
      <c r="E954" s="156" t="s">
        <v>1050</v>
      </c>
      <c r="F954" s="155"/>
      <c r="G954" s="157" t="n">
        <v>30.836</v>
      </c>
      <c r="H954" s="158"/>
      <c r="I954" s="155"/>
      <c r="J954" s="155"/>
      <c r="K954" s="146"/>
    </row>
    <row r="955">
      <c r="A955" s="154"/>
      <c r="B955" s="155"/>
      <c r="C955" s="155"/>
      <c r="D955" s="156" t="s">
        <v>1639</v>
      </c>
      <c r="E955" s="156" t="s">
        <v>1054</v>
      </c>
      <c r="F955" s="155"/>
      <c r="G955" s="157" t="n">
        <v>6.4</v>
      </c>
      <c r="H955" s="158"/>
      <c r="I955" s="155"/>
      <c r="J955" s="155"/>
      <c r="K955" s="146"/>
    </row>
    <row r="956">
      <c r="A956" s="154"/>
      <c r="B956" s="155"/>
      <c r="C956" s="155"/>
      <c r="D956" s="156" t="s">
        <v>1087</v>
      </c>
      <c r="E956" s="156" t="s">
        <v>1640</v>
      </c>
      <c r="F956" s="155"/>
      <c r="G956" s="157" t="n">
        <v>25.2</v>
      </c>
      <c r="H956" s="158"/>
      <c r="I956" s="155"/>
      <c r="J956" s="155"/>
      <c r="K956" s="146"/>
    </row>
    <row r="957">
      <c r="A957" s="154"/>
      <c r="B957" s="155"/>
      <c r="C957" s="155"/>
      <c r="D957" s="156" t="s">
        <v>1641</v>
      </c>
      <c r="E957" s="156" t="s">
        <v>1090</v>
      </c>
      <c r="F957" s="155"/>
      <c r="G957" s="157" t="n">
        <v>12.87</v>
      </c>
      <c r="H957" s="158"/>
      <c r="I957" s="155"/>
      <c r="J957" s="155"/>
      <c r="K957" s="146"/>
    </row>
    <row r="958">
      <c r="A958" s="9" t="s">
        <v>1646</v>
      </c>
      <c r="B958" s="10" t="s">
        <v>84</v>
      </c>
      <c r="C958" s="10" t="s">
        <v>1647</v>
      </c>
      <c r="D958" s="14" t="s">
        <v>1648</v>
      </c>
      <c r="E958" s="10"/>
      <c r="F958" s="10" t="s">
        <v>145</v>
      </c>
      <c r="G958" s="111" t="n">
        <v>414.72</v>
      </c>
      <c r="H958" s="152" t="n">
        <v>0</v>
      </c>
      <c r="I958" s="111">
        <f>G958*H958</f>
      </c>
      <c r="J958" s="153" t="s">
        <v>134</v>
      </c>
      <c r="K958" s="146"/>
      <c r="Z958" s="111">
        <f>IF(AQ958="5",BJ958,0)</f>
      </c>
      <c r="AB958" s="111">
        <f>IF(AQ958="1",BH958,0)</f>
      </c>
      <c r="AC958" s="111">
        <f>IF(AQ958="1",BI958,0)</f>
      </c>
      <c r="AD958" s="111">
        <f>IF(AQ958="7",BH958,0)</f>
      </c>
      <c r="AE958" s="111">
        <f>IF(AQ958="7",BI958,0)</f>
      </c>
      <c r="AF958" s="111">
        <f>IF(AQ958="2",BH958,0)</f>
      </c>
      <c r="AG958" s="111">
        <f>IF(AQ958="2",BI958,0)</f>
      </c>
      <c r="AH958" s="111">
        <f>IF(AQ958="0",BJ958,0)</f>
      </c>
      <c r="AI958" s="132" t="s">
        <v>84</v>
      </c>
      <c r="AJ958" s="111">
        <f>IF(AN958=0,I958,0)</f>
      </c>
      <c r="AK958" s="111">
        <f>IF(AN958=12,I958,0)</f>
      </c>
      <c r="AL958" s="111">
        <f>IF(AN958=21,I958,0)</f>
      </c>
      <c r="AN958" s="111" t="n">
        <v>21</v>
      </c>
      <c r="AO958" s="111">
        <f>H958*1</f>
      </c>
      <c r="AP958" s="111">
        <f>H958*(1-1)</f>
      </c>
      <c r="AQ958" s="153" t="s">
        <v>173</v>
      </c>
      <c r="AV958" s="111">
        <f>AW958+AX958</f>
      </c>
      <c r="AW958" s="111">
        <f>G958*AO958</f>
      </c>
      <c r="AX958" s="111">
        <f>G958*AP958</f>
      </c>
      <c r="AY958" s="153" t="s">
        <v>1619</v>
      </c>
      <c r="AZ958" s="153" t="s">
        <v>1620</v>
      </c>
      <c r="BA958" s="132" t="s">
        <v>137</v>
      </c>
      <c r="BC958" s="111">
        <f>AW958+AX958</f>
      </c>
      <c r="BD958" s="111">
        <f>H958/(100-BE958)*100</f>
      </c>
      <c r="BE958" s="111" t="n">
        <v>0</v>
      </c>
      <c r="BF958" s="111">
        <f>958</f>
      </c>
      <c r="BH958" s="111">
        <f>G958*AO958</f>
      </c>
      <c r="BI958" s="111">
        <f>G958*AP958</f>
      </c>
      <c r="BJ958" s="111">
        <f>G958*H958</f>
      </c>
      <c r="BK958" s="111"/>
      <c r="BL958" s="111" t="n">
        <v>711</v>
      </c>
      <c r="BW958" s="111" t="n">
        <v>21</v>
      </c>
      <c r="BX958" s="14" t="s">
        <v>1648</v>
      </c>
    </row>
    <row r="959">
      <c r="A959" s="154"/>
      <c r="B959" s="155"/>
      <c r="C959" s="155"/>
      <c r="D959" s="156" t="s">
        <v>1649</v>
      </c>
      <c r="E959" s="156" t="s">
        <v>1635</v>
      </c>
      <c r="F959" s="155"/>
      <c r="G959" s="157" t="n">
        <v>345.6</v>
      </c>
      <c r="H959" s="158"/>
      <c r="I959" s="155"/>
      <c r="J959" s="155"/>
      <c r="K959" s="146"/>
    </row>
    <row r="960">
      <c r="A960" s="154"/>
      <c r="B960" s="155"/>
      <c r="C960" s="155"/>
      <c r="D960" s="156" t="s">
        <v>1650</v>
      </c>
      <c r="E960" s="156" t="s">
        <v>1651</v>
      </c>
      <c r="F960" s="155"/>
      <c r="G960" s="157" t="n">
        <v>69.12</v>
      </c>
      <c r="H960" s="158"/>
      <c r="I960" s="155"/>
      <c r="J960" s="155"/>
      <c r="K960" s="146"/>
    </row>
    <row r="961">
      <c r="A961" s="9" t="s">
        <v>1652</v>
      </c>
      <c r="B961" s="10" t="s">
        <v>84</v>
      </c>
      <c r="C961" s="10" t="s">
        <v>1653</v>
      </c>
      <c r="D961" s="14" t="s">
        <v>1654</v>
      </c>
      <c r="E961" s="10"/>
      <c r="F961" s="10" t="s">
        <v>145</v>
      </c>
      <c r="G961" s="111" t="n">
        <v>132.3375</v>
      </c>
      <c r="H961" s="152" t="n">
        <v>0</v>
      </c>
      <c r="I961" s="111">
        <f>G961*H961</f>
      </c>
      <c r="J961" s="153" t="s">
        <v>134</v>
      </c>
      <c r="K961" s="146"/>
      <c r="Z961" s="111">
        <f>IF(AQ961="5",BJ961,0)</f>
      </c>
      <c r="AB961" s="111">
        <f>IF(AQ961="1",BH961,0)</f>
      </c>
      <c r="AC961" s="111">
        <f>IF(AQ961="1",BI961,0)</f>
      </c>
      <c r="AD961" s="111">
        <f>IF(AQ961="7",BH961,0)</f>
      </c>
      <c r="AE961" s="111">
        <f>IF(AQ961="7",BI961,0)</f>
      </c>
      <c r="AF961" s="111">
        <f>IF(AQ961="2",BH961,0)</f>
      </c>
      <c r="AG961" s="111">
        <f>IF(AQ961="2",BI961,0)</f>
      </c>
      <c r="AH961" s="111">
        <f>IF(AQ961="0",BJ961,0)</f>
      </c>
      <c r="AI961" s="132" t="s">
        <v>84</v>
      </c>
      <c r="AJ961" s="111">
        <f>IF(AN961=0,I961,0)</f>
      </c>
      <c r="AK961" s="111">
        <f>IF(AN961=12,I961,0)</f>
      </c>
      <c r="AL961" s="111">
        <f>IF(AN961=21,I961,0)</f>
      </c>
      <c r="AN961" s="111" t="n">
        <v>21</v>
      </c>
      <c r="AO961" s="111">
        <f>H961*0.241313916</f>
      </c>
      <c r="AP961" s="111">
        <f>H961*(1-0.241313916)</f>
      </c>
      <c r="AQ961" s="153" t="s">
        <v>173</v>
      </c>
      <c r="AV961" s="111">
        <f>AW961+AX961</f>
      </c>
      <c r="AW961" s="111">
        <f>G961*AO961</f>
      </c>
      <c r="AX961" s="111">
        <f>G961*AP961</f>
      </c>
      <c r="AY961" s="153" t="s">
        <v>1619</v>
      </c>
      <c r="AZ961" s="153" t="s">
        <v>1620</v>
      </c>
      <c r="BA961" s="132" t="s">
        <v>137</v>
      </c>
      <c r="BC961" s="111">
        <f>AW961+AX961</f>
      </c>
      <c r="BD961" s="111">
        <f>H961/(100-BE961)*100</f>
      </c>
      <c r="BE961" s="111" t="n">
        <v>0</v>
      </c>
      <c r="BF961" s="111">
        <f>961</f>
      </c>
      <c r="BH961" s="111">
        <f>G961*AO961</f>
      </c>
      <c r="BI961" s="111">
        <f>G961*AP961</f>
      </c>
      <c r="BJ961" s="111">
        <f>G961*H961</f>
      </c>
      <c r="BK961" s="111"/>
      <c r="BL961" s="111" t="n">
        <v>711</v>
      </c>
      <c r="BW961" s="111" t="n">
        <v>21</v>
      </c>
      <c r="BX961" s="14" t="s">
        <v>1654</v>
      </c>
    </row>
    <row r="962" customHeight="true" ht="13.5">
      <c r="A962" s="159"/>
      <c r="C962" s="160" t="s">
        <v>146</v>
      </c>
      <c r="D962" s="161" t="s">
        <v>1655</v>
      </c>
      <c r="E962" s="156"/>
      <c r="F962" s="156"/>
      <c r="G962" s="156"/>
      <c r="H962" s="162"/>
      <c r="I962" s="156"/>
      <c r="J962" s="156"/>
      <c r="K962" s="163"/>
    </row>
    <row r="963">
      <c r="A963" s="154"/>
      <c r="B963" s="155"/>
      <c r="C963" s="155"/>
      <c r="D963" s="156" t="s">
        <v>4</v>
      </c>
      <c r="E963" s="156" t="s">
        <v>1656</v>
      </c>
      <c r="F963" s="155"/>
      <c r="G963" s="157" t="n">
        <v>0</v>
      </c>
      <c r="H963" s="158"/>
      <c r="I963" s="155"/>
      <c r="J963" s="155"/>
      <c r="K963" s="146"/>
    </row>
    <row r="964">
      <c r="A964" s="154"/>
      <c r="B964" s="155"/>
      <c r="C964" s="155"/>
      <c r="D964" s="156" t="s">
        <v>1083</v>
      </c>
      <c r="E964" s="156" t="s">
        <v>1046</v>
      </c>
      <c r="F964" s="155"/>
      <c r="G964" s="157" t="n">
        <v>17.2325</v>
      </c>
      <c r="H964" s="158"/>
      <c r="I964" s="155"/>
      <c r="J964" s="155"/>
      <c r="K964" s="146"/>
    </row>
    <row r="965">
      <c r="A965" s="154"/>
      <c r="B965" s="155"/>
      <c r="C965" s="155"/>
      <c r="D965" s="156" t="s">
        <v>1084</v>
      </c>
      <c r="E965" s="156" t="s">
        <v>1048</v>
      </c>
      <c r="F965" s="155"/>
      <c r="G965" s="157" t="n">
        <v>57.19</v>
      </c>
      <c r="H965" s="158"/>
      <c r="I965" s="155"/>
      <c r="J965" s="155"/>
      <c r="K965" s="146"/>
    </row>
    <row r="966">
      <c r="A966" s="154"/>
      <c r="B966" s="155"/>
      <c r="C966" s="155"/>
      <c r="D966" s="156" t="s">
        <v>1085</v>
      </c>
      <c r="E966" s="156" t="s">
        <v>1050</v>
      </c>
      <c r="F966" s="155"/>
      <c r="G966" s="157" t="n">
        <v>23.72</v>
      </c>
      <c r="H966" s="158"/>
      <c r="I966" s="155"/>
      <c r="J966" s="155"/>
      <c r="K966" s="146"/>
    </row>
    <row r="967">
      <c r="A967" s="154"/>
      <c r="B967" s="155"/>
      <c r="C967" s="155"/>
      <c r="D967" s="156" t="s">
        <v>1086</v>
      </c>
      <c r="E967" s="156" t="s">
        <v>1054</v>
      </c>
      <c r="F967" s="155"/>
      <c r="G967" s="157" t="n">
        <v>2.56</v>
      </c>
      <c r="H967" s="158"/>
      <c r="I967" s="155"/>
      <c r="J967" s="155"/>
      <c r="K967" s="146"/>
    </row>
    <row r="968">
      <c r="A968" s="154"/>
      <c r="B968" s="155"/>
      <c r="C968" s="155"/>
      <c r="D968" s="156" t="s">
        <v>1087</v>
      </c>
      <c r="E968" s="156" t="s">
        <v>1088</v>
      </c>
      <c r="F968" s="155"/>
      <c r="G968" s="157" t="n">
        <v>25.2</v>
      </c>
      <c r="H968" s="158"/>
      <c r="I968" s="155"/>
      <c r="J968" s="155"/>
      <c r="K968" s="146"/>
    </row>
    <row r="969">
      <c r="A969" s="154"/>
      <c r="B969" s="155"/>
      <c r="C969" s="155"/>
      <c r="D969" s="156" t="s">
        <v>1089</v>
      </c>
      <c r="E969" s="156" t="s">
        <v>1090</v>
      </c>
      <c r="F969" s="155"/>
      <c r="G969" s="157" t="n">
        <v>6.435</v>
      </c>
      <c r="H969" s="158"/>
      <c r="I969" s="155"/>
      <c r="J969" s="155"/>
      <c r="K969" s="146"/>
    </row>
    <row r="970">
      <c r="A970" s="9" t="s">
        <v>1657</v>
      </c>
      <c r="B970" s="10" t="s">
        <v>84</v>
      </c>
      <c r="C970" s="10" t="s">
        <v>1658</v>
      </c>
      <c r="D970" s="14" t="s">
        <v>1659</v>
      </c>
      <c r="E970" s="10"/>
      <c r="F970" s="10" t="s">
        <v>61</v>
      </c>
      <c r="G970" s="111" t="n">
        <v>4.8</v>
      </c>
      <c r="H970" s="152" t="n">
        <v>0</v>
      </c>
      <c r="I970" s="111">
        <f>G970*H970</f>
      </c>
      <c r="J970" s="153" t="s">
        <v>134</v>
      </c>
      <c r="K970" s="146"/>
      <c r="Z970" s="111">
        <f>IF(AQ970="5",BJ970,0)</f>
      </c>
      <c r="AB970" s="111">
        <f>IF(AQ970="1",BH970,0)</f>
      </c>
      <c r="AC970" s="111">
        <f>IF(AQ970="1",BI970,0)</f>
      </c>
      <c r="AD970" s="111">
        <f>IF(AQ970="7",BH970,0)</f>
      </c>
      <c r="AE970" s="111">
        <f>IF(AQ970="7",BI970,0)</f>
      </c>
      <c r="AF970" s="111">
        <f>IF(AQ970="2",BH970,0)</f>
      </c>
      <c r="AG970" s="111">
        <f>IF(AQ970="2",BI970,0)</f>
      </c>
      <c r="AH970" s="111">
        <f>IF(AQ970="0",BJ970,0)</f>
      </c>
      <c r="AI970" s="132" t="s">
        <v>84</v>
      </c>
      <c r="AJ970" s="111">
        <f>IF(AN970=0,I970,0)</f>
      </c>
      <c r="AK970" s="111">
        <f>IF(AN970=12,I970,0)</f>
      </c>
      <c r="AL970" s="111">
        <f>IF(AN970=21,I970,0)</f>
      </c>
      <c r="AN970" s="111" t="n">
        <v>21</v>
      </c>
      <c r="AO970" s="111">
        <f>H970*0</f>
      </c>
      <c r="AP970" s="111">
        <f>H970*(1-0)</f>
      </c>
      <c r="AQ970" s="153" t="s">
        <v>156</v>
      </c>
      <c r="AV970" s="111">
        <f>AW970+AX970</f>
      </c>
      <c r="AW970" s="111">
        <f>G970*AO970</f>
      </c>
      <c r="AX970" s="111">
        <f>G970*AP970</f>
      </c>
      <c r="AY970" s="153" t="s">
        <v>1619</v>
      </c>
      <c r="AZ970" s="153" t="s">
        <v>1620</v>
      </c>
      <c r="BA970" s="132" t="s">
        <v>137</v>
      </c>
      <c r="BC970" s="111">
        <f>AW970+AX970</f>
      </c>
      <c r="BD970" s="111">
        <f>H970/(100-BE970)*100</f>
      </c>
      <c r="BE970" s="111" t="n">
        <v>0</v>
      </c>
      <c r="BF970" s="111">
        <f>970</f>
      </c>
      <c r="BH970" s="111">
        <f>G970*AO970</f>
      </c>
      <c r="BI970" s="111">
        <f>G970*AP970</f>
      </c>
      <c r="BJ970" s="111">
        <f>G970*H970</f>
      </c>
      <c r="BK970" s="111"/>
      <c r="BL970" s="111" t="n">
        <v>711</v>
      </c>
      <c r="BW970" s="111" t="n">
        <v>21</v>
      </c>
      <c r="BX970" s="14" t="s">
        <v>1659</v>
      </c>
    </row>
    <row r="971">
      <c r="A971" s="9" t="s">
        <v>1660</v>
      </c>
      <c r="B971" s="10" t="s">
        <v>84</v>
      </c>
      <c r="C971" s="10" t="s">
        <v>1661</v>
      </c>
      <c r="D971" s="14" t="s">
        <v>1662</v>
      </c>
      <c r="E971" s="10"/>
      <c r="F971" s="10" t="s">
        <v>61</v>
      </c>
      <c r="G971" s="111" t="n">
        <v>1.15</v>
      </c>
      <c r="H971" s="152" t="n">
        <v>0</v>
      </c>
      <c r="I971" s="111">
        <f>G971*H971</f>
      </c>
      <c r="J971" s="153" t="s">
        <v>134</v>
      </c>
      <c r="K971" s="146"/>
      <c r="Z971" s="111">
        <f>IF(AQ971="5",BJ971,0)</f>
      </c>
      <c r="AB971" s="111">
        <f>IF(AQ971="1",BH971,0)</f>
      </c>
      <c r="AC971" s="111">
        <f>IF(AQ971="1",BI971,0)</f>
      </c>
      <c r="AD971" s="111">
        <f>IF(AQ971="7",BH971,0)</f>
      </c>
      <c r="AE971" s="111">
        <f>IF(AQ971="7",BI971,0)</f>
      </c>
      <c r="AF971" s="111">
        <f>IF(AQ971="2",BH971,0)</f>
      </c>
      <c r="AG971" s="111">
        <f>IF(AQ971="2",BI971,0)</f>
      </c>
      <c r="AH971" s="111">
        <f>IF(AQ971="0",BJ971,0)</f>
      </c>
      <c r="AI971" s="132" t="s">
        <v>84</v>
      </c>
      <c r="AJ971" s="111">
        <f>IF(AN971=0,I971,0)</f>
      </c>
      <c r="AK971" s="111">
        <f>IF(AN971=12,I971,0)</f>
      </c>
      <c r="AL971" s="111">
        <f>IF(AN971=21,I971,0)</f>
      </c>
      <c r="AN971" s="111" t="n">
        <v>21</v>
      </c>
      <c r="AO971" s="111">
        <f>H971*0</f>
      </c>
      <c r="AP971" s="111">
        <f>H971*(1-0)</f>
      </c>
      <c r="AQ971" s="153" t="s">
        <v>156</v>
      </c>
      <c r="AV971" s="111">
        <f>AW971+AX971</f>
      </c>
      <c r="AW971" s="111">
        <f>G971*AO971</f>
      </c>
      <c r="AX971" s="111">
        <f>G971*AP971</f>
      </c>
      <c r="AY971" s="153" t="s">
        <v>1619</v>
      </c>
      <c r="AZ971" s="153" t="s">
        <v>1620</v>
      </c>
      <c r="BA971" s="132" t="s">
        <v>137</v>
      </c>
      <c r="BC971" s="111">
        <f>AW971+AX971</f>
      </c>
      <c r="BD971" s="111">
        <f>H971/(100-BE971)*100</f>
      </c>
      <c r="BE971" s="111" t="n">
        <v>0</v>
      </c>
      <c r="BF971" s="111">
        <f>971</f>
      </c>
      <c r="BH971" s="111">
        <f>G971*AO971</f>
      </c>
      <c r="BI971" s="111">
        <f>G971*AP971</f>
      </c>
      <c r="BJ971" s="111">
        <f>G971*H971</f>
      </c>
      <c r="BK971" s="111"/>
      <c r="BL971" s="111" t="n">
        <v>711</v>
      </c>
      <c r="BW971" s="111" t="n">
        <v>21</v>
      </c>
      <c r="BX971" s="14" t="s">
        <v>1662</v>
      </c>
    </row>
    <row r="972">
      <c r="A972" s="147" t="s">
        <v>4</v>
      </c>
      <c r="B972" s="148" t="s">
        <v>84</v>
      </c>
      <c r="C972" s="148" t="s">
        <v>1663</v>
      </c>
      <c r="D972" s="149" t="s">
        <v>1664</v>
      </c>
      <c r="E972" s="148"/>
      <c r="F972" s="150" t="s">
        <v>79</v>
      </c>
      <c r="G972" s="150" t="s">
        <v>79</v>
      </c>
      <c r="H972" s="151" t="s">
        <v>79</v>
      </c>
      <c r="I972" s="117">
        <f>SUM(I973:I1110)</f>
      </c>
      <c r="J972" s="132" t="s">
        <v>4</v>
      </c>
      <c r="K972" s="146"/>
      <c r="AI972" s="132" t="s">
        <v>84</v>
      </c>
      <c r="AS972" s="117">
        <f>SUM(AJ973:AJ1110)</f>
      </c>
      <c r="AT972" s="117">
        <f>SUM(AK973:AK1110)</f>
      </c>
      <c r="AU972" s="117">
        <f>SUM(AL973:AL1110)</f>
      </c>
    </row>
    <row r="973">
      <c r="A973" s="9" t="s">
        <v>1665</v>
      </c>
      <c r="B973" s="10" t="s">
        <v>84</v>
      </c>
      <c r="C973" s="10" t="s">
        <v>1666</v>
      </c>
      <c r="D973" s="14" t="s">
        <v>1667</v>
      </c>
      <c r="E973" s="10"/>
      <c r="F973" s="10" t="s">
        <v>145</v>
      </c>
      <c r="G973" s="111" t="n">
        <v>648.3</v>
      </c>
      <c r="H973" s="152" t="n">
        <v>0</v>
      </c>
      <c r="I973" s="111">
        <f>G973*H973</f>
      </c>
      <c r="J973" s="153" t="s">
        <v>134</v>
      </c>
      <c r="K973" s="146"/>
      <c r="Z973" s="111">
        <f>IF(AQ973="5",BJ973,0)</f>
      </c>
      <c r="AB973" s="111">
        <f>IF(AQ973="1",BH973,0)</f>
      </c>
      <c r="AC973" s="111">
        <f>IF(AQ973="1",BI973,0)</f>
      </c>
      <c r="AD973" s="111">
        <f>IF(AQ973="7",BH973,0)</f>
      </c>
      <c r="AE973" s="111">
        <f>IF(AQ973="7",BI973,0)</f>
      </c>
      <c r="AF973" s="111">
        <f>IF(AQ973="2",BH973,0)</f>
      </c>
      <c r="AG973" s="111">
        <f>IF(AQ973="2",BI973,0)</f>
      </c>
      <c r="AH973" s="111">
        <f>IF(AQ973="0",BJ973,0)</f>
      </c>
      <c r="AI973" s="132" t="s">
        <v>84</v>
      </c>
      <c r="AJ973" s="111">
        <f>IF(AN973=0,I973,0)</f>
      </c>
      <c r="AK973" s="111">
        <f>IF(AN973=12,I973,0)</f>
      </c>
      <c r="AL973" s="111">
        <f>IF(AN973=21,I973,0)</f>
      </c>
      <c r="AN973" s="111" t="n">
        <v>21</v>
      </c>
      <c r="AO973" s="111">
        <f>H973*0</f>
      </c>
      <c r="AP973" s="111">
        <f>H973*(1-0)</f>
      </c>
      <c r="AQ973" s="153" t="s">
        <v>173</v>
      </c>
      <c r="AV973" s="111">
        <f>AW973+AX973</f>
      </c>
      <c r="AW973" s="111">
        <f>G973*AO973</f>
      </c>
      <c r="AX973" s="111">
        <f>G973*AP973</f>
      </c>
      <c r="AY973" s="153" t="s">
        <v>1668</v>
      </c>
      <c r="AZ973" s="153" t="s">
        <v>1620</v>
      </c>
      <c r="BA973" s="132" t="s">
        <v>137</v>
      </c>
      <c r="BC973" s="111">
        <f>AW973+AX973</f>
      </c>
      <c r="BD973" s="111">
        <f>H973/(100-BE973)*100</f>
      </c>
      <c r="BE973" s="111" t="n">
        <v>0</v>
      </c>
      <c r="BF973" s="111">
        <f>973</f>
      </c>
      <c r="BH973" s="111">
        <f>G973*AO973</f>
      </c>
      <c r="BI973" s="111">
        <f>G973*AP973</f>
      </c>
      <c r="BJ973" s="111">
        <f>G973*H973</f>
      </c>
      <c r="BK973" s="111"/>
      <c r="BL973" s="111" t="n">
        <v>712</v>
      </c>
      <c r="BW973" s="111" t="n">
        <v>21</v>
      </c>
      <c r="BX973" s="14" t="s">
        <v>1667</v>
      </c>
    </row>
    <row r="974" customHeight="true" ht="13.5">
      <c r="A974" s="159"/>
      <c r="C974" s="160" t="s">
        <v>146</v>
      </c>
      <c r="D974" s="161" t="s">
        <v>1669</v>
      </c>
      <c r="E974" s="156"/>
      <c r="F974" s="156"/>
      <c r="G974" s="156"/>
      <c r="H974" s="162"/>
      <c r="I974" s="156"/>
      <c r="J974" s="156"/>
      <c r="K974" s="163"/>
    </row>
    <row r="975">
      <c r="A975" s="154"/>
      <c r="B975" s="155"/>
      <c r="C975" s="155"/>
      <c r="D975" s="156" t="s">
        <v>1670</v>
      </c>
      <c r="E975" s="156" t="s">
        <v>1671</v>
      </c>
      <c r="F975" s="155"/>
      <c r="G975" s="157" t="n">
        <v>648.3</v>
      </c>
      <c r="H975" s="158"/>
      <c r="I975" s="155"/>
      <c r="J975" s="155"/>
      <c r="K975" s="146"/>
    </row>
    <row r="976">
      <c r="A976" s="9" t="s">
        <v>1672</v>
      </c>
      <c r="B976" s="10" t="s">
        <v>84</v>
      </c>
      <c r="C976" s="10" t="s">
        <v>1673</v>
      </c>
      <c r="D976" s="14" t="s">
        <v>1674</v>
      </c>
      <c r="E976" s="10"/>
      <c r="F976" s="10" t="s">
        <v>145</v>
      </c>
      <c r="G976" s="111" t="n">
        <v>648.3</v>
      </c>
      <c r="H976" s="152" t="n">
        <v>0</v>
      </c>
      <c r="I976" s="111">
        <f>G976*H976</f>
      </c>
      <c r="J976" s="153" t="s">
        <v>134</v>
      </c>
      <c r="K976" s="146"/>
      <c r="Z976" s="111">
        <f>IF(AQ976="5",BJ976,0)</f>
      </c>
      <c r="AB976" s="111">
        <f>IF(AQ976="1",BH976,0)</f>
      </c>
      <c r="AC976" s="111">
        <f>IF(AQ976="1",BI976,0)</f>
      </c>
      <c r="AD976" s="111">
        <f>IF(AQ976="7",BH976,0)</f>
      </c>
      <c r="AE976" s="111">
        <f>IF(AQ976="7",BI976,0)</f>
      </c>
      <c r="AF976" s="111">
        <f>IF(AQ976="2",BH976,0)</f>
      </c>
      <c r="AG976" s="111">
        <f>IF(AQ976="2",BI976,0)</f>
      </c>
      <c r="AH976" s="111">
        <f>IF(AQ976="0",BJ976,0)</f>
      </c>
      <c r="AI976" s="132" t="s">
        <v>84</v>
      </c>
      <c r="AJ976" s="111">
        <f>IF(AN976=0,I976,0)</f>
      </c>
      <c r="AK976" s="111">
        <f>IF(AN976=12,I976,0)</f>
      </c>
      <c r="AL976" s="111">
        <f>IF(AN976=21,I976,0)</f>
      </c>
      <c r="AN976" s="111" t="n">
        <v>21</v>
      </c>
      <c r="AO976" s="111">
        <f>H976*0.09109589</f>
      </c>
      <c r="AP976" s="111">
        <f>H976*(1-0.09109589)</f>
      </c>
      <c r="AQ976" s="153" t="s">
        <v>173</v>
      </c>
      <c r="AV976" s="111">
        <f>AW976+AX976</f>
      </c>
      <c r="AW976" s="111">
        <f>G976*AO976</f>
      </c>
      <c r="AX976" s="111">
        <f>G976*AP976</f>
      </c>
      <c r="AY976" s="153" t="s">
        <v>1668</v>
      </c>
      <c r="AZ976" s="153" t="s">
        <v>1620</v>
      </c>
      <c r="BA976" s="132" t="s">
        <v>137</v>
      </c>
      <c r="BC976" s="111">
        <f>AW976+AX976</f>
      </c>
      <c r="BD976" s="111">
        <f>H976/(100-BE976)*100</f>
      </c>
      <c r="BE976" s="111" t="n">
        <v>0</v>
      </c>
      <c r="BF976" s="111">
        <f>976</f>
      </c>
      <c r="BH976" s="111">
        <f>G976*AO976</f>
      </c>
      <c r="BI976" s="111">
        <f>G976*AP976</f>
      </c>
      <c r="BJ976" s="111">
        <f>G976*H976</f>
      </c>
      <c r="BK976" s="111"/>
      <c r="BL976" s="111" t="n">
        <v>712</v>
      </c>
      <c r="BW976" s="111" t="n">
        <v>21</v>
      </c>
      <c r="BX976" s="14" t="s">
        <v>1674</v>
      </c>
    </row>
    <row r="977" customHeight="true" ht="13.5">
      <c r="A977" s="159"/>
      <c r="C977" s="160" t="s">
        <v>146</v>
      </c>
      <c r="D977" s="161" t="s">
        <v>1669</v>
      </c>
      <c r="E977" s="156"/>
      <c r="F977" s="156"/>
      <c r="G977" s="156"/>
      <c r="H977" s="162"/>
      <c r="I977" s="156"/>
      <c r="J977" s="156"/>
      <c r="K977" s="163"/>
    </row>
    <row r="978">
      <c r="A978" s="154"/>
      <c r="B978" s="155"/>
      <c r="C978" s="155"/>
      <c r="D978" s="156" t="s">
        <v>1670</v>
      </c>
      <c r="E978" s="156" t="s">
        <v>1671</v>
      </c>
      <c r="F978" s="155"/>
      <c r="G978" s="157" t="n">
        <v>648.3</v>
      </c>
      <c r="H978" s="158"/>
      <c r="I978" s="155"/>
      <c r="J978" s="155"/>
      <c r="K978" s="146"/>
    </row>
    <row r="979">
      <c r="A979" s="9" t="s">
        <v>1675</v>
      </c>
      <c r="B979" s="10" t="s">
        <v>84</v>
      </c>
      <c r="C979" s="10" t="s">
        <v>1676</v>
      </c>
      <c r="D979" s="14" t="s">
        <v>1677</v>
      </c>
      <c r="E979" s="10"/>
      <c r="F979" s="10" t="s">
        <v>145</v>
      </c>
      <c r="G979" s="111" t="n">
        <v>680.715</v>
      </c>
      <c r="H979" s="152" t="n">
        <v>0</v>
      </c>
      <c r="I979" s="111">
        <f>G979*H979</f>
      </c>
      <c r="J979" s="153" t="s">
        <v>134</v>
      </c>
      <c r="K979" s="146"/>
      <c r="Z979" s="111">
        <f>IF(AQ979="5",BJ979,0)</f>
      </c>
      <c r="AB979" s="111">
        <f>IF(AQ979="1",BH979,0)</f>
      </c>
      <c r="AC979" s="111">
        <f>IF(AQ979="1",BI979,0)</f>
      </c>
      <c r="AD979" s="111">
        <f>IF(AQ979="7",BH979,0)</f>
      </c>
      <c r="AE979" s="111">
        <f>IF(AQ979="7",BI979,0)</f>
      </c>
      <c r="AF979" s="111">
        <f>IF(AQ979="2",BH979,0)</f>
      </c>
      <c r="AG979" s="111">
        <f>IF(AQ979="2",BI979,0)</f>
      </c>
      <c r="AH979" s="111">
        <f>IF(AQ979="0",BJ979,0)</f>
      </c>
      <c r="AI979" s="132" t="s">
        <v>84</v>
      </c>
      <c r="AJ979" s="111">
        <f>IF(AN979=0,I979,0)</f>
      </c>
      <c r="AK979" s="111">
        <f>IF(AN979=12,I979,0)</f>
      </c>
      <c r="AL979" s="111">
        <f>IF(AN979=21,I979,0)</f>
      </c>
      <c r="AN979" s="111" t="n">
        <v>21</v>
      </c>
      <c r="AO979" s="111">
        <f>H979*1</f>
      </c>
      <c r="AP979" s="111">
        <f>H979*(1-1)</f>
      </c>
      <c r="AQ979" s="153" t="s">
        <v>173</v>
      </c>
      <c r="AV979" s="111">
        <f>AW979+AX979</f>
      </c>
      <c r="AW979" s="111">
        <f>G979*AO979</f>
      </c>
      <c r="AX979" s="111">
        <f>G979*AP979</f>
      </c>
      <c r="AY979" s="153" t="s">
        <v>1668</v>
      </c>
      <c r="AZ979" s="153" t="s">
        <v>1620</v>
      </c>
      <c r="BA979" s="132" t="s">
        <v>137</v>
      </c>
      <c r="BC979" s="111">
        <f>AW979+AX979</f>
      </c>
      <c r="BD979" s="111">
        <f>H979/(100-BE979)*100</f>
      </c>
      <c r="BE979" s="111" t="n">
        <v>0</v>
      </c>
      <c r="BF979" s="111">
        <f>979</f>
      </c>
      <c r="BH979" s="111">
        <f>G979*AO979</f>
      </c>
      <c r="BI979" s="111">
        <f>G979*AP979</f>
      </c>
      <c r="BJ979" s="111">
        <f>G979*H979</f>
      </c>
      <c r="BK979" s="111"/>
      <c r="BL979" s="111" t="n">
        <v>712</v>
      </c>
      <c r="BW979" s="111" t="n">
        <v>21</v>
      </c>
      <c r="BX979" s="14" t="s">
        <v>1677</v>
      </c>
    </row>
    <row r="980">
      <c r="A980" s="154"/>
      <c r="B980" s="155"/>
      <c r="C980" s="155"/>
      <c r="D980" s="156" t="s">
        <v>1670</v>
      </c>
      <c r="E980" s="156" t="s">
        <v>1671</v>
      </c>
      <c r="F980" s="155"/>
      <c r="G980" s="157" t="n">
        <v>648.3</v>
      </c>
      <c r="H980" s="158"/>
      <c r="I980" s="155"/>
      <c r="J980" s="155"/>
      <c r="K980" s="146"/>
    </row>
    <row r="981">
      <c r="A981" s="154"/>
      <c r="B981" s="155"/>
      <c r="C981" s="155"/>
      <c r="D981" s="156" t="s">
        <v>1678</v>
      </c>
      <c r="E981" s="156" t="s">
        <v>1679</v>
      </c>
      <c r="F981" s="155"/>
      <c r="G981" s="157" t="n">
        <v>32.415</v>
      </c>
      <c r="H981" s="158"/>
      <c r="I981" s="155"/>
      <c r="J981" s="155"/>
      <c r="K981" s="146"/>
    </row>
    <row r="982">
      <c r="A982" s="9" t="s">
        <v>1680</v>
      </c>
      <c r="B982" s="10" t="s">
        <v>84</v>
      </c>
      <c r="C982" s="10" t="s">
        <v>1681</v>
      </c>
      <c r="D982" s="14" t="s">
        <v>1682</v>
      </c>
      <c r="E982" s="10"/>
      <c r="F982" s="10" t="s">
        <v>145</v>
      </c>
      <c r="G982" s="111" t="n">
        <v>648.3034</v>
      </c>
      <c r="H982" s="152" t="n">
        <v>0</v>
      </c>
      <c r="I982" s="111">
        <f>G982*H982</f>
      </c>
      <c r="J982" s="153" t="s">
        <v>134</v>
      </c>
      <c r="K982" s="146"/>
      <c r="Z982" s="111">
        <f>IF(AQ982="5",BJ982,0)</f>
      </c>
      <c r="AB982" s="111">
        <f>IF(AQ982="1",BH982,0)</f>
      </c>
      <c r="AC982" s="111">
        <f>IF(AQ982="1",BI982,0)</f>
      </c>
      <c r="AD982" s="111">
        <f>IF(AQ982="7",BH982,0)</f>
      </c>
      <c r="AE982" s="111">
        <f>IF(AQ982="7",BI982,0)</f>
      </c>
      <c r="AF982" s="111">
        <f>IF(AQ982="2",BH982,0)</f>
      </c>
      <c r="AG982" s="111">
        <f>IF(AQ982="2",BI982,0)</f>
      </c>
      <c r="AH982" s="111">
        <f>IF(AQ982="0",BJ982,0)</f>
      </c>
      <c r="AI982" s="132" t="s">
        <v>84</v>
      </c>
      <c r="AJ982" s="111">
        <f>IF(AN982=0,I982,0)</f>
      </c>
      <c r="AK982" s="111">
        <f>IF(AN982=12,I982,0)</f>
      </c>
      <c r="AL982" s="111">
        <f>IF(AN982=21,I982,0)</f>
      </c>
      <c r="AN982" s="111" t="n">
        <v>21</v>
      </c>
      <c r="AO982" s="111">
        <f>H982*0.218081571</f>
      </c>
      <c r="AP982" s="111">
        <f>H982*(1-0.218081571)</f>
      </c>
      <c r="AQ982" s="153" t="s">
        <v>173</v>
      </c>
      <c r="AV982" s="111">
        <f>AW982+AX982</f>
      </c>
      <c r="AW982" s="111">
        <f>G982*AO982</f>
      </c>
      <c r="AX982" s="111">
        <f>G982*AP982</f>
      </c>
      <c r="AY982" s="153" t="s">
        <v>1668</v>
      </c>
      <c r="AZ982" s="153" t="s">
        <v>1620</v>
      </c>
      <c r="BA982" s="132" t="s">
        <v>137</v>
      </c>
      <c r="BC982" s="111">
        <f>AW982+AX982</f>
      </c>
      <c r="BD982" s="111">
        <f>H982/(100-BE982)*100</f>
      </c>
      <c r="BE982" s="111" t="n">
        <v>0</v>
      </c>
      <c r="BF982" s="111">
        <f>982</f>
      </c>
      <c r="BH982" s="111">
        <f>G982*AO982</f>
      </c>
      <c r="BI982" s="111">
        <f>G982*AP982</f>
      </c>
      <c r="BJ982" s="111">
        <f>G982*H982</f>
      </c>
      <c r="BK982" s="111"/>
      <c r="BL982" s="111" t="n">
        <v>712</v>
      </c>
      <c r="BW982" s="111" t="n">
        <v>21</v>
      </c>
      <c r="BX982" s="14" t="s">
        <v>1682</v>
      </c>
    </row>
    <row r="983" customHeight="true" ht="13.5">
      <c r="A983" s="159"/>
      <c r="C983" s="160" t="s">
        <v>146</v>
      </c>
      <c r="D983" s="161" t="s">
        <v>1683</v>
      </c>
      <c r="E983" s="156"/>
      <c r="F983" s="156"/>
      <c r="G983" s="156"/>
      <c r="H983" s="162"/>
      <c r="I983" s="156"/>
      <c r="J983" s="156"/>
      <c r="K983" s="163"/>
    </row>
    <row r="984">
      <c r="A984" s="154"/>
      <c r="B984" s="155"/>
      <c r="C984" s="155"/>
      <c r="D984" s="156" t="s">
        <v>1684</v>
      </c>
      <c r="E984" s="156" t="s">
        <v>1685</v>
      </c>
      <c r="F984" s="155"/>
      <c r="G984" s="157" t="n">
        <v>267.2286</v>
      </c>
      <c r="H984" s="158"/>
      <c r="I984" s="155"/>
      <c r="J984" s="155"/>
      <c r="K984" s="146"/>
    </row>
    <row r="985">
      <c r="A985" s="154"/>
      <c r="B985" s="155"/>
      <c r="C985" s="155"/>
      <c r="D985" s="156" t="s">
        <v>1686</v>
      </c>
      <c r="E985" s="156" t="s">
        <v>1687</v>
      </c>
      <c r="F985" s="155"/>
      <c r="G985" s="157" t="n">
        <v>38.904</v>
      </c>
      <c r="H985" s="158"/>
      <c r="I985" s="155"/>
      <c r="J985" s="155"/>
      <c r="K985" s="146"/>
    </row>
    <row r="986">
      <c r="A986" s="154"/>
      <c r="B986" s="155"/>
      <c r="C986" s="155"/>
      <c r="D986" s="156" t="s">
        <v>1688</v>
      </c>
      <c r="E986" s="156" t="s">
        <v>1689</v>
      </c>
      <c r="F986" s="155"/>
      <c r="G986" s="157" t="n">
        <v>28.896</v>
      </c>
      <c r="H986" s="158"/>
      <c r="I986" s="155"/>
      <c r="J986" s="155"/>
      <c r="K986" s="146"/>
    </row>
    <row r="987">
      <c r="A987" s="154"/>
      <c r="B987" s="155"/>
      <c r="C987" s="155"/>
      <c r="D987" s="156" t="s">
        <v>1690</v>
      </c>
      <c r="E987" s="156" t="s">
        <v>1691</v>
      </c>
      <c r="F987" s="155"/>
      <c r="G987" s="157" t="n">
        <v>29.4748</v>
      </c>
      <c r="H987" s="158"/>
      <c r="I987" s="155"/>
      <c r="J987" s="155"/>
      <c r="K987" s="146"/>
    </row>
    <row r="988">
      <c r="A988" s="154"/>
      <c r="B988" s="155"/>
      <c r="C988" s="155"/>
      <c r="D988" s="156" t="s">
        <v>1692</v>
      </c>
      <c r="E988" s="156" t="s">
        <v>1693</v>
      </c>
      <c r="F988" s="155"/>
      <c r="G988" s="157" t="n">
        <v>9.92</v>
      </c>
      <c r="H988" s="158"/>
      <c r="I988" s="155"/>
      <c r="J988" s="155"/>
      <c r="K988" s="146"/>
    </row>
    <row r="989">
      <c r="A989" s="154"/>
      <c r="B989" s="155"/>
      <c r="C989" s="155"/>
      <c r="D989" s="156" t="s">
        <v>1694</v>
      </c>
      <c r="E989" s="156" t="s">
        <v>1695</v>
      </c>
      <c r="F989" s="155"/>
      <c r="G989" s="157" t="n">
        <v>7.78</v>
      </c>
      <c r="H989" s="158"/>
      <c r="I989" s="155"/>
      <c r="J989" s="155"/>
      <c r="K989" s="146"/>
    </row>
    <row r="990">
      <c r="A990" s="154"/>
      <c r="B990" s="155"/>
      <c r="C990" s="155"/>
      <c r="D990" s="156" t="s">
        <v>1696</v>
      </c>
      <c r="E990" s="156" t="s">
        <v>1697</v>
      </c>
      <c r="F990" s="155"/>
      <c r="G990" s="157" t="n">
        <v>144.6</v>
      </c>
      <c r="H990" s="158"/>
      <c r="I990" s="155"/>
      <c r="J990" s="155"/>
      <c r="K990" s="146"/>
    </row>
    <row r="991">
      <c r="A991" s="154"/>
      <c r="B991" s="155"/>
      <c r="C991" s="155"/>
      <c r="D991" s="156" t="s">
        <v>1698</v>
      </c>
      <c r="E991" s="156" t="s">
        <v>1699</v>
      </c>
      <c r="F991" s="155"/>
      <c r="G991" s="157" t="n">
        <v>121.5</v>
      </c>
      <c r="H991" s="158"/>
      <c r="I991" s="155"/>
      <c r="J991" s="155"/>
      <c r="K991" s="146"/>
    </row>
    <row r="992">
      <c r="A992" s="9" t="s">
        <v>1700</v>
      </c>
      <c r="B992" s="10" t="s">
        <v>84</v>
      </c>
      <c r="C992" s="10" t="s">
        <v>1701</v>
      </c>
      <c r="D992" s="14" t="s">
        <v>1702</v>
      </c>
      <c r="E992" s="10"/>
      <c r="F992" s="10" t="s">
        <v>145</v>
      </c>
      <c r="G992" s="111" t="n">
        <v>726.0994</v>
      </c>
      <c r="H992" s="152" t="n">
        <v>0</v>
      </c>
      <c r="I992" s="111">
        <f>G992*H992</f>
      </c>
      <c r="J992" s="153" t="s">
        <v>134</v>
      </c>
      <c r="K992" s="146"/>
      <c r="Z992" s="111">
        <f>IF(AQ992="5",BJ992,0)</f>
      </c>
      <c r="AB992" s="111">
        <f>IF(AQ992="1",BH992,0)</f>
      </c>
      <c r="AC992" s="111">
        <f>IF(AQ992="1",BI992,0)</f>
      </c>
      <c r="AD992" s="111">
        <f>IF(AQ992="7",BH992,0)</f>
      </c>
      <c r="AE992" s="111">
        <f>IF(AQ992="7",BI992,0)</f>
      </c>
      <c r="AF992" s="111">
        <f>IF(AQ992="2",BH992,0)</f>
      </c>
      <c r="AG992" s="111">
        <f>IF(AQ992="2",BI992,0)</f>
      </c>
      <c r="AH992" s="111">
        <f>IF(AQ992="0",BJ992,0)</f>
      </c>
      <c r="AI992" s="132" t="s">
        <v>84</v>
      </c>
      <c r="AJ992" s="111">
        <f>IF(AN992=0,I992,0)</f>
      </c>
      <c r="AK992" s="111">
        <f>IF(AN992=12,I992,0)</f>
      </c>
      <c r="AL992" s="111">
        <f>IF(AN992=21,I992,0)</f>
      </c>
      <c r="AN992" s="111" t="n">
        <v>21</v>
      </c>
      <c r="AO992" s="111">
        <f>H992*1</f>
      </c>
      <c r="AP992" s="111">
        <f>H992*(1-1)</f>
      </c>
      <c r="AQ992" s="153" t="s">
        <v>173</v>
      </c>
      <c r="AV992" s="111">
        <f>AW992+AX992</f>
      </c>
      <c r="AW992" s="111">
        <f>G992*AO992</f>
      </c>
      <c r="AX992" s="111">
        <f>G992*AP992</f>
      </c>
      <c r="AY992" s="153" t="s">
        <v>1668</v>
      </c>
      <c r="AZ992" s="153" t="s">
        <v>1620</v>
      </c>
      <c r="BA992" s="132" t="s">
        <v>137</v>
      </c>
      <c r="BC992" s="111">
        <f>AW992+AX992</f>
      </c>
      <c r="BD992" s="111">
        <f>H992/(100-BE992)*100</f>
      </c>
      <c r="BE992" s="111" t="n">
        <v>0</v>
      </c>
      <c r="BF992" s="111">
        <f>992</f>
      </c>
      <c r="BH992" s="111">
        <f>G992*AO992</f>
      </c>
      <c r="BI992" s="111">
        <f>G992*AP992</f>
      </c>
      <c r="BJ992" s="111">
        <f>G992*H992</f>
      </c>
      <c r="BK992" s="111"/>
      <c r="BL992" s="111" t="n">
        <v>712</v>
      </c>
      <c r="BW992" s="111" t="n">
        <v>21</v>
      </c>
      <c r="BX992" s="14" t="s">
        <v>1702</v>
      </c>
    </row>
    <row r="993">
      <c r="A993" s="154"/>
      <c r="B993" s="155"/>
      <c r="C993" s="155"/>
      <c r="D993" s="156" t="s">
        <v>1684</v>
      </c>
      <c r="E993" s="156" t="s">
        <v>1685</v>
      </c>
      <c r="F993" s="155"/>
      <c r="G993" s="157" t="n">
        <v>267.2286</v>
      </c>
      <c r="H993" s="158"/>
      <c r="I993" s="155"/>
      <c r="J993" s="155"/>
      <c r="K993" s="146"/>
    </row>
    <row r="994">
      <c r="A994" s="154"/>
      <c r="B994" s="155"/>
      <c r="C994" s="155"/>
      <c r="D994" s="156" t="s">
        <v>1686</v>
      </c>
      <c r="E994" s="156" t="s">
        <v>1687</v>
      </c>
      <c r="F994" s="155"/>
      <c r="G994" s="157" t="n">
        <v>38.904</v>
      </c>
      <c r="H994" s="158"/>
      <c r="I994" s="155"/>
      <c r="J994" s="155"/>
      <c r="K994" s="146"/>
    </row>
    <row r="995">
      <c r="A995" s="154"/>
      <c r="B995" s="155"/>
      <c r="C995" s="155"/>
      <c r="D995" s="156" t="s">
        <v>1688</v>
      </c>
      <c r="E995" s="156" t="s">
        <v>1689</v>
      </c>
      <c r="F995" s="155"/>
      <c r="G995" s="157" t="n">
        <v>28.896</v>
      </c>
      <c r="H995" s="158"/>
      <c r="I995" s="155"/>
      <c r="J995" s="155"/>
      <c r="K995" s="146"/>
    </row>
    <row r="996">
      <c r="A996" s="154"/>
      <c r="B996" s="155"/>
      <c r="C996" s="155"/>
      <c r="D996" s="156" t="s">
        <v>1694</v>
      </c>
      <c r="E996" s="156" t="s">
        <v>1695</v>
      </c>
      <c r="F996" s="155"/>
      <c r="G996" s="157" t="n">
        <v>7.78</v>
      </c>
      <c r="H996" s="158"/>
      <c r="I996" s="155"/>
      <c r="J996" s="155"/>
      <c r="K996" s="146"/>
    </row>
    <row r="997">
      <c r="A997" s="154"/>
      <c r="B997" s="155"/>
      <c r="C997" s="155"/>
      <c r="D997" s="156" t="s">
        <v>1696</v>
      </c>
      <c r="E997" s="156" t="s">
        <v>1697</v>
      </c>
      <c r="F997" s="155"/>
      <c r="G997" s="157" t="n">
        <v>144.6</v>
      </c>
      <c r="H997" s="158"/>
      <c r="I997" s="155"/>
      <c r="J997" s="155"/>
      <c r="K997" s="146"/>
    </row>
    <row r="998">
      <c r="A998" s="154"/>
      <c r="B998" s="155"/>
      <c r="C998" s="155"/>
      <c r="D998" s="156" t="s">
        <v>1698</v>
      </c>
      <c r="E998" s="156" t="s">
        <v>1699</v>
      </c>
      <c r="F998" s="155"/>
      <c r="G998" s="157" t="n">
        <v>121.5</v>
      </c>
      <c r="H998" s="158"/>
      <c r="I998" s="155"/>
      <c r="J998" s="155"/>
      <c r="K998" s="146"/>
    </row>
    <row r="999">
      <c r="A999" s="154"/>
      <c r="B999" s="155"/>
      <c r="C999" s="155"/>
      <c r="D999" s="156" t="s">
        <v>1690</v>
      </c>
      <c r="E999" s="156" t="s">
        <v>1691</v>
      </c>
      <c r="F999" s="155"/>
      <c r="G999" s="157" t="n">
        <v>29.4748</v>
      </c>
      <c r="H999" s="158"/>
      <c r="I999" s="155"/>
      <c r="J999" s="155"/>
      <c r="K999" s="146"/>
    </row>
    <row r="1000">
      <c r="A1000" s="154"/>
      <c r="B1000" s="155"/>
      <c r="C1000" s="155"/>
      <c r="D1000" s="156" t="s">
        <v>1692</v>
      </c>
      <c r="E1000" s="156" t="s">
        <v>1693</v>
      </c>
      <c r="F1000" s="155"/>
      <c r="G1000" s="157" t="n">
        <v>9.92</v>
      </c>
      <c r="H1000" s="158"/>
      <c r="I1000" s="155"/>
      <c r="J1000" s="155"/>
      <c r="K1000" s="146"/>
    </row>
    <row r="1001">
      <c r="A1001" s="154"/>
      <c r="B1001" s="155"/>
      <c r="C1001" s="155"/>
      <c r="D1001" s="156" t="s">
        <v>1703</v>
      </c>
      <c r="E1001" s="156" t="s">
        <v>1704</v>
      </c>
      <c r="F1001" s="155"/>
      <c r="G1001" s="157" t="n">
        <v>77.796</v>
      </c>
      <c r="H1001" s="158"/>
      <c r="I1001" s="155"/>
      <c r="J1001" s="155"/>
      <c r="K1001" s="146"/>
    </row>
    <row r="1002">
      <c r="A1002" s="9" t="s">
        <v>1705</v>
      </c>
      <c r="B1002" s="10" t="s">
        <v>84</v>
      </c>
      <c r="C1002" s="10" t="s">
        <v>1706</v>
      </c>
      <c r="D1002" s="14" t="s">
        <v>1707</v>
      </c>
      <c r="E1002" s="10"/>
      <c r="F1002" s="10" t="s">
        <v>145</v>
      </c>
      <c r="G1002" s="111" t="n">
        <v>524.17</v>
      </c>
      <c r="H1002" s="152" t="n">
        <v>0</v>
      </c>
      <c r="I1002" s="111">
        <f>G1002*H1002</f>
      </c>
      <c r="J1002" s="153" t="s">
        <v>134</v>
      </c>
      <c r="K1002" s="146"/>
      <c r="Z1002" s="111">
        <f>IF(AQ1002="5",BJ1002,0)</f>
      </c>
      <c r="AB1002" s="111">
        <f>IF(AQ1002="1",BH1002,0)</f>
      </c>
      <c r="AC1002" s="111">
        <f>IF(AQ1002="1",BI1002,0)</f>
      </c>
      <c r="AD1002" s="111">
        <f>IF(AQ1002="7",BH1002,0)</f>
      </c>
      <c r="AE1002" s="111">
        <f>IF(AQ1002="7",BI1002,0)</f>
      </c>
      <c r="AF1002" s="111">
        <f>IF(AQ1002="2",BH1002,0)</f>
      </c>
      <c r="AG1002" s="111">
        <f>IF(AQ1002="2",BI1002,0)</f>
      </c>
      <c r="AH1002" s="111">
        <f>IF(AQ1002="0",BJ1002,0)</f>
      </c>
      <c r="AI1002" s="132" t="s">
        <v>84</v>
      </c>
      <c r="AJ1002" s="111">
        <f>IF(AN1002=0,I1002,0)</f>
      </c>
      <c r="AK1002" s="111">
        <f>IF(AN1002=12,I1002,0)</f>
      </c>
      <c r="AL1002" s="111">
        <f>IF(AN1002=21,I1002,0)</f>
      </c>
      <c r="AN1002" s="111" t="n">
        <v>21</v>
      </c>
      <c r="AO1002" s="111">
        <f>H1002*0</f>
      </c>
      <c r="AP1002" s="111">
        <f>H1002*(1-0)</f>
      </c>
      <c r="AQ1002" s="153" t="s">
        <v>173</v>
      </c>
      <c r="AV1002" s="111">
        <f>AW1002+AX1002</f>
      </c>
      <c r="AW1002" s="111">
        <f>G1002*AO1002</f>
      </c>
      <c r="AX1002" s="111">
        <f>G1002*AP1002</f>
      </c>
      <c r="AY1002" s="153" t="s">
        <v>1668</v>
      </c>
      <c r="AZ1002" s="153" t="s">
        <v>1620</v>
      </c>
      <c r="BA1002" s="132" t="s">
        <v>137</v>
      </c>
      <c r="BC1002" s="111">
        <f>AW1002+AX1002</f>
      </c>
      <c r="BD1002" s="111">
        <f>H1002/(100-BE1002)*100</f>
      </c>
      <c r="BE1002" s="111" t="n">
        <v>0</v>
      </c>
      <c r="BF1002" s="111">
        <f>1002</f>
      </c>
      <c r="BH1002" s="111">
        <f>G1002*AO1002</f>
      </c>
      <c r="BI1002" s="111">
        <f>G1002*AP1002</f>
      </c>
      <c r="BJ1002" s="111">
        <f>G1002*H1002</f>
      </c>
      <c r="BK1002" s="111"/>
      <c r="BL1002" s="111" t="n">
        <v>712</v>
      </c>
      <c r="BW1002" s="111" t="n">
        <v>21</v>
      </c>
      <c r="BX1002" s="14" t="s">
        <v>1707</v>
      </c>
    </row>
    <row r="1003" customHeight="true" ht="13.5">
      <c r="A1003" s="159"/>
      <c r="C1003" s="160" t="s">
        <v>146</v>
      </c>
      <c r="D1003" s="161" t="s">
        <v>1708</v>
      </c>
      <c r="E1003" s="156"/>
      <c r="F1003" s="156"/>
      <c r="G1003" s="156"/>
      <c r="H1003" s="162"/>
      <c r="I1003" s="156"/>
      <c r="J1003" s="156"/>
      <c r="K1003" s="163"/>
    </row>
    <row r="1004">
      <c r="A1004" s="154"/>
      <c r="B1004" s="155"/>
      <c r="C1004" s="155"/>
      <c r="D1004" s="156" t="s">
        <v>1709</v>
      </c>
      <c r="E1004" s="156" t="s">
        <v>1710</v>
      </c>
      <c r="F1004" s="155"/>
      <c r="G1004" s="157" t="n">
        <v>524.17</v>
      </c>
      <c r="H1004" s="158"/>
      <c r="I1004" s="155"/>
      <c r="J1004" s="155"/>
      <c r="K1004" s="146"/>
    </row>
    <row r="1005">
      <c r="A1005" s="9" t="s">
        <v>1711</v>
      </c>
      <c r="B1005" s="10" t="s">
        <v>84</v>
      </c>
      <c r="C1005" s="10" t="s">
        <v>1712</v>
      </c>
      <c r="D1005" s="14" t="s">
        <v>1713</v>
      </c>
      <c r="E1005" s="10"/>
      <c r="F1005" s="10" t="s">
        <v>145</v>
      </c>
      <c r="G1005" s="111" t="n">
        <v>566.1036</v>
      </c>
      <c r="H1005" s="152" t="n">
        <v>0</v>
      </c>
      <c r="I1005" s="111">
        <f>G1005*H1005</f>
      </c>
      <c r="J1005" s="153" t="s">
        <v>134</v>
      </c>
      <c r="K1005" s="146"/>
      <c r="Z1005" s="111">
        <f>IF(AQ1005="5",BJ1005,0)</f>
      </c>
      <c r="AB1005" s="111">
        <f>IF(AQ1005="1",BH1005,0)</f>
      </c>
      <c r="AC1005" s="111">
        <f>IF(AQ1005="1",BI1005,0)</f>
      </c>
      <c r="AD1005" s="111">
        <f>IF(AQ1005="7",BH1005,0)</f>
      </c>
      <c r="AE1005" s="111">
        <f>IF(AQ1005="7",BI1005,0)</f>
      </c>
      <c r="AF1005" s="111">
        <f>IF(AQ1005="2",BH1005,0)</f>
      </c>
      <c r="AG1005" s="111">
        <f>IF(AQ1005="2",BI1005,0)</f>
      </c>
      <c r="AH1005" s="111">
        <f>IF(AQ1005="0",BJ1005,0)</f>
      </c>
      <c r="AI1005" s="132" t="s">
        <v>84</v>
      </c>
      <c r="AJ1005" s="111">
        <f>IF(AN1005=0,I1005,0)</f>
      </c>
      <c r="AK1005" s="111">
        <f>IF(AN1005=12,I1005,0)</f>
      </c>
      <c r="AL1005" s="111">
        <f>IF(AN1005=21,I1005,0)</f>
      </c>
      <c r="AN1005" s="111" t="n">
        <v>21</v>
      </c>
      <c r="AO1005" s="111">
        <f>H1005*1</f>
      </c>
      <c r="AP1005" s="111">
        <f>H1005*(1-1)</f>
      </c>
      <c r="AQ1005" s="153" t="s">
        <v>173</v>
      </c>
      <c r="AV1005" s="111">
        <f>AW1005+AX1005</f>
      </c>
      <c r="AW1005" s="111">
        <f>G1005*AO1005</f>
      </c>
      <c r="AX1005" s="111">
        <f>G1005*AP1005</f>
      </c>
      <c r="AY1005" s="153" t="s">
        <v>1668</v>
      </c>
      <c r="AZ1005" s="153" t="s">
        <v>1620</v>
      </c>
      <c r="BA1005" s="132" t="s">
        <v>137</v>
      </c>
      <c r="BC1005" s="111">
        <f>AW1005+AX1005</f>
      </c>
      <c r="BD1005" s="111">
        <f>H1005/(100-BE1005)*100</f>
      </c>
      <c r="BE1005" s="111" t="n">
        <v>0</v>
      </c>
      <c r="BF1005" s="111">
        <f>1005</f>
      </c>
      <c r="BH1005" s="111">
        <f>G1005*AO1005</f>
      </c>
      <c r="BI1005" s="111">
        <f>G1005*AP1005</f>
      </c>
      <c r="BJ1005" s="111">
        <f>G1005*H1005</f>
      </c>
      <c r="BK1005" s="111"/>
      <c r="BL1005" s="111" t="n">
        <v>712</v>
      </c>
      <c r="BW1005" s="111" t="n">
        <v>21</v>
      </c>
      <c r="BX1005" s="14" t="s">
        <v>1713</v>
      </c>
    </row>
    <row r="1006">
      <c r="A1006" s="154"/>
      <c r="B1006" s="155"/>
      <c r="C1006" s="155"/>
      <c r="D1006" s="156" t="s">
        <v>1714</v>
      </c>
      <c r="E1006" s="156" t="s">
        <v>1710</v>
      </c>
      <c r="F1006" s="155"/>
      <c r="G1006" s="157" t="n">
        <v>524.17</v>
      </c>
      <c r="H1006" s="158"/>
      <c r="I1006" s="155"/>
      <c r="J1006" s="155"/>
      <c r="K1006" s="146"/>
    </row>
    <row r="1007">
      <c r="A1007" s="154"/>
      <c r="B1007" s="155"/>
      <c r="C1007" s="155"/>
      <c r="D1007" s="156" t="s">
        <v>1715</v>
      </c>
      <c r="E1007" s="156" t="s">
        <v>1716</v>
      </c>
      <c r="F1007" s="155"/>
      <c r="G1007" s="157" t="n">
        <v>41.9336</v>
      </c>
      <c r="H1007" s="158"/>
      <c r="I1007" s="155"/>
      <c r="J1007" s="155"/>
      <c r="K1007" s="146"/>
    </row>
    <row r="1008">
      <c r="A1008" s="9" t="s">
        <v>1717</v>
      </c>
      <c r="B1008" s="10" t="s">
        <v>84</v>
      </c>
      <c r="C1008" s="10" t="s">
        <v>1718</v>
      </c>
      <c r="D1008" s="14" t="s">
        <v>1719</v>
      </c>
      <c r="E1008" s="10"/>
      <c r="F1008" s="10" t="s">
        <v>145</v>
      </c>
      <c r="G1008" s="111" t="n">
        <v>482.54</v>
      </c>
      <c r="H1008" s="152" t="n">
        <v>0</v>
      </c>
      <c r="I1008" s="111">
        <f>G1008*H1008</f>
      </c>
      <c r="J1008" s="153" t="s">
        <v>134</v>
      </c>
      <c r="K1008" s="146"/>
      <c r="Z1008" s="111">
        <f>IF(AQ1008="5",BJ1008,0)</f>
      </c>
      <c r="AB1008" s="111">
        <f>IF(AQ1008="1",BH1008,0)</f>
      </c>
      <c r="AC1008" s="111">
        <f>IF(AQ1008="1",BI1008,0)</f>
      </c>
      <c r="AD1008" s="111">
        <f>IF(AQ1008="7",BH1008,0)</f>
      </c>
      <c r="AE1008" s="111">
        <f>IF(AQ1008="7",BI1008,0)</f>
      </c>
      <c r="AF1008" s="111">
        <f>IF(AQ1008="2",BH1008,0)</f>
      </c>
      <c r="AG1008" s="111">
        <f>IF(AQ1008="2",BI1008,0)</f>
      </c>
      <c r="AH1008" s="111">
        <f>IF(AQ1008="0",BJ1008,0)</f>
      </c>
      <c r="AI1008" s="132" t="s">
        <v>84</v>
      </c>
      <c r="AJ1008" s="111">
        <f>IF(AN1008=0,I1008,0)</f>
      </c>
      <c r="AK1008" s="111">
        <f>IF(AN1008=12,I1008,0)</f>
      </c>
      <c r="AL1008" s="111">
        <f>IF(AN1008=21,I1008,0)</f>
      </c>
      <c r="AN1008" s="111" t="n">
        <v>21</v>
      </c>
      <c r="AO1008" s="111">
        <f>H1008*0</f>
      </c>
      <c r="AP1008" s="111">
        <f>H1008*(1-0)</f>
      </c>
      <c r="AQ1008" s="153" t="s">
        <v>173</v>
      </c>
      <c r="AV1008" s="111">
        <f>AW1008+AX1008</f>
      </c>
      <c r="AW1008" s="111">
        <f>G1008*AO1008</f>
      </c>
      <c r="AX1008" s="111">
        <f>G1008*AP1008</f>
      </c>
      <c r="AY1008" s="153" t="s">
        <v>1668</v>
      </c>
      <c r="AZ1008" s="153" t="s">
        <v>1620</v>
      </c>
      <c r="BA1008" s="132" t="s">
        <v>137</v>
      </c>
      <c r="BC1008" s="111">
        <f>AW1008+AX1008</f>
      </c>
      <c r="BD1008" s="111">
        <f>H1008/(100-BE1008)*100</f>
      </c>
      <c r="BE1008" s="111" t="n">
        <v>0</v>
      </c>
      <c r="BF1008" s="111">
        <f>1008</f>
      </c>
      <c r="BH1008" s="111">
        <f>G1008*AO1008</f>
      </c>
      <c r="BI1008" s="111">
        <f>G1008*AP1008</f>
      </c>
      <c r="BJ1008" s="111">
        <f>G1008*H1008</f>
      </c>
      <c r="BK1008" s="111"/>
      <c r="BL1008" s="111" t="n">
        <v>712</v>
      </c>
      <c r="BW1008" s="111" t="n">
        <v>21</v>
      </c>
      <c r="BX1008" s="14" t="s">
        <v>1719</v>
      </c>
    </row>
    <row r="1009" customHeight="true" ht="13.5">
      <c r="A1009" s="159"/>
      <c r="C1009" s="160" t="s">
        <v>146</v>
      </c>
      <c r="D1009" s="161" t="s">
        <v>1720</v>
      </c>
      <c r="E1009" s="156"/>
      <c r="F1009" s="156"/>
      <c r="G1009" s="156"/>
      <c r="H1009" s="162"/>
      <c r="I1009" s="156"/>
      <c r="J1009" s="156"/>
      <c r="K1009" s="163"/>
    </row>
    <row r="1010">
      <c r="A1010" s="154"/>
      <c r="B1010" s="155"/>
      <c r="C1010" s="155"/>
      <c r="D1010" s="156" t="s">
        <v>1714</v>
      </c>
      <c r="E1010" s="156" t="s">
        <v>1721</v>
      </c>
      <c r="F1010" s="155"/>
      <c r="G1010" s="157" t="n">
        <v>524.17</v>
      </c>
      <c r="H1010" s="158"/>
      <c r="I1010" s="155"/>
      <c r="J1010" s="155"/>
      <c r="K1010" s="146"/>
    </row>
    <row r="1011">
      <c r="A1011" s="154"/>
      <c r="B1011" s="155"/>
      <c r="C1011" s="155"/>
      <c r="D1011" s="156" t="s">
        <v>1722</v>
      </c>
      <c r="E1011" s="156" t="s">
        <v>1723</v>
      </c>
      <c r="F1011" s="155"/>
      <c r="G1011" s="157" t="n">
        <v>-41.63</v>
      </c>
      <c r="H1011" s="158"/>
      <c r="I1011" s="155"/>
      <c r="J1011" s="155"/>
      <c r="K1011" s="146"/>
    </row>
    <row r="1012">
      <c r="A1012" s="9" t="s">
        <v>1724</v>
      </c>
      <c r="B1012" s="10" t="s">
        <v>84</v>
      </c>
      <c r="C1012" s="10" t="s">
        <v>1725</v>
      </c>
      <c r="D1012" s="14" t="s">
        <v>1726</v>
      </c>
      <c r="E1012" s="10"/>
      <c r="F1012" s="10" t="s">
        <v>159</v>
      </c>
      <c r="G1012" s="111" t="n">
        <v>26.5397</v>
      </c>
      <c r="H1012" s="152" t="n">
        <v>0</v>
      </c>
      <c r="I1012" s="111">
        <f>G1012*H1012</f>
      </c>
      <c r="J1012" s="153" t="s">
        <v>134</v>
      </c>
      <c r="K1012" s="146"/>
      <c r="Z1012" s="111">
        <f>IF(AQ1012="5",BJ1012,0)</f>
      </c>
      <c r="AB1012" s="111">
        <f>IF(AQ1012="1",BH1012,0)</f>
      </c>
      <c r="AC1012" s="111">
        <f>IF(AQ1012="1",BI1012,0)</f>
      </c>
      <c r="AD1012" s="111">
        <f>IF(AQ1012="7",BH1012,0)</f>
      </c>
      <c r="AE1012" s="111">
        <f>IF(AQ1012="7",BI1012,0)</f>
      </c>
      <c r="AF1012" s="111">
        <f>IF(AQ1012="2",BH1012,0)</f>
      </c>
      <c r="AG1012" s="111">
        <f>IF(AQ1012="2",BI1012,0)</f>
      </c>
      <c r="AH1012" s="111">
        <f>IF(AQ1012="0",BJ1012,0)</f>
      </c>
      <c r="AI1012" s="132" t="s">
        <v>84</v>
      </c>
      <c r="AJ1012" s="111">
        <f>IF(AN1012=0,I1012,0)</f>
      </c>
      <c r="AK1012" s="111">
        <f>IF(AN1012=12,I1012,0)</f>
      </c>
      <c r="AL1012" s="111">
        <f>IF(AN1012=21,I1012,0)</f>
      </c>
      <c r="AN1012" s="111" t="n">
        <v>21</v>
      </c>
      <c r="AO1012" s="111">
        <f>H1012*1</f>
      </c>
      <c r="AP1012" s="111">
        <f>H1012*(1-1)</f>
      </c>
      <c r="AQ1012" s="153" t="s">
        <v>173</v>
      </c>
      <c r="AV1012" s="111">
        <f>AW1012+AX1012</f>
      </c>
      <c r="AW1012" s="111">
        <f>G1012*AO1012</f>
      </c>
      <c r="AX1012" s="111">
        <f>G1012*AP1012</f>
      </c>
      <c r="AY1012" s="153" t="s">
        <v>1668</v>
      </c>
      <c r="AZ1012" s="153" t="s">
        <v>1620</v>
      </c>
      <c r="BA1012" s="132" t="s">
        <v>137</v>
      </c>
      <c r="BC1012" s="111">
        <f>AW1012+AX1012</f>
      </c>
      <c r="BD1012" s="111">
        <f>H1012/(100-BE1012)*100</f>
      </c>
      <c r="BE1012" s="111" t="n">
        <v>0</v>
      </c>
      <c r="BF1012" s="111">
        <f>1012</f>
      </c>
      <c r="BH1012" s="111">
        <f>G1012*AO1012</f>
      </c>
      <c r="BI1012" s="111">
        <f>G1012*AP1012</f>
      </c>
      <c r="BJ1012" s="111">
        <f>G1012*H1012</f>
      </c>
      <c r="BK1012" s="111"/>
      <c r="BL1012" s="111" t="n">
        <v>712</v>
      </c>
      <c r="BW1012" s="111" t="n">
        <v>21</v>
      </c>
      <c r="BX1012" s="14" t="s">
        <v>1726</v>
      </c>
    </row>
    <row r="1013">
      <c r="A1013" s="154"/>
      <c r="B1013" s="155"/>
      <c r="C1013" s="155"/>
      <c r="D1013" s="156" t="s">
        <v>1727</v>
      </c>
      <c r="E1013" s="156" t="s">
        <v>1710</v>
      </c>
      <c r="F1013" s="155"/>
      <c r="G1013" s="157" t="n">
        <v>26.2085</v>
      </c>
      <c r="H1013" s="158"/>
      <c r="I1013" s="155"/>
      <c r="J1013" s="155"/>
      <c r="K1013" s="146"/>
    </row>
    <row r="1014">
      <c r="A1014" s="154"/>
      <c r="B1014" s="155"/>
      <c r="C1014" s="155"/>
      <c r="D1014" s="156" t="s">
        <v>1728</v>
      </c>
      <c r="E1014" s="156" t="s">
        <v>1723</v>
      </c>
      <c r="F1014" s="155"/>
      <c r="G1014" s="157" t="n">
        <v>-2.0815</v>
      </c>
      <c r="H1014" s="158"/>
      <c r="I1014" s="155"/>
      <c r="J1014" s="155"/>
      <c r="K1014" s="146"/>
    </row>
    <row r="1015">
      <c r="A1015" s="154"/>
      <c r="B1015" s="155"/>
      <c r="C1015" s="155"/>
      <c r="D1015" s="156" t="s">
        <v>1729</v>
      </c>
      <c r="E1015" s="156" t="s">
        <v>1730</v>
      </c>
      <c r="F1015" s="155"/>
      <c r="G1015" s="157" t="n">
        <v>2.4127</v>
      </c>
      <c r="H1015" s="158"/>
      <c r="I1015" s="155"/>
      <c r="J1015" s="155"/>
      <c r="K1015" s="146"/>
    </row>
    <row r="1016">
      <c r="A1016" s="9" t="s">
        <v>1731</v>
      </c>
      <c r="B1016" s="10" t="s">
        <v>84</v>
      </c>
      <c r="C1016" s="10" t="s">
        <v>1732</v>
      </c>
      <c r="D1016" s="14" t="s">
        <v>1733</v>
      </c>
      <c r="E1016" s="10"/>
      <c r="F1016" s="10" t="s">
        <v>145</v>
      </c>
      <c r="G1016" s="111" t="n">
        <v>524.17</v>
      </c>
      <c r="H1016" s="152" t="n">
        <v>0</v>
      </c>
      <c r="I1016" s="111">
        <f>G1016*H1016</f>
      </c>
      <c r="J1016" s="153" t="s">
        <v>134</v>
      </c>
      <c r="K1016" s="146"/>
      <c r="Z1016" s="111">
        <f>IF(AQ1016="5",BJ1016,0)</f>
      </c>
      <c r="AB1016" s="111">
        <f>IF(AQ1016="1",BH1016,0)</f>
      </c>
      <c r="AC1016" s="111">
        <f>IF(AQ1016="1",BI1016,0)</f>
      </c>
      <c r="AD1016" s="111">
        <f>IF(AQ1016="7",BH1016,0)</f>
      </c>
      <c r="AE1016" s="111">
        <f>IF(AQ1016="7",BI1016,0)</f>
      </c>
      <c r="AF1016" s="111">
        <f>IF(AQ1016="2",BH1016,0)</f>
      </c>
      <c r="AG1016" s="111">
        <f>IF(AQ1016="2",BI1016,0)</f>
      </c>
      <c r="AH1016" s="111">
        <f>IF(AQ1016="0",BJ1016,0)</f>
      </c>
      <c r="AI1016" s="132" t="s">
        <v>84</v>
      </c>
      <c r="AJ1016" s="111">
        <f>IF(AN1016=0,I1016,0)</f>
      </c>
      <c r="AK1016" s="111">
        <f>IF(AN1016=12,I1016,0)</f>
      </c>
      <c r="AL1016" s="111">
        <f>IF(AN1016=21,I1016,0)</f>
      </c>
      <c r="AN1016" s="111" t="n">
        <v>21</v>
      </c>
      <c r="AO1016" s="111">
        <f>H1016*0.532518815</f>
      </c>
      <c r="AP1016" s="111">
        <f>H1016*(1-0.532518815)</f>
      </c>
      <c r="AQ1016" s="153" t="s">
        <v>173</v>
      </c>
      <c r="AV1016" s="111">
        <f>AW1016+AX1016</f>
      </c>
      <c r="AW1016" s="111">
        <f>G1016*AO1016</f>
      </c>
      <c r="AX1016" s="111">
        <f>G1016*AP1016</f>
      </c>
      <c r="AY1016" s="153" t="s">
        <v>1668</v>
      </c>
      <c r="AZ1016" s="153" t="s">
        <v>1620</v>
      </c>
      <c r="BA1016" s="132" t="s">
        <v>137</v>
      </c>
      <c r="BC1016" s="111">
        <f>AW1016+AX1016</f>
      </c>
      <c r="BD1016" s="111">
        <f>H1016/(100-BE1016)*100</f>
      </c>
      <c r="BE1016" s="111" t="n">
        <v>0</v>
      </c>
      <c r="BF1016" s="111">
        <f>1016</f>
      </c>
      <c r="BH1016" s="111">
        <f>G1016*AO1016</f>
      </c>
      <c r="BI1016" s="111">
        <f>G1016*AP1016</f>
      </c>
      <c r="BJ1016" s="111">
        <f>G1016*H1016</f>
      </c>
      <c r="BK1016" s="111"/>
      <c r="BL1016" s="111" t="n">
        <v>712</v>
      </c>
      <c r="BW1016" s="111" t="n">
        <v>21</v>
      </c>
      <c r="BX1016" s="14" t="s">
        <v>1733</v>
      </c>
    </row>
    <row r="1017" customHeight="true" ht="13.5">
      <c r="A1017" s="159"/>
      <c r="C1017" s="160" t="s">
        <v>146</v>
      </c>
      <c r="D1017" s="161" t="s">
        <v>1734</v>
      </c>
      <c r="E1017" s="156"/>
      <c r="F1017" s="156"/>
      <c r="G1017" s="156"/>
      <c r="H1017" s="162"/>
      <c r="I1017" s="156"/>
      <c r="J1017" s="156"/>
      <c r="K1017" s="163"/>
    </row>
    <row r="1018">
      <c r="A1018" s="154"/>
      <c r="B1018" s="155"/>
      <c r="C1018" s="155"/>
      <c r="D1018" s="156" t="s">
        <v>1714</v>
      </c>
      <c r="E1018" s="156" t="s">
        <v>1721</v>
      </c>
      <c r="F1018" s="155"/>
      <c r="G1018" s="157" t="n">
        <v>524.17</v>
      </c>
      <c r="H1018" s="158"/>
      <c r="I1018" s="155"/>
      <c r="J1018" s="155"/>
      <c r="K1018" s="146"/>
    </row>
    <row r="1019">
      <c r="A1019" s="9" t="s">
        <v>1735</v>
      </c>
      <c r="B1019" s="10" t="s">
        <v>84</v>
      </c>
      <c r="C1019" s="10" t="s">
        <v>1736</v>
      </c>
      <c r="D1019" s="14" t="s">
        <v>1737</v>
      </c>
      <c r="E1019" s="10"/>
      <c r="F1019" s="10" t="s">
        <v>145</v>
      </c>
      <c r="G1019" s="111" t="n">
        <v>524.17</v>
      </c>
      <c r="H1019" s="152" t="n">
        <v>0</v>
      </c>
      <c r="I1019" s="111">
        <f>G1019*H1019</f>
      </c>
      <c r="J1019" s="153" t="s">
        <v>134</v>
      </c>
      <c r="K1019" s="146"/>
      <c r="Z1019" s="111">
        <f>IF(AQ1019="5",BJ1019,0)</f>
      </c>
      <c r="AB1019" s="111">
        <f>IF(AQ1019="1",BH1019,0)</f>
      </c>
      <c r="AC1019" s="111">
        <f>IF(AQ1019="1",BI1019,0)</f>
      </c>
      <c r="AD1019" s="111">
        <f>IF(AQ1019="7",BH1019,0)</f>
      </c>
      <c r="AE1019" s="111">
        <f>IF(AQ1019="7",BI1019,0)</f>
      </c>
      <c r="AF1019" s="111">
        <f>IF(AQ1019="2",BH1019,0)</f>
      </c>
      <c r="AG1019" s="111">
        <f>IF(AQ1019="2",BI1019,0)</f>
      </c>
      <c r="AH1019" s="111">
        <f>IF(AQ1019="0",BJ1019,0)</f>
      </c>
      <c r="AI1019" s="132" t="s">
        <v>84</v>
      </c>
      <c r="AJ1019" s="111">
        <f>IF(AN1019=0,I1019,0)</f>
      </c>
      <c r="AK1019" s="111">
        <f>IF(AN1019=12,I1019,0)</f>
      </c>
      <c r="AL1019" s="111">
        <f>IF(AN1019=21,I1019,0)</f>
      </c>
      <c r="AN1019" s="111" t="n">
        <v>21</v>
      </c>
      <c r="AO1019" s="111">
        <f>H1019*0.909324026</f>
      </c>
      <c r="AP1019" s="111">
        <f>H1019*(1-0.909324026)</f>
      </c>
      <c r="AQ1019" s="153" t="s">
        <v>173</v>
      </c>
      <c r="AV1019" s="111">
        <f>AW1019+AX1019</f>
      </c>
      <c r="AW1019" s="111">
        <f>G1019*AO1019</f>
      </c>
      <c r="AX1019" s="111">
        <f>G1019*AP1019</f>
      </c>
      <c r="AY1019" s="153" t="s">
        <v>1668</v>
      </c>
      <c r="AZ1019" s="153" t="s">
        <v>1620</v>
      </c>
      <c r="BA1019" s="132" t="s">
        <v>137</v>
      </c>
      <c r="BC1019" s="111">
        <f>AW1019+AX1019</f>
      </c>
      <c r="BD1019" s="111">
        <f>H1019/(100-BE1019)*100</f>
      </c>
      <c r="BE1019" s="111" t="n">
        <v>0</v>
      </c>
      <c r="BF1019" s="111">
        <f>1019</f>
      </c>
      <c r="BH1019" s="111">
        <f>G1019*AO1019</f>
      </c>
      <c r="BI1019" s="111">
        <f>G1019*AP1019</f>
      </c>
      <c r="BJ1019" s="111">
        <f>G1019*H1019</f>
      </c>
      <c r="BK1019" s="111"/>
      <c r="BL1019" s="111" t="n">
        <v>712</v>
      </c>
      <c r="BW1019" s="111" t="n">
        <v>21</v>
      </c>
      <c r="BX1019" s="14" t="s">
        <v>1737</v>
      </c>
    </row>
    <row r="1020" customHeight="true" ht="13.5">
      <c r="A1020" s="159"/>
      <c r="C1020" s="160" t="s">
        <v>146</v>
      </c>
      <c r="D1020" s="161" t="s">
        <v>1738</v>
      </c>
      <c r="E1020" s="156"/>
      <c r="F1020" s="156"/>
      <c r="G1020" s="156"/>
      <c r="H1020" s="162"/>
      <c r="I1020" s="156"/>
      <c r="J1020" s="156"/>
      <c r="K1020" s="163"/>
    </row>
    <row r="1021">
      <c r="A1021" s="154"/>
      <c r="B1021" s="155"/>
      <c r="C1021" s="155"/>
      <c r="D1021" s="156" t="s">
        <v>1714</v>
      </c>
      <c r="E1021" s="156" t="s">
        <v>1721</v>
      </c>
      <c r="F1021" s="155"/>
      <c r="G1021" s="157" t="n">
        <v>524.17</v>
      </c>
      <c r="H1021" s="158"/>
      <c r="I1021" s="155"/>
      <c r="J1021" s="155"/>
      <c r="K1021" s="146"/>
    </row>
    <row r="1022">
      <c r="A1022" s="9" t="s">
        <v>1739</v>
      </c>
      <c r="B1022" s="10" t="s">
        <v>84</v>
      </c>
      <c r="C1022" s="10" t="s">
        <v>1740</v>
      </c>
      <c r="D1022" s="14" t="s">
        <v>1741</v>
      </c>
      <c r="E1022" s="10"/>
      <c r="F1022" s="10" t="s">
        <v>133</v>
      </c>
      <c r="G1022" s="111" t="n">
        <v>1</v>
      </c>
      <c r="H1022" s="152" t="n">
        <v>0</v>
      </c>
      <c r="I1022" s="111">
        <f>G1022*H1022</f>
      </c>
      <c r="J1022" s="153" t="s">
        <v>134</v>
      </c>
      <c r="K1022" s="146"/>
      <c r="Z1022" s="111">
        <f>IF(AQ1022="5",BJ1022,0)</f>
      </c>
      <c r="AB1022" s="111">
        <f>IF(AQ1022="1",BH1022,0)</f>
      </c>
      <c r="AC1022" s="111">
        <f>IF(AQ1022="1",BI1022,0)</f>
      </c>
      <c r="AD1022" s="111">
        <f>IF(AQ1022="7",BH1022,0)</f>
      </c>
      <c r="AE1022" s="111">
        <f>IF(AQ1022="7",BI1022,0)</f>
      </c>
      <c r="AF1022" s="111">
        <f>IF(AQ1022="2",BH1022,0)</f>
      </c>
      <c r="AG1022" s="111">
        <f>IF(AQ1022="2",BI1022,0)</f>
      </c>
      <c r="AH1022" s="111">
        <f>IF(AQ1022="0",BJ1022,0)</f>
      </c>
      <c r="AI1022" s="132" t="s">
        <v>84</v>
      </c>
      <c r="AJ1022" s="111">
        <f>IF(AN1022=0,I1022,0)</f>
      </c>
      <c r="AK1022" s="111">
        <f>IF(AN1022=12,I1022,0)</f>
      </c>
      <c r="AL1022" s="111">
        <f>IF(AN1022=21,I1022,0)</f>
      </c>
      <c r="AN1022" s="111" t="n">
        <v>21</v>
      </c>
      <c r="AO1022" s="111">
        <f>H1022*0.771839135</f>
      </c>
      <c r="AP1022" s="111">
        <f>H1022*(1-0.771839135)</f>
      </c>
      <c r="AQ1022" s="153" t="s">
        <v>173</v>
      </c>
      <c r="AV1022" s="111">
        <f>AW1022+AX1022</f>
      </c>
      <c r="AW1022" s="111">
        <f>G1022*AO1022</f>
      </c>
      <c r="AX1022" s="111">
        <f>G1022*AP1022</f>
      </c>
      <c r="AY1022" s="153" t="s">
        <v>1668</v>
      </c>
      <c r="AZ1022" s="153" t="s">
        <v>1620</v>
      </c>
      <c r="BA1022" s="132" t="s">
        <v>137</v>
      </c>
      <c r="BC1022" s="111">
        <f>AW1022+AX1022</f>
      </c>
      <c r="BD1022" s="111">
        <f>H1022/(100-BE1022)*100</f>
      </c>
      <c r="BE1022" s="111" t="n">
        <v>0</v>
      </c>
      <c r="BF1022" s="111">
        <f>1022</f>
      </c>
      <c r="BH1022" s="111">
        <f>G1022*AO1022</f>
      </c>
      <c r="BI1022" s="111">
        <f>G1022*AP1022</f>
      </c>
      <c r="BJ1022" s="111">
        <f>G1022*H1022</f>
      </c>
      <c r="BK1022" s="111"/>
      <c r="BL1022" s="111" t="n">
        <v>712</v>
      </c>
      <c r="BW1022" s="111" t="n">
        <v>21</v>
      </c>
      <c r="BX1022" s="14" t="s">
        <v>1741</v>
      </c>
    </row>
    <row r="1023" customHeight="true" ht="13.5">
      <c r="A1023" s="159"/>
      <c r="C1023" s="160" t="s">
        <v>146</v>
      </c>
      <c r="D1023" s="161" t="s">
        <v>1742</v>
      </c>
      <c r="E1023" s="156"/>
      <c r="F1023" s="156"/>
      <c r="G1023" s="156"/>
      <c r="H1023" s="162"/>
      <c r="I1023" s="156"/>
      <c r="J1023" s="156"/>
      <c r="K1023" s="163"/>
    </row>
    <row r="1024">
      <c r="A1024" s="154"/>
      <c r="B1024" s="155"/>
      <c r="C1024" s="155"/>
      <c r="D1024" s="156" t="s">
        <v>130</v>
      </c>
      <c r="E1024" s="156" t="s">
        <v>1743</v>
      </c>
      <c r="F1024" s="155"/>
      <c r="G1024" s="157" t="n">
        <v>1</v>
      </c>
      <c r="H1024" s="158"/>
      <c r="I1024" s="155"/>
      <c r="J1024" s="155"/>
      <c r="K1024" s="146"/>
    </row>
    <row r="1025">
      <c r="A1025" s="9" t="s">
        <v>1744</v>
      </c>
      <c r="B1025" s="10" t="s">
        <v>84</v>
      </c>
      <c r="C1025" s="10" t="s">
        <v>1745</v>
      </c>
      <c r="D1025" s="14" t="s">
        <v>1746</v>
      </c>
      <c r="E1025" s="10"/>
      <c r="F1025" s="10" t="s">
        <v>133</v>
      </c>
      <c r="G1025" s="111" t="n">
        <v>2</v>
      </c>
      <c r="H1025" s="152" t="n">
        <v>0</v>
      </c>
      <c r="I1025" s="111">
        <f>G1025*H1025</f>
      </c>
      <c r="J1025" s="153" t="s">
        <v>134</v>
      </c>
      <c r="K1025" s="146"/>
      <c r="Z1025" s="111">
        <f>IF(AQ1025="5",BJ1025,0)</f>
      </c>
      <c r="AB1025" s="111">
        <f>IF(AQ1025="1",BH1025,0)</f>
      </c>
      <c r="AC1025" s="111">
        <f>IF(AQ1025="1",BI1025,0)</f>
      </c>
      <c r="AD1025" s="111">
        <f>IF(AQ1025="7",BH1025,0)</f>
      </c>
      <c r="AE1025" s="111">
        <f>IF(AQ1025="7",BI1025,0)</f>
      </c>
      <c r="AF1025" s="111">
        <f>IF(AQ1025="2",BH1025,0)</f>
      </c>
      <c r="AG1025" s="111">
        <f>IF(AQ1025="2",BI1025,0)</f>
      </c>
      <c r="AH1025" s="111">
        <f>IF(AQ1025="0",BJ1025,0)</f>
      </c>
      <c r="AI1025" s="132" t="s">
        <v>84</v>
      </c>
      <c r="AJ1025" s="111">
        <f>IF(AN1025=0,I1025,0)</f>
      </c>
      <c r="AK1025" s="111">
        <f>IF(AN1025=12,I1025,0)</f>
      </c>
      <c r="AL1025" s="111">
        <f>IF(AN1025=21,I1025,0)</f>
      </c>
      <c r="AN1025" s="111" t="n">
        <v>21</v>
      </c>
      <c r="AO1025" s="111">
        <f>H1025*0.777559066</f>
      </c>
      <c r="AP1025" s="111">
        <f>H1025*(1-0.777559066)</f>
      </c>
      <c r="AQ1025" s="153" t="s">
        <v>173</v>
      </c>
      <c r="AV1025" s="111">
        <f>AW1025+AX1025</f>
      </c>
      <c r="AW1025" s="111">
        <f>G1025*AO1025</f>
      </c>
      <c r="AX1025" s="111">
        <f>G1025*AP1025</f>
      </c>
      <c r="AY1025" s="153" t="s">
        <v>1668</v>
      </c>
      <c r="AZ1025" s="153" t="s">
        <v>1620</v>
      </c>
      <c r="BA1025" s="132" t="s">
        <v>137</v>
      </c>
      <c r="BC1025" s="111">
        <f>AW1025+AX1025</f>
      </c>
      <c r="BD1025" s="111">
        <f>H1025/(100-BE1025)*100</f>
      </c>
      <c r="BE1025" s="111" t="n">
        <v>0</v>
      </c>
      <c r="BF1025" s="111">
        <f>1025</f>
      </c>
      <c r="BH1025" s="111">
        <f>G1025*AO1025</f>
      </c>
      <c r="BI1025" s="111">
        <f>G1025*AP1025</f>
      </c>
      <c r="BJ1025" s="111">
        <f>G1025*H1025</f>
      </c>
      <c r="BK1025" s="111"/>
      <c r="BL1025" s="111" t="n">
        <v>712</v>
      </c>
      <c r="BW1025" s="111" t="n">
        <v>21</v>
      </c>
      <c r="BX1025" s="14" t="s">
        <v>1746</v>
      </c>
    </row>
    <row r="1026" customHeight="true" ht="13.5">
      <c r="A1026" s="159"/>
      <c r="C1026" s="160" t="s">
        <v>146</v>
      </c>
      <c r="D1026" s="161" t="s">
        <v>1747</v>
      </c>
      <c r="E1026" s="156"/>
      <c r="F1026" s="156"/>
      <c r="G1026" s="156"/>
      <c r="H1026" s="162"/>
      <c r="I1026" s="156"/>
      <c r="J1026" s="156"/>
      <c r="K1026" s="163"/>
    </row>
    <row r="1027">
      <c r="A1027" s="154"/>
      <c r="B1027" s="155"/>
      <c r="C1027" s="155"/>
      <c r="D1027" s="156" t="s">
        <v>130</v>
      </c>
      <c r="E1027" s="156" t="s">
        <v>1748</v>
      </c>
      <c r="F1027" s="155"/>
      <c r="G1027" s="157" t="n">
        <v>1</v>
      </c>
      <c r="H1027" s="158"/>
      <c r="I1027" s="155"/>
      <c r="J1027" s="155"/>
      <c r="K1027" s="146"/>
    </row>
    <row r="1028">
      <c r="A1028" s="154"/>
      <c r="B1028" s="155"/>
      <c r="C1028" s="155"/>
      <c r="D1028" s="156" t="s">
        <v>130</v>
      </c>
      <c r="E1028" s="156" t="s">
        <v>1749</v>
      </c>
      <c r="F1028" s="155"/>
      <c r="G1028" s="157" t="n">
        <v>1</v>
      </c>
      <c r="H1028" s="158"/>
      <c r="I1028" s="155"/>
      <c r="J1028" s="155"/>
      <c r="K1028" s="146"/>
    </row>
    <row r="1029">
      <c r="A1029" s="9" t="s">
        <v>1750</v>
      </c>
      <c r="B1029" s="10" t="s">
        <v>84</v>
      </c>
      <c r="C1029" s="10" t="s">
        <v>1751</v>
      </c>
      <c r="D1029" s="14" t="s">
        <v>1752</v>
      </c>
      <c r="E1029" s="10"/>
      <c r="F1029" s="10" t="s">
        <v>133</v>
      </c>
      <c r="G1029" s="111" t="n">
        <v>1</v>
      </c>
      <c r="H1029" s="152" t="n">
        <v>0</v>
      </c>
      <c r="I1029" s="111">
        <f>G1029*H1029</f>
      </c>
      <c r="J1029" s="153" t="s">
        <v>134</v>
      </c>
      <c r="K1029" s="146"/>
      <c r="Z1029" s="111">
        <f>IF(AQ1029="5",BJ1029,0)</f>
      </c>
      <c r="AB1029" s="111">
        <f>IF(AQ1029="1",BH1029,0)</f>
      </c>
      <c r="AC1029" s="111">
        <f>IF(AQ1029="1",BI1029,0)</f>
      </c>
      <c r="AD1029" s="111">
        <f>IF(AQ1029="7",BH1029,0)</f>
      </c>
      <c r="AE1029" s="111">
        <f>IF(AQ1029="7",BI1029,0)</f>
      </c>
      <c r="AF1029" s="111">
        <f>IF(AQ1029="2",BH1029,0)</f>
      </c>
      <c r="AG1029" s="111">
        <f>IF(AQ1029="2",BI1029,0)</f>
      </c>
      <c r="AH1029" s="111">
        <f>IF(AQ1029="0",BJ1029,0)</f>
      </c>
      <c r="AI1029" s="132" t="s">
        <v>84</v>
      </c>
      <c r="AJ1029" s="111">
        <f>IF(AN1029=0,I1029,0)</f>
      </c>
      <c r="AK1029" s="111">
        <f>IF(AN1029=12,I1029,0)</f>
      </c>
      <c r="AL1029" s="111">
        <f>IF(AN1029=21,I1029,0)</f>
      </c>
      <c r="AN1029" s="111" t="n">
        <v>21</v>
      </c>
      <c r="AO1029" s="111">
        <f>H1029*0.810367965</f>
      </c>
      <c r="AP1029" s="111">
        <f>H1029*(1-0.810367965)</f>
      </c>
      <c r="AQ1029" s="153" t="s">
        <v>173</v>
      </c>
      <c r="AV1029" s="111">
        <f>AW1029+AX1029</f>
      </c>
      <c r="AW1029" s="111">
        <f>G1029*AO1029</f>
      </c>
      <c r="AX1029" s="111">
        <f>G1029*AP1029</f>
      </c>
      <c r="AY1029" s="153" t="s">
        <v>1668</v>
      </c>
      <c r="AZ1029" s="153" t="s">
        <v>1620</v>
      </c>
      <c r="BA1029" s="132" t="s">
        <v>137</v>
      </c>
      <c r="BC1029" s="111">
        <f>AW1029+AX1029</f>
      </c>
      <c r="BD1029" s="111">
        <f>H1029/(100-BE1029)*100</f>
      </c>
      <c r="BE1029" s="111" t="n">
        <v>0</v>
      </c>
      <c r="BF1029" s="111">
        <f>1029</f>
      </c>
      <c r="BH1029" s="111">
        <f>G1029*AO1029</f>
      </c>
      <c r="BI1029" s="111">
        <f>G1029*AP1029</f>
      </c>
      <c r="BJ1029" s="111">
        <f>G1029*H1029</f>
      </c>
      <c r="BK1029" s="111"/>
      <c r="BL1029" s="111" t="n">
        <v>712</v>
      </c>
      <c r="BW1029" s="111" t="n">
        <v>21</v>
      </c>
      <c r="BX1029" s="14" t="s">
        <v>1752</v>
      </c>
    </row>
    <row r="1030" customHeight="true" ht="13.5">
      <c r="A1030" s="159"/>
      <c r="C1030" s="160" t="s">
        <v>146</v>
      </c>
      <c r="D1030" s="161" t="s">
        <v>1753</v>
      </c>
      <c r="E1030" s="156"/>
      <c r="F1030" s="156"/>
      <c r="G1030" s="156"/>
      <c r="H1030" s="162"/>
      <c r="I1030" s="156"/>
      <c r="J1030" s="156"/>
      <c r="K1030" s="163"/>
    </row>
    <row r="1031">
      <c r="A1031" s="154"/>
      <c r="B1031" s="155"/>
      <c r="C1031" s="155"/>
      <c r="D1031" s="156" t="s">
        <v>130</v>
      </c>
      <c r="E1031" s="156" t="s">
        <v>1754</v>
      </c>
      <c r="F1031" s="155"/>
      <c r="G1031" s="157" t="n">
        <v>1</v>
      </c>
      <c r="H1031" s="158"/>
      <c r="I1031" s="155"/>
      <c r="J1031" s="155"/>
      <c r="K1031" s="146"/>
    </row>
    <row r="1032">
      <c r="A1032" s="9" t="s">
        <v>1755</v>
      </c>
      <c r="B1032" s="10" t="s">
        <v>84</v>
      </c>
      <c r="C1032" s="10" t="s">
        <v>1756</v>
      </c>
      <c r="D1032" s="14" t="s">
        <v>1757</v>
      </c>
      <c r="E1032" s="10"/>
      <c r="F1032" s="10" t="s">
        <v>133</v>
      </c>
      <c r="G1032" s="111" t="n">
        <v>55</v>
      </c>
      <c r="H1032" s="152" t="n">
        <v>0</v>
      </c>
      <c r="I1032" s="111">
        <f>G1032*H1032</f>
      </c>
      <c r="J1032" s="153" t="s">
        <v>134</v>
      </c>
      <c r="K1032" s="146"/>
      <c r="Z1032" s="111">
        <f>IF(AQ1032="5",BJ1032,0)</f>
      </c>
      <c r="AB1032" s="111">
        <f>IF(AQ1032="1",BH1032,0)</f>
      </c>
      <c r="AC1032" s="111">
        <f>IF(AQ1032="1",BI1032,0)</f>
      </c>
      <c r="AD1032" s="111">
        <f>IF(AQ1032="7",BH1032,0)</f>
      </c>
      <c r="AE1032" s="111">
        <f>IF(AQ1032="7",BI1032,0)</f>
      </c>
      <c r="AF1032" s="111">
        <f>IF(AQ1032="2",BH1032,0)</f>
      </c>
      <c r="AG1032" s="111">
        <f>IF(AQ1032="2",BI1032,0)</f>
      </c>
      <c r="AH1032" s="111">
        <f>IF(AQ1032="0",BJ1032,0)</f>
      </c>
      <c r="AI1032" s="132" t="s">
        <v>84</v>
      </c>
      <c r="AJ1032" s="111">
        <f>IF(AN1032=0,I1032,0)</f>
      </c>
      <c r="AK1032" s="111">
        <f>IF(AN1032=12,I1032,0)</f>
      </c>
      <c r="AL1032" s="111">
        <f>IF(AN1032=21,I1032,0)</f>
      </c>
      <c r="AN1032" s="111" t="n">
        <v>21</v>
      </c>
      <c r="AO1032" s="111">
        <f>H1032*0.664599119</f>
      </c>
      <c r="AP1032" s="111">
        <f>H1032*(1-0.664599119)</f>
      </c>
      <c r="AQ1032" s="153" t="s">
        <v>173</v>
      </c>
      <c r="AV1032" s="111">
        <f>AW1032+AX1032</f>
      </c>
      <c r="AW1032" s="111">
        <f>G1032*AO1032</f>
      </c>
      <c r="AX1032" s="111">
        <f>G1032*AP1032</f>
      </c>
      <c r="AY1032" s="153" t="s">
        <v>1668</v>
      </c>
      <c r="AZ1032" s="153" t="s">
        <v>1620</v>
      </c>
      <c r="BA1032" s="132" t="s">
        <v>137</v>
      </c>
      <c r="BC1032" s="111">
        <f>AW1032+AX1032</f>
      </c>
      <c r="BD1032" s="111">
        <f>H1032/(100-BE1032)*100</f>
      </c>
      <c r="BE1032" s="111" t="n">
        <v>0</v>
      </c>
      <c r="BF1032" s="111">
        <f>1032</f>
      </c>
      <c r="BH1032" s="111">
        <f>G1032*AO1032</f>
      </c>
      <c r="BI1032" s="111">
        <f>G1032*AP1032</f>
      </c>
      <c r="BJ1032" s="111">
        <f>G1032*H1032</f>
      </c>
      <c r="BK1032" s="111"/>
      <c r="BL1032" s="111" t="n">
        <v>712</v>
      </c>
      <c r="BW1032" s="111" t="n">
        <v>21</v>
      </c>
      <c r="BX1032" s="14" t="s">
        <v>1757</v>
      </c>
    </row>
    <row r="1033">
      <c r="A1033" s="154"/>
      <c r="B1033" s="155"/>
      <c r="C1033" s="155"/>
      <c r="D1033" s="156" t="s">
        <v>498</v>
      </c>
      <c r="E1033" s="156" t="s">
        <v>1758</v>
      </c>
      <c r="F1033" s="155"/>
      <c r="G1033" s="157" t="n">
        <v>55</v>
      </c>
      <c r="H1033" s="158"/>
      <c r="I1033" s="155"/>
      <c r="J1033" s="155"/>
      <c r="K1033" s="146"/>
    </row>
    <row r="1034">
      <c r="A1034" s="9" t="s">
        <v>1759</v>
      </c>
      <c r="B1034" s="10" t="s">
        <v>84</v>
      </c>
      <c r="C1034" s="10" t="s">
        <v>1760</v>
      </c>
      <c r="D1034" s="14" t="s">
        <v>1761</v>
      </c>
      <c r="E1034" s="10"/>
      <c r="F1034" s="10" t="s">
        <v>133</v>
      </c>
      <c r="G1034" s="111" t="n">
        <v>14</v>
      </c>
      <c r="H1034" s="152" t="n">
        <v>0</v>
      </c>
      <c r="I1034" s="111">
        <f>G1034*H1034</f>
      </c>
      <c r="J1034" s="153" t="s">
        <v>134</v>
      </c>
      <c r="K1034" s="146"/>
      <c r="Z1034" s="111">
        <f>IF(AQ1034="5",BJ1034,0)</f>
      </c>
      <c r="AB1034" s="111">
        <f>IF(AQ1034="1",BH1034,0)</f>
      </c>
      <c r="AC1034" s="111">
        <f>IF(AQ1034="1",BI1034,0)</f>
      </c>
      <c r="AD1034" s="111">
        <f>IF(AQ1034="7",BH1034,0)</f>
      </c>
      <c r="AE1034" s="111">
        <f>IF(AQ1034="7",BI1034,0)</f>
      </c>
      <c r="AF1034" s="111">
        <f>IF(AQ1034="2",BH1034,0)</f>
      </c>
      <c r="AG1034" s="111">
        <f>IF(AQ1034="2",BI1034,0)</f>
      </c>
      <c r="AH1034" s="111">
        <f>IF(AQ1034="0",BJ1034,0)</f>
      </c>
      <c r="AI1034" s="132" t="s">
        <v>84</v>
      </c>
      <c r="AJ1034" s="111">
        <f>IF(AN1034=0,I1034,0)</f>
      </c>
      <c r="AK1034" s="111">
        <f>IF(AN1034=12,I1034,0)</f>
      </c>
      <c r="AL1034" s="111">
        <f>IF(AN1034=21,I1034,0)</f>
      </c>
      <c r="AN1034" s="111" t="n">
        <v>21</v>
      </c>
      <c r="AO1034" s="111">
        <f>H1034*0.757856465</f>
      </c>
      <c r="AP1034" s="111">
        <f>H1034*(1-0.757856465)</f>
      </c>
      <c r="AQ1034" s="153" t="s">
        <v>173</v>
      </c>
      <c r="AV1034" s="111">
        <f>AW1034+AX1034</f>
      </c>
      <c r="AW1034" s="111">
        <f>G1034*AO1034</f>
      </c>
      <c r="AX1034" s="111">
        <f>G1034*AP1034</f>
      </c>
      <c r="AY1034" s="153" t="s">
        <v>1668</v>
      </c>
      <c r="AZ1034" s="153" t="s">
        <v>1620</v>
      </c>
      <c r="BA1034" s="132" t="s">
        <v>137</v>
      </c>
      <c r="BC1034" s="111">
        <f>AW1034+AX1034</f>
      </c>
      <c r="BD1034" s="111">
        <f>H1034/(100-BE1034)*100</f>
      </c>
      <c r="BE1034" s="111" t="n">
        <v>0</v>
      </c>
      <c r="BF1034" s="111">
        <f>1034</f>
      </c>
      <c r="BH1034" s="111">
        <f>G1034*AO1034</f>
      </c>
      <c r="BI1034" s="111">
        <f>G1034*AP1034</f>
      </c>
      <c r="BJ1034" s="111">
        <f>G1034*H1034</f>
      </c>
      <c r="BK1034" s="111"/>
      <c r="BL1034" s="111" t="n">
        <v>712</v>
      </c>
      <c r="BW1034" s="111" t="n">
        <v>21</v>
      </c>
      <c r="BX1034" s="14" t="s">
        <v>1761</v>
      </c>
    </row>
    <row r="1035" customHeight="true" ht="13.5">
      <c r="A1035" s="159"/>
      <c r="C1035" s="160" t="s">
        <v>146</v>
      </c>
      <c r="D1035" s="161" t="s">
        <v>1762</v>
      </c>
      <c r="E1035" s="156"/>
      <c r="F1035" s="156"/>
      <c r="G1035" s="156"/>
      <c r="H1035" s="162"/>
      <c r="I1035" s="156"/>
      <c r="J1035" s="156"/>
      <c r="K1035" s="163"/>
    </row>
    <row r="1036">
      <c r="A1036" s="154"/>
      <c r="B1036" s="155"/>
      <c r="C1036" s="155"/>
      <c r="D1036" s="156" t="s">
        <v>212</v>
      </c>
      <c r="E1036" s="156" t="s">
        <v>1763</v>
      </c>
      <c r="F1036" s="155"/>
      <c r="G1036" s="157" t="n">
        <v>14</v>
      </c>
      <c r="H1036" s="158"/>
      <c r="I1036" s="155"/>
      <c r="J1036" s="155"/>
      <c r="K1036" s="146"/>
    </row>
    <row r="1037">
      <c r="A1037" s="9" t="s">
        <v>1764</v>
      </c>
      <c r="B1037" s="10" t="s">
        <v>84</v>
      </c>
      <c r="C1037" s="10" t="s">
        <v>1765</v>
      </c>
      <c r="D1037" s="14" t="s">
        <v>1761</v>
      </c>
      <c r="E1037" s="10"/>
      <c r="F1037" s="10" t="s">
        <v>133</v>
      </c>
      <c r="G1037" s="111" t="n">
        <v>22</v>
      </c>
      <c r="H1037" s="152" t="n">
        <v>0</v>
      </c>
      <c r="I1037" s="111">
        <f>G1037*H1037</f>
      </c>
      <c r="J1037" s="153" t="s">
        <v>134</v>
      </c>
      <c r="K1037" s="146"/>
      <c r="Z1037" s="111">
        <f>IF(AQ1037="5",BJ1037,0)</f>
      </c>
      <c r="AB1037" s="111">
        <f>IF(AQ1037="1",BH1037,0)</f>
      </c>
      <c r="AC1037" s="111">
        <f>IF(AQ1037="1",BI1037,0)</f>
      </c>
      <c r="AD1037" s="111">
        <f>IF(AQ1037="7",BH1037,0)</f>
      </c>
      <c r="AE1037" s="111">
        <f>IF(AQ1037="7",BI1037,0)</f>
      </c>
      <c r="AF1037" s="111">
        <f>IF(AQ1037="2",BH1037,0)</f>
      </c>
      <c r="AG1037" s="111">
        <f>IF(AQ1037="2",BI1037,0)</f>
      </c>
      <c r="AH1037" s="111">
        <f>IF(AQ1037="0",BJ1037,0)</f>
      </c>
      <c r="AI1037" s="132" t="s">
        <v>84</v>
      </c>
      <c r="AJ1037" s="111">
        <f>IF(AN1037=0,I1037,0)</f>
      </c>
      <c r="AK1037" s="111">
        <f>IF(AN1037=12,I1037,0)</f>
      </c>
      <c r="AL1037" s="111">
        <f>IF(AN1037=21,I1037,0)</f>
      </c>
      <c r="AN1037" s="111" t="n">
        <v>21</v>
      </c>
      <c r="AO1037" s="111">
        <f>H1037*0.787749064</f>
      </c>
      <c r="AP1037" s="111">
        <f>H1037*(1-0.787749064)</f>
      </c>
      <c r="AQ1037" s="153" t="s">
        <v>173</v>
      </c>
      <c r="AV1037" s="111">
        <f>AW1037+AX1037</f>
      </c>
      <c r="AW1037" s="111">
        <f>G1037*AO1037</f>
      </c>
      <c r="AX1037" s="111">
        <f>G1037*AP1037</f>
      </c>
      <c r="AY1037" s="153" t="s">
        <v>1668</v>
      </c>
      <c r="AZ1037" s="153" t="s">
        <v>1620</v>
      </c>
      <c r="BA1037" s="132" t="s">
        <v>137</v>
      </c>
      <c r="BC1037" s="111">
        <f>AW1037+AX1037</f>
      </c>
      <c r="BD1037" s="111">
        <f>H1037/(100-BE1037)*100</f>
      </c>
      <c r="BE1037" s="111" t="n">
        <v>0</v>
      </c>
      <c r="BF1037" s="111">
        <f>1037</f>
      </c>
      <c r="BH1037" s="111">
        <f>G1037*AO1037</f>
      </c>
      <c r="BI1037" s="111">
        <f>G1037*AP1037</f>
      </c>
      <c r="BJ1037" s="111">
        <f>G1037*H1037</f>
      </c>
      <c r="BK1037" s="111"/>
      <c r="BL1037" s="111" t="n">
        <v>712</v>
      </c>
      <c r="BW1037" s="111" t="n">
        <v>21</v>
      </c>
      <c r="BX1037" s="14" t="s">
        <v>1761</v>
      </c>
    </row>
    <row r="1038" customHeight="true" ht="13.5">
      <c r="A1038" s="159"/>
      <c r="C1038" s="160" t="s">
        <v>146</v>
      </c>
      <c r="D1038" s="161" t="s">
        <v>1766</v>
      </c>
      <c r="E1038" s="156"/>
      <c r="F1038" s="156"/>
      <c r="G1038" s="156"/>
      <c r="H1038" s="162"/>
      <c r="I1038" s="156"/>
      <c r="J1038" s="156"/>
      <c r="K1038" s="163"/>
    </row>
    <row r="1039">
      <c r="A1039" s="154"/>
      <c r="B1039" s="155"/>
      <c r="C1039" s="155"/>
      <c r="D1039" s="156" t="s">
        <v>1767</v>
      </c>
      <c r="E1039" s="156" t="s">
        <v>1768</v>
      </c>
      <c r="F1039" s="155"/>
      <c r="G1039" s="157" t="n">
        <v>22</v>
      </c>
      <c r="H1039" s="158"/>
      <c r="I1039" s="155"/>
      <c r="J1039" s="155"/>
      <c r="K1039" s="146"/>
    </row>
    <row r="1040">
      <c r="A1040" s="9" t="s">
        <v>1769</v>
      </c>
      <c r="B1040" s="10" t="s">
        <v>84</v>
      </c>
      <c r="C1040" s="10" t="s">
        <v>1770</v>
      </c>
      <c r="D1040" s="14" t="s">
        <v>1761</v>
      </c>
      <c r="E1040" s="10"/>
      <c r="F1040" s="10" t="s">
        <v>133</v>
      </c>
      <c r="G1040" s="111" t="n">
        <v>2</v>
      </c>
      <c r="H1040" s="152" t="n">
        <v>0</v>
      </c>
      <c r="I1040" s="111">
        <f>G1040*H1040</f>
      </c>
      <c r="J1040" s="153" t="s">
        <v>134</v>
      </c>
      <c r="K1040" s="146"/>
      <c r="Z1040" s="111">
        <f>IF(AQ1040="5",BJ1040,0)</f>
      </c>
      <c r="AB1040" s="111">
        <f>IF(AQ1040="1",BH1040,0)</f>
      </c>
      <c r="AC1040" s="111">
        <f>IF(AQ1040="1",BI1040,0)</f>
      </c>
      <c r="AD1040" s="111">
        <f>IF(AQ1040="7",BH1040,0)</f>
      </c>
      <c r="AE1040" s="111">
        <f>IF(AQ1040="7",BI1040,0)</f>
      </c>
      <c r="AF1040" s="111">
        <f>IF(AQ1040="2",BH1040,0)</f>
      </c>
      <c r="AG1040" s="111">
        <f>IF(AQ1040="2",BI1040,0)</f>
      </c>
      <c r="AH1040" s="111">
        <f>IF(AQ1040="0",BJ1040,0)</f>
      </c>
      <c r="AI1040" s="132" t="s">
        <v>84</v>
      </c>
      <c r="AJ1040" s="111">
        <f>IF(AN1040=0,I1040,0)</f>
      </c>
      <c r="AK1040" s="111">
        <f>IF(AN1040=12,I1040,0)</f>
      </c>
      <c r="AL1040" s="111">
        <f>IF(AN1040=21,I1040,0)</f>
      </c>
      <c r="AN1040" s="111" t="n">
        <v>21</v>
      </c>
      <c r="AO1040" s="111">
        <f>H1040*0.787748404</f>
      </c>
      <c r="AP1040" s="111">
        <f>H1040*(1-0.787748404)</f>
      </c>
      <c r="AQ1040" s="153" t="s">
        <v>173</v>
      </c>
      <c r="AV1040" s="111">
        <f>AW1040+AX1040</f>
      </c>
      <c r="AW1040" s="111">
        <f>G1040*AO1040</f>
      </c>
      <c r="AX1040" s="111">
        <f>G1040*AP1040</f>
      </c>
      <c r="AY1040" s="153" t="s">
        <v>1668</v>
      </c>
      <c r="AZ1040" s="153" t="s">
        <v>1620</v>
      </c>
      <c r="BA1040" s="132" t="s">
        <v>137</v>
      </c>
      <c r="BC1040" s="111">
        <f>AW1040+AX1040</f>
      </c>
      <c r="BD1040" s="111">
        <f>H1040/(100-BE1040)*100</f>
      </c>
      <c r="BE1040" s="111" t="n">
        <v>0</v>
      </c>
      <c r="BF1040" s="111">
        <f>1040</f>
      </c>
      <c r="BH1040" s="111">
        <f>G1040*AO1040</f>
      </c>
      <c r="BI1040" s="111">
        <f>G1040*AP1040</f>
      </c>
      <c r="BJ1040" s="111">
        <f>G1040*H1040</f>
      </c>
      <c r="BK1040" s="111"/>
      <c r="BL1040" s="111" t="n">
        <v>712</v>
      </c>
      <c r="BW1040" s="111" t="n">
        <v>21</v>
      </c>
      <c r="BX1040" s="14" t="s">
        <v>1761</v>
      </c>
    </row>
    <row r="1041" customHeight="true" ht="13.5">
      <c r="A1041" s="159"/>
      <c r="C1041" s="160" t="s">
        <v>146</v>
      </c>
      <c r="D1041" s="161" t="s">
        <v>1771</v>
      </c>
      <c r="E1041" s="156"/>
      <c r="F1041" s="156"/>
      <c r="G1041" s="156"/>
      <c r="H1041" s="162"/>
      <c r="I1041" s="156"/>
      <c r="J1041" s="156"/>
      <c r="K1041" s="163"/>
    </row>
    <row r="1042">
      <c r="A1042" s="154"/>
      <c r="B1042" s="155"/>
      <c r="C1042" s="155"/>
      <c r="D1042" s="156" t="s">
        <v>140</v>
      </c>
      <c r="E1042" s="156" t="s">
        <v>1772</v>
      </c>
      <c r="F1042" s="155"/>
      <c r="G1042" s="157" t="n">
        <v>2</v>
      </c>
      <c r="H1042" s="158"/>
      <c r="I1042" s="155"/>
      <c r="J1042" s="155"/>
      <c r="K1042" s="146"/>
    </row>
    <row r="1043">
      <c r="A1043" s="9" t="s">
        <v>1773</v>
      </c>
      <c r="B1043" s="10" t="s">
        <v>84</v>
      </c>
      <c r="C1043" s="10" t="s">
        <v>1774</v>
      </c>
      <c r="D1043" s="14" t="s">
        <v>1761</v>
      </c>
      <c r="E1043" s="10"/>
      <c r="F1043" s="10" t="s">
        <v>133</v>
      </c>
      <c r="G1043" s="111" t="n">
        <v>3</v>
      </c>
      <c r="H1043" s="152" t="n">
        <v>0</v>
      </c>
      <c r="I1043" s="111">
        <f>G1043*H1043</f>
      </c>
      <c r="J1043" s="153" t="s">
        <v>134</v>
      </c>
      <c r="K1043" s="146"/>
      <c r="Z1043" s="111">
        <f>IF(AQ1043="5",BJ1043,0)</f>
      </c>
      <c r="AB1043" s="111">
        <f>IF(AQ1043="1",BH1043,0)</f>
      </c>
      <c r="AC1043" s="111">
        <f>IF(AQ1043="1",BI1043,0)</f>
      </c>
      <c r="AD1043" s="111">
        <f>IF(AQ1043="7",BH1043,0)</f>
      </c>
      <c r="AE1043" s="111">
        <f>IF(AQ1043="7",BI1043,0)</f>
      </c>
      <c r="AF1043" s="111">
        <f>IF(AQ1043="2",BH1043,0)</f>
      </c>
      <c r="AG1043" s="111">
        <f>IF(AQ1043="2",BI1043,0)</f>
      </c>
      <c r="AH1043" s="111">
        <f>IF(AQ1043="0",BJ1043,0)</f>
      </c>
      <c r="AI1043" s="132" t="s">
        <v>84</v>
      </c>
      <c r="AJ1043" s="111">
        <f>IF(AN1043=0,I1043,0)</f>
      </c>
      <c r="AK1043" s="111">
        <f>IF(AN1043=12,I1043,0)</f>
      </c>
      <c r="AL1043" s="111">
        <f>IF(AN1043=21,I1043,0)</f>
      </c>
      <c r="AN1043" s="111" t="n">
        <v>21</v>
      </c>
      <c r="AO1043" s="111">
        <f>H1043*0.787749224</f>
      </c>
      <c r="AP1043" s="111">
        <f>H1043*(1-0.787749224)</f>
      </c>
      <c r="AQ1043" s="153" t="s">
        <v>173</v>
      </c>
      <c r="AV1043" s="111">
        <f>AW1043+AX1043</f>
      </c>
      <c r="AW1043" s="111">
        <f>G1043*AO1043</f>
      </c>
      <c r="AX1043" s="111">
        <f>G1043*AP1043</f>
      </c>
      <c r="AY1043" s="153" t="s">
        <v>1668</v>
      </c>
      <c r="AZ1043" s="153" t="s">
        <v>1620</v>
      </c>
      <c r="BA1043" s="132" t="s">
        <v>137</v>
      </c>
      <c r="BC1043" s="111">
        <f>AW1043+AX1043</f>
      </c>
      <c r="BD1043" s="111">
        <f>H1043/(100-BE1043)*100</f>
      </c>
      <c r="BE1043" s="111" t="n">
        <v>0</v>
      </c>
      <c r="BF1043" s="111">
        <f>1043</f>
      </c>
      <c r="BH1043" s="111">
        <f>G1043*AO1043</f>
      </c>
      <c r="BI1043" s="111">
        <f>G1043*AP1043</f>
      </c>
      <c r="BJ1043" s="111">
        <f>G1043*H1043</f>
      </c>
      <c r="BK1043" s="111"/>
      <c r="BL1043" s="111" t="n">
        <v>712</v>
      </c>
      <c r="BW1043" s="111" t="n">
        <v>21</v>
      </c>
      <c r="BX1043" s="14" t="s">
        <v>1761</v>
      </c>
    </row>
    <row r="1044" customHeight="true" ht="13.5">
      <c r="A1044" s="159"/>
      <c r="C1044" s="160" t="s">
        <v>146</v>
      </c>
      <c r="D1044" s="161" t="s">
        <v>1775</v>
      </c>
      <c r="E1044" s="156"/>
      <c r="F1044" s="156"/>
      <c r="G1044" s="156"/>
      <c r="H1044" s="162"/>
      <c r="I1044" s="156"/>
      <c r="J1044" s="156"/>
      <c r="K1044" s="163"/>
    </row>
    <row r="1045">
      <c r="A1045" s="154"/>
      <c r="B1045" s="155"/>
      <c r="C1045" s="155"/>
      <c r="D1045" s="156" t="s">
        <v>138</v>
      </c>
      <c r="E1045" s="156" t="s">
        <v>1776</v>
      </c>
      <c r="F1045" s="155"/>
      <c r="G1045" s="157" t="n">
        <v>3</v>
      </c>
      <c r="H1045" s="158"/>
      <c r="I1045" s="155"/>
      <c r="J1045" s="155"/>
      <c r="K1045" s="146"/>
    </row>
    <row r="1046">
      <c r="A1046" s="9" t="s">
        <v>1777</v>
      </c>
      <c r="B1046" s="10" t="s">
        <v>84</v>
      </c>
      <c r="C1046" s="10" t="s">
        <v>1778</v>
      </c>
      <c r="D1046" s="14" t="s">
        <v>1761</v>
      </c>
      <c r="E1046" s="10"/>
      <c r="F1046" s="10" t="s">
        <v>133</v>
      </c>
      <c r="G1046" s="111" t="n">
        <v>2</v>
      </c>
      <c r="H1046" s="152" t="n">
        <v>0</v>
      </c>
      <c r="I1046" s="111">
        <f>G1046*H1046</f>
      </c>
      <c r="J1046" s="153" t="s">
        <v>134</v>
      </c>
      <c r="K1046" s="146"/>
      <c r="Z1046" s="111">
        <f>IF(AQ1046="5",BJ1046,0)</f>
      </c>
      <c r="AB1046" s="111">
        <f>IF(AQ1046="1",BH1046,0)</f>
      </c>
      <c r="AC1046" s="111">
        <f>IF(AQ1046="1",BI1046,0)</f>
      </c>
      <c r="AD1046" s="111">
        <f>IF(AQ1046="7",BH1046,0)</f>
      </c>
      <c r="AE1046" s="111">
        <f>IF(AQ1046="7",BI1046,0)</f>
      </c>
      <c r="AF1046" s="111">
        <f>IF(AQ1046="2",BH1046,0)</f>
      </c>
      <c r="AG1046" s="111">
        <f>IF(AQ1046="2",BI1046,0)</f>
      </c>
      <c r="AH1046" s="111">
        <f>IF(AQ1046="0",BJ1046,0)</f>
      </c>
      <c r="AI1046" s="132" t="s">
        <v>84</v>
      </c>
      <c r="AJ1046" s="111">
        <f>IF(AN1046=0,I1046,0)</f>
      </c>
      <c r="AK1046" s="111">
        <f>IF(AN1046=12,I1046,0)</f>
      </c>
      <c r="AL1046" s="111">
        <f>IF(AN1046=21,I1046,0)</f>
      </c>
      <c r="AN1046" s="111" t="n">
        <v>21</v>
      </c>
      <c r="AO1046" s="111">
        <f>H1046*0.78774903</f>
      </c>
      <c r="AP1046" s="111">
        <f>H1046*(1-0.78774903)</f>
      </c>
      <c r="AQ1046" s="153" t="s">
        <v>173</v>
      </c>
      <c r="AV1046" s="111">
        <f>AW1046+AX1046</f>
      </c>
      <c r="AW1046" s="111">
        <f>G1046*AO1046</f>
      </c>
      <c r="AX1046" s="111">
        <f>G1046*AP1046</f>
      </c>
      <c r="AY1046" s="153" t="s">
        <v>1668</v>
      </c>
      <c r="AZ1046" s="153" t="s">
        <v>1620</v>
      </c>
      <c r="BA1046" s="132" t="s">
        <v>137</v>
      </c>
      <c r="BC1046" s="111">
        <f>AW1046+AX1046</f>
      </c>
      <c r="BD1046" s="111">
        <f>H1046/(100-BE1046)*100</f>
      </c>
      <c r="BE1046" s="111" t="n">
        <v>0</v>
      </c>
      <c r="BF1046" s="111">
        <f>1046</f>
      </c>
      <c r="BH1046" s="111">
        <f>G1046*AO1046</f>
      </c>
      <c r="BI1046" s="111">
        <f>G1046*AP1046</f>
      </c>
      <c r="BJ1046" s="111">
        <f>G1046*H1046</f>
      </c>
      <c r="BK1046" s="111"/>
      <c r="BL1046" s="111" t="n">
        <v>712</v>
      </c>
      <c r="BW1046" s="111" t="n">
        <v>21</v>
      </c>
      <c r="BX1046" s="14" t="s">
        <v>1761</v>
      </c>
    </row>
    <row r="1047" customHeight="true" ht="13.5">
      <c r="A1047" s="159"/>
      <c r="C1047" s="160" t="s">
        <v>146</v>
      </c>
      <c r="D1047" s="161" t="s">
        <v>1779</v>
      </c>
      <c r="E1047" s="156"/>
      <c r="F1047" s="156"/>
      <c r="G1047" s="156"/>
      <c r="H1047" s="162"/>
      <c r="I1047" s="156"/>
      <c r="J1047" s="156"/>
      <c r="K1047" s="163"/>
    </row>
    <row r="1048">
      <c r="A1048" s="154"/>
      <c r="B1048" s="155"/>
      <c r="C1048" s="155"/>
      <c r="D1048" s="156" t="s">
        <v>140</v>
      </c>
      <c r="E1048" s="156" t="s">
        <v>1780</v>
      </c>
      <c r="F1048" s="155"/>
      <c r="G1048" s="157" t="n">
        <v>2</v>
      </c>
      <c r="H1048" s="158"/>
      <c r="I1048" s="155"/>
      <c r="J1048" s="155"/>
      <c r="K1048" s="146"/>
    </row>
    <row r="1049">
      <c r="A1049" s="9" t="s">
        <v>1781</v>
      </c>
      <c r="B1049" s="10" t="s">
        <v>84</v>
      </c>
      <c r="C1049" s="10" t="s">
        <v>1782</v>
      </c>
      <c r="D1049" s="14" t="s">
        <v>1783</v>
      </c>
      <c r="E1049" s="10"/>
      <c r="F1049" s="10" t="s">
        <v>133</v>
      </c>
      <c r="G1049" s="111" t="n">
        <v>55</v>
      </c>
      <c r="H1049" s="152" t="n">
        <v>0</v>
      </c>
      <c r="I1049" s="111">
        <f>G1049*H1049</f>
      </c>
      <c r="J1049" s="153" t="s">
        <v>134</v>
      </c>
      <c r="K1049" s="146"/>
      <c r="Z1049" s="111">
        <f>IF(AQ1049="5",BJ1049,0)</f>
      </c>
      <c r="AB1049" s="111">
        <f>IF(AQ1049="1",BH1049,0)</f>
      </c>
      <c r="AC1049" s="111">
        <f>IF(AQ1049="1",BI1049,0)</f>
      </c>
      <c r="AD1049" s="111">
        <f>IF(AQ1049="7",BH1049,0)</f>
      </c>
      <c r="AE1049" s="111">
        <f>IF(AQ1049="7",BI1049,0)</f>
      </c>
      <c r="AF1049" s="111">
        <f>IF(AQ1049="2",BH1049,0)</f>
      </c>
      <c r="AG1049" s="111">
        <f>IF(AQ1049="2",BI1049,0)</f>
      </c>
      <c r="AH1049" s="111">
        <f>IF(AQ1049="0",BJ1049,0)</f>
      </c>
      <c r="AI1049" s="132" t="s">
        <v>84</v>
      </c>
      <c r="AJ1049" s="111">
        <f>IF(AN1049=0,I1049,0)</f>
      </c>
      <c r="AK1049" s="111">
        <f>IF(AN1049=12,I1049,0)</f>
      </c>
      <c r="AL1049" s="111">
        <f>IF(AN1049=21,I1049,0)</f>
      </c>
      <c r="AN1049" s="111" t="n">
        <v>21</v>
      </c>
      <c r="AO1049" s="111">
        <f>H1049*0.769498717</f>
      </c>
      <c r="AP1049" s="111">
        <f>H1049*(1-0.769498717)</f>
      </c>
      <c r="AQ1049" s="153" t="s">
        <v>173</v>
      </c>
      <c r="AV1049" s="111">
        <f>AW1049+AX1049</f>
      </c>
      <c r="AW1049" s="111">
        <f>G1049*AO1049</f>
      </c>
      <c r="AX1049" s="111">
        <f>G1049*AP1049</f>
      </c>
      <c r="AY1049" s="153" t="s">
        <v>1668</v>
      </c>
      <c r="AZ1049" s="153" t="s">
        <v>1620</v>
      </c>
      <c r="BA1049" s="132" t="s">
        <v>137</v>
      </c>
      <c r="BC1049" s="111">
        <f>AW1049+AX1049</f>
      </c>
      <c r="BD1049" s="111">
        <f>H1049/(100-BE1049)*100</f>
      </c>
      <c r="BE1049" s="111" t="n">
        <v>0</v>
      </c>
      <c r="BF1049" s="111">
        <f>1049</f>
      </c>
      <c r="BH1049" s="111">
        <f>G1049*AO1049</f>
      </c>
      <c r="BI1049" s="111">
        <f>G1049*AP1049</f>
      </c>
      <c r="BJ1049" s="111">
        <f>G1049*H1049</f>
      </c>
      <c r="BK1049" s="111"/>
      <c r="BL1049" s="111" t="n">
        <v>712</v>
      </c>
      <c r="BW1049" s="111" t="n">
        <v>21</v>
      </c>
      <c r="BX1049" s="14" t="s">
        <v>1783</v>
      </c>
    </row>
    <row r="1050" customHeight="true" ht="13.5">
      <c r="A1050" s="159"/>
      <c r="C1050" s="160" t="s">
        <v>146</v>
      </c>
      <c r="D1050" s="161" t="s">
        <v>1784</v>
      </c>
      <c r="E1050" s="156"/>
      <c r="F1050" s="156"/>
      <c r="G1050" s="156"/>
      <c r="H1050" s="162"/>
      <c r="I1050" s="156"/>
      <c r="J1050" s="156"/>
      <c r="K1050" s="163"/>
    </row>
    <row r="1051">
      <c r="A1051" s="154"/>
      <c r="B1051" s="155"/>
      <c r="C1051" s="155"/>
      <c r="D1051" s="156" t="s">
        <v>498</v>
      </c>
      <c r="E1051" s="156" t="s">
        <v>1758</v>
      </c>
      <c r="F1051" s="155"/>
      <c r="G1051" s="157" t="n">
        <v>55</v>
      </c>
      <c r="H1051" s="158"/>
      <c r="I1051" s="155"/>
      <c r="J1051" s="155"/>
      <c r="K1051" s="146"/>
    </row>
    <row r="1052">
      <c r="A1052" s="9" t="s">
        <v>1785</v>
      </c>
      <c r="B1052" s="10" t="s">
        <v>84</v>
      </c>
      <c r="C1052" s="10" t="s">
        <v>1786</v>
      </c>
      <c r="D1052" s="14" t="s">
        <v>1787</v>
      </c>
      <c r="E1052" s="10"/>
      <c r="F1052" s="10" t="s">
        <v>133</v>
      </c>
      <c r="G1052" s="111" t="n">
        <v>14</v>
      </c>
      <c r="H1052" s="152" t="n">
        <v>0</v>
      </c>
      <c r="I1052" s="111">
        <f>G1052*H1052</f>
      </c>
      <c r="J1052" s="153" t="s">
        <v>134</v>
      </c>
      <c r="K1052" s="146"/>
      <c r="Z1052" s="111">
        <f>IF(AQ1052="5",BJ1052,0)</f>
      </c>
      <c r="AB1052" s="111">
        <f>IF(AQ1052="1",BH1052,0)</f>
      </c>
      <c r="AC1052" s="111">
        <f>IF(AQ1052="1",BI1052,0)</f>
      </c>
      <c r="AD1052" s="111">
        <f>IF(AQ1052="7",BH1052,0)</f>
      </c>
      <c r="AE1052" s="111">
        <f>IF(AQ1052="7",BI1052,0)</f>
      </c>
      <c r="AF1052" s="111">
        <f>IF(AQ1052="2",BH1052,0)</f>
      </c>
      <c r="AG1052" s="111">
        <f>IF(AQ1052="2",BI1052,0)</f>
      </c>
      <c r="AH1052" s="111">
        <f>IF(AQ1052="0",BJ1052,0)</f>
      </c>
      <c r="AI1052" s="132" t="s">
        <v>84</v>
      </c>
      <c r="AJ1052" s="111">
        <f>IF(AN1052=0,I1052,0)</f>
      </c>
      <c r="AK1052" s="111">
        <f>IF(AN1052=12,I1052,0)</f>
      </c>
      <c r="AL1052" s="111">
        <f>IF(AN1052=21,I1052,0)</f>
      </c>
      <c r="AN1052" s="111" t="n">
        <v>21</v>
      </c>
      <c r="AO1052" s="111">
        <f>H1052*0.773600611</f>
      </c>
      <c r="AP1052" s="111">
        <f>H1052*(1-0.773600611)</f>
      </c>
      <c r="AQ1052" s="153" t="s">
        <v>173</v>
      </c>
      <c r="AV1052" s="111">
        <f>AW1052+AX1052</f>
      </c>
      <c r="AW1052" s="111">
        <f>G1052*AO1052</f>
      </c>
      <c r="AX1052" s="111">
        <f>G1052*AP1052</f>
      </c>
      <c r="AY1052" s="153" t="s">
        <v>1668</v>
      </c>
      <c r="AZ1052" s="153" t="s">
        <v>1620</v>
      </c>
      <c r="BA1052" s="132" t="s">
        <v>137</v>
      </c>
      <c r="BC1052" s="111">
        <f>AW1052+AX1052</f>
      </c>
      <c r="BD1052" s="111">
        <f>H1052/(100-BE1052)*100</f>
      </c>
      <c r="BE1052" s="111" t="n">
        <v>0</v>
      </c>
      <c r="BF1052" s="111">
        <f>1052</f>
      </c>
      <c r="BH1052" s="111">
        <f>G1052*AO1052</f>
      </c>
      <c r="BI1052" s="111">
        <f>G1052*AP1052</f>
      </c>
      <c r="BJ1052" s="111">
        <f>G1052*H1052</f>
      </c>
      <c r="BK1052" s="111"/>
      <c r="BL1052" s="111" t="n">
        <v>712</v>
      </c>
      <c r="BW1052" s="111" t="n">
        <v>21</v>
      </c>
      <c r="BX1052" s="14" t="s">
        <v>1787</v>
      </c>
    </row>
    <row r="1053" customHeight="true" ht="13.5">
      <c r="A1053" s="159"/>
      <c r="C1053" s="160" t="s">
        <v>146</v>
      </c>
      <c r="D1053" s="161" t="s">
        <v>1762</v>
      </c>
      <c r="E1053" s="156"/>
      <c r="F1053" s="156"/>
      <c r="G1053" s="156"/>
      <c r="H1053" s="162"/>
      <c r="I1053" s="156"/>
      <c r="J1053" s="156"/>
      <c r="K1053" s="163"/>
    </row>
    <row r="1054">
      <c r="A1054" s="154"/>
      <c r="B1054" s="155"/>
      <c r="C1054" s="155"/>
      <c r="D1054" s="156" t="s">
        <v>212</v>
      </c>
      <c r="E1054" s="156" t="s">
        <v>1763</v>
      </c>
      <c r="F1054" s="155"/>
      <c r="G1054" s="157" t="n">
        <v>14</v>
      </c>
      <c r="H1054" s="158"/>
      <c r="I1054" s="155"/>
      <c r="J1054" s="155"/>
      <c r="K1054" s="146"/>
    </row>
    <row r="1055">
      <c r="A1055" s="9" t="s">
        <v>1788</v>
      </c>
      <c r="B1055" s="10" t="s">
        <v>84</v>
      </c>
      <c r="C1055" s="10" t="s">
        <v>1789</v>
      </c>
      <c r="D1055" s="14" t="s">
        <v>1790</v>
      </c>
      <c r="E1055" s="10"/>
      <c r="F1055" s="10" t="s">
        <v>133</v>
      </c>
      <c r="G1055" s="111" t="n">
        <v>22</v>
      </c>
      <c r="H1055" s="152" t="n">
        <v>0</v>
      </c>
      <c r="I1055" s="111">
        <f>G1055*H1055</f>
      </c>
      <c r="J1055" s="153" t="s">
        <v>134</v>
      </c>
      <c r="K1055" s="146"/>
      <c r="Z1055" s="111">
        <f>IF(AQ1055="5",BJ1055,0)</f>
      </c>
      <c r="AB1055" s="111">
        <f>IF(AQ1055="1",BH1055,0)</f>
      </c>
      <c r="AC1055" s="111">
        <f>IF(AQ1055="1",BI1055,0)</f>
      </c>
      <c r="AD1055" s="111">
        <f>IF(AQ1055="7",BH1055,0)</f>
      </c>
      <c r="AE1055" s="111">
        <f>IF(AQ1055="7",BI1055,0)</f>
      </c>
      <c r="AF1055" s="111">
        <f>IF(AQ1055="2",BH1055,0)</f>
      </c>
      <c r="AG1055" s="111">
        <f>IF(AQ1055="2",BI1055,0)</f>
      </c>
      <c r="AH1055" s="111">
        <f>IF(AQ1055="0",BJ1055,0)</f>
      </c>
      <c r="AI1055" s="132" t="s">
        <v>84</v>
      </c>
      <c r="AJ1055" s="111">
        <f>IF(AN1055=0,I1055,0)</f>
      </c>
      <c r="AK1055" s="111">
        <f>IF(AN1055=12,I1055,0)</f>
      </c>
      <c r="AL1055" s="111">
        <f>IF(AN1055=21,I1055,0)</f>
      </c>
      <c r="AN1055" s="111" t="n">
        <v>21</v>
      </c>
      <c r="AO1055" s="111">
        <f>H1055*0.804273957</f>
      </c>
      <c r="AP1055" s="111">
        <f>H1055*(1-0.804273957)</f>
      </c>
      <c r="AQ1055" s="153" t="s">
        <v>173</v>
      </c>
      <c r="AV1055" s="111">
        <f>AW1055+AX1055</f>
      </c>
      <c r="AW1055" s="111">
        <f>G1055*AO1055</f>
      </c>
      <c r="AX1055" s="111">
        <f>G1055*AP1055</f>
      </c>
      <c r="AY1055" s="153" t="s">
        <v>1668</v>
      </c>
      <c r="AZ1055" s="153" t="s">
        <v>1620</v>
      </c>
      <c r="BA1055" s="132" t="s">
        <v>137</v>
      </c>
      <c r="BC1055" s="111">
        <f>AW1055+AX1055</f>
      </c>
      <c r="BD1055" s="111">
        <f>H1055/(100-BE1055)*100</f>
      </c>
      <c r="BE1055" s="111" t="n">
        <v>0</v>
      </c>
      <c r="BF1055" s="111">
        <f>1055</f>
      </c>
      <c r="BH1055" s="111">
        <f>G1055*AO1055</f>
      </c>
      <c r="BI1055" s="111">
        <f>G1055*AP1055</f>
      </c>
      <c r="BJ1055" s="111">
        <f>G1055*H1055</f>
      </c>
      <c r="BK1055" s="111"/>
      <c r="BL1055" s="111" t="n">
        <v>712</v>
      </c>
      <c r="BW1055" s="111" t="n">
        <v>21</v>
      </c>
      <c r="BX1055" s="14" t="s">
        <v>1790</v>
      </c>
    </row>
    <row r="1056" customHeight="true" ht="13.5">
      <c r="A1056" s="159"/>
      <c r="C1056" s="160" t="s">
        <v>146</v>
      </c>
      <c r="D1056" s="161" t="s">
        <v>1766</v>
      </c>
      <c r="E1056" s="156"/>
      <c r="F1056" s="156"/>
      <c r="G1056" s="156"/>
      <c r="H1056" s="162"/>
      <c r="I1056" s="156"/>
      <c r="J1056" s="156"/>
      <c r="K1056" s="163"/>
    </row>
    <row r="1057">
      <c r="A1057" s="154"/>
      <c r="B1057" s="155"/>
      <c r="C1057" s="155"/>
      <c r="D1057" s="156" t="s">
        <v>1767</v>
      </c>
      <c r="E1057" s="156" t="s">
        <v>1768</v>
      </c>
      <c r="F1057" s="155"/>
      <c r="G1057" s="157" t="n">
        <v>22</v>
      </c>
      <c r="H1057" s="158"/>
      <c r="I1057" s="155"/>
      <c r="J1057" s="155"/>
      <c r="K1057" s="146"/>
    </row>
    <row r="1058">
      <c r="A1058" s="9" t="s">
        <v>1791</v>
      </c>
      <c r="B1058" s="10" t="s">
        <v>84</v>
      </c>
      <c r="C1058" s="10" t="s">
        <v>1792</v>
      </c>
      <c r="D1058" s="14" t="s">
        <v>1790</v>
      </c>
      <c r="E1058" s="10"/>
      <c r="F1058" s="10" t="s">
        <v>133</v>
      </c>
      <c r="G1058" s="111" t="n">
        <v>2</v>
      </c>
      <c r="H1058" s="152" t="n">
        <v>0</v>
      </c>
      <c r="I1058" s="111">
        <f>G1058*H1058</f>
      </c>
      <c r="J1058" s="153" t="s">
        <v>134</v>
      </c>
      <c r="K1058" s="146"/>
      <c r="Z1058" s="111">
        <f>IF(AQ1058="5",BJ1058,0)</f>
      </c>
      <c r="AB1058" s="111">
        <f>IF(AQ1058="1",BH1058,0)</f>
      </c>
      <c r="AC1058" s="111">
        <f>IF(AQ1058="1",BI1058,0)</f>
      </c>
      <c r="AD1058" s="111">
        <f>IF(AQ1058="7",BH1058,0)</f>
      </c>
      <c r="AE1058" s="111">
        <f>IF(AQ1058="7",BI1058,0)</f>
      </c>
      <c r="AF1058" s="111">
        <f>IF(AQ1058="2",BH1058,0)</f>
      </c>
      <c r="AG1058" s="111">
        <f>IF(AQ1058="2",BI1058,0)</f>
      </c>
      <c r="AH1058" s="111">
        <f>IF(AQ1058="0",BJ1058,0)</f>
      </c>
      <c r="AI1058" s="132" t="s">
        <v>84</v>
      </c>
      <c r="AJ1058" s="111">
        <f>IF(AN1058=0,I1058,0)</f>
      </c>
      <c r="AK1058" s="111">
        <f>IF(AN1058=12,I1058,0)</f>
      </c>
      <c r="AL1058" s="111">
        <f>IF(AN1058=21,I1058,0)</f>
      </c>
      <c r="AN1058" s="111" t="n">
        <v>21</v>
      </c>
      <c r="AO1058" s="111">
        <f>H1058*0.80427331</f>
      </c>
      <c r="AP1058" s="111">
        <f>H1058*(1-0.80427331)</f>
      </c>
      <c r="AQ1058" s="153" t="s">
        <v>173</v>
      </c>
      <c r="AV1058" s="111">
        <f>AW1058+AX1058</f>
      </c>
      <c r="AW1058" s="111">
        <f>G1058*AO1058</f>
      </c>
      <c r="AX1058" s="111">
        <f>G1058*AP1058</f>
      </c>
      <c r="AY1058" s="153" t="s">
        <v>1668</v>
      </c>
      <c r="AZ1058" s="153" t="s">
        <v>1620</v>
      </c>
      <c r="BA1058" s="132" t="s">
        <v>137</v>
      </c>
      <c r="BC1058" s="111">
        <f>AW1058+AX1058</f>
      </c>
      <c r="BD1058" s="111">
        <f>H1058/(100-BE1058)*100</f>
      </c>
      <c r="BE1058" s="111" t="n">
        <v>0</v>
      </c>
      <c r="BF1058" s="111">
        <f>1058</f>
      </c>
      <c r="BH1058" s="111">
        <f>G1058*AO1058</f>
      </c>
      <c r="BI1058" s="111">
        <f>G1058*AP1058</f>
      </c>
      <c r="BJ1058" s="111">
        <f>G1058*H1058</f>
      </c>
      <c r="BK1058" s="111"/>
      <c r="BL1058" s="111" t="n">
        <v>712</v>
      </c>
      <c r="BW1058" s="111" t="n">
        <v>21</v>
      </c>
      <c r="BX1058" s="14" t="s">
        <v>1790</v>
      </c>
    </row>
    <row r="1059" customHeight="true" ht="13.5">
      <c r="A1059" s="159"/>
      <c r="C1059" s="160" t="s">
        <v>146</v>
      </c>
      <c r="D1059" s="161" t="s">
        <v>1771</v>
      </c>
      <c r="E1059" s="156"/>
      <c r="F1059" s="156"/>
      <c r="G1059" s="156"/>
      <c r="H1059" s="162"/>
      <c r="I1059" s="156"/>
      <c r="J1059" s="156"/>
      <c r="K1059" s="163"/>
    </row>
    <row r="1060">
      <c r="A1060" s="154"/>
      <c r="B1060" s="155"/>
      <c r="C1060" s="155"/>
      <c r="D1060" s="156" t="s">
        <v>140</v>
      </c>
      <c r="E1060" s="156" t="s">
        <v>1772</v>
      </c>
      <c r="F1060" s="155"/>
      <c r="G1060" s="157" t="n">
        <v>2</v>
      </c>
      <c r="H1060" s="158"/>
      <c r="I1060" s="155"/>
      <c r="J1060" s="155"/>
      <c r="K1060" s="146"/>
    </row>
    <row r="1061">
      <c r="A1061" s="9" t="s">
        <v>1793</v>
      </c>
      <c r="B1061" s="10" t="s">
        <v>84</v>
      </c>
      <c r="C1061" s="10" t="s">
        <v>1794</v>
      </c>
      <c r="D1061" s="14" t="s">
        <v>1790</v>
      </c>
      <c r="E1061" s="10"/>
      <c r="F1061" s="10" t="s">
        <v>133</v>
      </c>
      <c r="G1061" s="111" t="n">
        <v>3</v>
      </c>
      <c r="H1061" s="152" t="n">
        <v>0</v>
      </c>
      <c r="I1061" s="111">
        <f>G1061*H1061</f>
      </c>
      <c r="J1061" s="153" t="s">
        <v>134</v>
      </c>
      <c r="K1061" s="146"/>
      <c r="Z1061" s="111">
        <f>IF(AQ1061="5",BJ1061,0)</f>
      </c>
      <c r="AB1061" s="111">
        <f>IF(AQ1061="1",BH1061,0)</f>
      </c>
      <c r="AC1061" s="111">
        <f>IF(AQ1061="1",BI1061,0)</f>
      </c>
      <c r="AD1061" s="111">
        <f>IF(AQ1061="7",BH1061,0)</f>
      </c>
      <c r="AE1061" s="111">
        <f>IF(AQ1061="7",BI1061,0)</f>
      </c>
      <c r="AF1061" s="111">
        <f>IF(AQ1061="2",BH1061,0)</f>
      </c>
      <c r="AG1061" s="111">
        <f>IF(AQ1061="2",BI1061,0)</f>
      </c>
      <c r="AH1061" s="111">
        <f>IF(AQ1061="0",BJ1061,0)</f>
      </c>
      <c r="AI1061" s="132" t="s">
        <v>84</v>
      </c>
      <c r="AJ1061" s="111">
        <f>IF(AN1061=0,I1061,0)</f>
      </c>
      <c r="AK1061" s="111">
        <f>IF(AN1061=12,I1061,0)</f>
      </c>
      <c r="AL1061" s="111">
        <f>IF(AN1061=21,I1061,0)</f>
      </c>
      <c r="AN1061" s="111" t="n">
        <v>21</v>
      </c>
      <c r="AO1061" s="111">
        <f>H1061*0.804274114</f>
      </c>
      <c r="AP1061" s="111">
        <f>H1061*(1-0.804274114)</f>
      </c>
      <c r="AQ1061" s="153" t="s">
        <v>173</v>
      </c>
      <c r="AV1061" s="111">
        <f>AW1061+AX1061</f>
      </c>
      <c r="AW1061" s="111">
        <f>G1061*AO1061</f>
      </c>
      <c r="AX1061" s="111">
        <f>G1061*AP1061</f>
      </c>
      <c r="AY1061" s="153" t="s">
        <v>1668</v>
      </c>
      <c r="AZ1061" s="153" t="s">
        <v>1620</v>
      </c>
      <c r="BA1061" s="132" t="s">
        <v>137</v>
      </c>
      <c r="BC1061" s="111">
        <f>AW1061+AX1061</f>
      </c>
      <c r="BD1061" s="111">
        <f>H1061/(100-BE1061)*100</f>
      </c>
      <c r="BE1061" s="111" t="n">
        <v>0</v>
      </c>
      <c r="BF1061" s="111">
        <f>1061</f>
      </c>
      <c r="BH1061" s="111">
        <f>G1061*AO1061</f>
      </c>
      <c r="BI1061" s="111">
        <f>G1061*AP1061</f>
      </c>
      <c r="BJ1061" s="111">
        <f>G1061*H1061</f>
      </c>
      <c r="BK1061" s="111"/>
      <c r="BL1061" s="111" t="n">
        <v>712</v>
      </c>
      <c r="BW1061" s="111" t="n">
        <v>21</v>
      </c>
      <c r="BX1061" s="14" t="s">
        <v>1790</v>
      </c>
    </row>
    <row r="1062" customHeight="true" ht="13.5">
      <c r="A1062" s="159"/>
      <c r="C1062" s="160" t="s">
        <v>146</v>
      </c>
      <c r="D1062" s="161" t="s">
        <v>1775</v>
      </c>
      <c r="E1062" s="156"/>
      <c r="F1062" s="156"/>
      <c r="G1062" s="156"/>
      <c r="H1062" s="162"/>
      <c r="I1062" s="156"/>
      <c r="J1062" s="156"/>
      <c r="K1062" s="163"/>
    </row>
    <row r="1063">
      <c r="A1063" s="154"/>
      <c r="B1063" s="155"/>
      <c r="C1063" s="155"/>
      <c r="D1063" s="156" t="s">
        <v>138</v>
      </c>
      <c r="E1063" s="156" t="s">
        <v>1776</v>
      </c>
      <c r="F1063" s="155"/>
      <c r="G1063" s="157" t="n">
        <v>3</v>
      </c>
      <c r="H1063" s="158"/>
      <c r="I1063" s="155"/>
      <c r="J1063" s="155"/>
      <c r="K1063" s="146"/>
    </row>
    <row r="1064">
      <c r="A1064" s="9" t="s">
        <v>1795</v>
      </c>
      <c r="B1064" s="10" t="s">
        <v>84</v>
      </c>
      <c r="C1064" s="10" t="s">
        <v>1796</v>
      </c>
      <c r="D1064" s="14" t="s">
        <v>1790</v>
      </c>
      <c r="E1064" s="10"/>
      <c r="F1064" s="10" t="s">
        <v>133</v>
      </c>
      <c r="G1064" s="111" t="n">
        <v>2</v>
      </c>
      <c r="H1064" s="152" t="n">
        <v>0</v>
      </c>
      <c r="I1064" s="111">
        <f>G1064*H1064</f>
      </c>
      <c r="J1064" s="153" t="s">
        <v>134</v>
      </c>
      <c r="K1064" s="146"/>
      <c r="Z1064" s="111">
        <f>IF(AQ1064="5",BJ1064,0)</f>
      </c>
      <c r="AB1064" s="111">
        <f>IF(AQ1064="1",BH1064,0)</f>
      </c>
      <c r="AC1064" s="111">
        <f>IF(AQ1064="1",BI1064,0)</f>
      </c>
      <c r="AD1064" s="111">
        <f>IF(AQ1064="7",BH1064,0)</f>
      </c>
      <c r="AE1064" s="111">
        <f>IF(AQ1064="7",BI1064,0)</f>
      </c>
      <c r="AF1064" s="111">
        <f>IF(AQ1064="2",BH1064,0)</f>
      </c>
      <c r="AG1064" s="111">
        <f>IF(AQ1064="2",BI1064,0)</f>
      </c>
      <c r="AH1064" s="111">
        <f>IF(AQ1064="0",BJ1064,0)</f>
      </c>
      <c r="AI1064" s="132" t="s">
        <v>84</v>
      </c>
      <c r="AJ1064" s="111">
        <f>IF(AN1064=0,I1064,0)</f>
      </c>
      <c r="AK1064" s="111">
        <f>IF(AN1064=12,I1064,0)</f>
      </c>
      <c r="AL1064" s="111">
        <f>IF(AN1064=21,I1064,0)</f>
      </c>
      <c r="AN1064" s="111" t="n">
        <v>21</v>
      </c>
      <c r="AO1064" s="111">
        <f>H1064*0.804273924</f>
      </c>
      <c r="AP1064" s="111">
        <f>H1064*(1-0.804273924)</f>
      </c>
      <c r="AQ1064" s="153" t="s">
        <v>173</v>
      </c>
      <c r="AV1064" s="111">
        <f>AW1064+AX1064</f>
      </c>
      <c r="AW1064" s="111">
        <f>G1064*AO1064</f>
      </c>
      <c r="AX1064" s="111">
        <f>G1064*AP1064</f>
      </c>
      <c r="AY1064" s="153" t="s">
        <v>1668</v>
      </c>
      <c r="AZ1064" s="153" t="s">
        <v>1620</v>
      </c>
      <c r="BA1064" s="132" t="s">
        <v>137</v>
      </c>
      <c r="BC1064" s="111">
        <f>AW1064+AX1064</f>
      </c>
      <c r="BD1064" s="111">
        <f>H1064/(100-BE1064)*100</f>
      </c>
      <c r="BE1064" s="111" t="n">
        <v>0</v>
      </c>
      <c r="BF1064" s="111">
        <f>1064</f>
      </c>
      <c r="BH1064" s="111">
        <f>G1064*AO1064</f>
      </c>
      <c r="BI1064" s="111">
        <f>G1064*AP1064</f>
      </c>
      <c r="BJ1064" s="111">
        <f>G1064*H1064</f>
      </c>
      <c r="BK1064" s="111"/>
      <c r="BL1064" s="111" t="n">
        <v>712</v>
      </c>
      <c r="BW1064" s="111" t="n">
        <v>21</v>
      </c>
      <c r="BX1064" s="14" t="s">
        <v>1790</v>
      </c>
    </row>
    <row r="1065" customHeight="true" ht="13.5">
      <c r="A1065" s="159"/>
      <c r="C1065" s="160" t="s">
        <v>146</v>
      </c>
      <c r="D1065" s="161" t="s">
        <v>1779</v>
      </c>
      <c r="E1065" s="156"/>
      <c r="F1065" s="156"/>
      <c r="G1065" s="156"/>
      <c r="H1065" s="162"/>
      <c r="I1065" s="156"/>
      <c r="J1065" s="156"/>
      <c r="K1065" s="163"/>
    </row>
    <row r="1066">
      <c r="A1066" s="154"/>
      <c r="B1066" s="155"/>
      <c r="C1066" s="155"/>
      <c r="D1066" s="156" t="s">
        <v>140</v>
      </c>
      <c r="E1066" s="156" t="s">
        <v>1780</v>
      </c>
      <c r="F1066" s="155"/>
      <c r="G1066" s="157" t="n">
        <v>2</v>
      </c>
      <c r="H1066" s="158"/>
      <c r="I1066" s="155"/>
      <c r="J1066" s="155"/>
      <c r="K1066" s="146"/>
    </row>
    <row r="1067">
      <c r="A1067" s="9" t="s">
        <v>1797</v>
      </c>
      <c r="B1067" s="10" t="s">
        <v>84</v>
      </c>
      <c r="C1067" s="10" t="s">
        <v>1798</v>
      </c>
      <c r="D1067" s="14" t="s">
        <v>1799</v>
      </c>
      <c r="E1067" s="10"/>
      <c r="F1067" s="10" t="s">
        <v>133</v>
      </c>
      <c r="G1067" s="111" t="n">
        <v>42</v>
      </c>
      <c r="H1067" s="152" t="n">
        <v>0</v>
      </c>
      <c r="I1067" s="111">
        <f>G1067*H1067</f>
      </c>
      <c r="J1067" s="153" t="s">
        <v>134</v>
      </c>
      <c r="K1067" s="146"/>
      <c r="Z1067" s="111">
        <f>IF(AQ1067="5",BJ1067,0)</f>
      </c>
      <c r="AB1067" s="111">
        <f>IF(AQ1067="1",BH1067,0)</f>
      </c>
      <c r="AC1067" s="111">
        <f>IF(AQ1067="1",BI1067,0)</f>
      </c>
      <c r="AD1067" s="111">
        <f>IF(AQ1067="7",BH1067,0)</f>
      </c>
      <c r="AE1067" s="111">
        <f>IF(AQ1067="7",BI1067,0)</f>
      </c>
      <c r="AF1067" s="111">
        <f>IF(AQ1067="2",BH1067,0)</f>
      </c>
      <c r="AG1067" s="111">
        <f>IF(AQ1067="2",BI1067,0)</f>
      </c>
      <c r="AH1067" s="111">
        <f>IF(AQ1067="0",BJ1067,0)</f>
      </c>
      <c r="AI1067" s="132" t="s">
        <v>84</v>
      </c>
      <c r="AJ1067" s="111">
        <f>IF(AN1067=0,I1067,0)</f>
      </c>
      <c r="AK1067" s="111">
        <f>IF(AN1067=12,I1067,0)</f>
      </c>
      <c r="AL1067" s="111">
        <f>IF(AN1067=21,I1067,0)</f>
      </c>
      <c r="AN1067" s="111" t="n">
        <v>21</v>
      </c>
      <c r="AO1067" s="111">
        <f>H1067*0.646420323</f>
      </c>
      <c r="AP1067" s="111">
        <f>H1067*(1-0.646420323)</f>
      </c>
      <c r="AQ1067" s="153" t="s">
        <v>173</v>
      </c>
      <c r="AV1067" s="111">
        <f>AW1067+AX1067</f>
      </c>
      <c r="AW1067" s="111">
        <f>G1067*AO1067</f>
      </c>
      <c r="AX1067" s="111">
        <f>G1067*AP1067</f>
      </c>
      <c r="AY1067" s="153" t="s">
        <v>1668</v>
      </c>
      <c r="AZ1067" s="153" t="s">
        <v>1620</v>
      </c>
      <c r="BA1067" s="132" t="s">
        <v>137</v>
      </c>
      <c r="BC1067" s="111">
        <f>AW1067+AX1067</f>
      </c>
      <c r="BD1067" s="111">
        <f>H1067/(100-BE1067)*100</f>
      </c>
      <c r="BE1067" s="111" t="n">
        <v>0</v>
      </c>
      <c r="BF1067" s="111">
        <f>1067</f>
      </c>
      <c r="BH1067" s="111">
        <f>G1067*AO1067</f>
      </c>
      <c r="BI1067" s="111">
        <f>G1067*AP1067</f>
      </c>
      <c r="BJ1067" s="111">
        <f>G1067*H1067</f>
      </c>
      <c r="BK1067" s="111"/>
      <c r="BL1067" s="111" t="n">
        <v>712</v>
      </c>
      <c r="BW1067" s="111" t="n">
        <v>21</v>
      </c>
      <c r="BX1067" s="14" t="s">
        <v>1799</v>
      </c>
    </row>
    <row r="1068" customHeight="true" ht="13.5">
      <c r="A1068" s="159"/>
      <c r="C1068" s="160" t="s">
        <v>146</v>
      </c>
      <c r="D1068" s="161" t="s">
        <v>1800</v>
      </c>
      <c r="E1068" s="156"/>
      <c r="F1068" s="156"/>
      <c r="G1068" s="156"/>
      <c r="H1068" s="162"/>
      <c r="I1068" s="156"/>
      <c r="J1068" s="156"/>
      <c r="K1068" s="163"/>
    </row>
    <row r="1069">
      <c r="A1069" s="154"/>
      <c r="B1069" s="155"/>
      <c r="C1069" s="155"/>
      <c r="D1069" s="156" t="s">
        <v>1801</v>
      </c>
      <c r="E1069" s="156" t="s">
        <v>1802</v>
      </c>
      <c r="F1069" s="155"/>
      <c r="G1069" s="157" t="n">
        <v>32</v>
      </c>
      <c r="H1069" s="158"/>
      <c r="I1069" s="155"/>
      <c r="J1069" s="155"/>
      <c r="K1069" s="146"/>
    </row>
    <row r="1070">
      <c r="A1070" s="154"/>
      <c r="B1070" s="155"/>
      <c r="C1070" s="155"/>
      <c r="D1070" s="156" t="s">
        <v>186</v>
      </c>
      <c r="E1070" s="156" t="s">
        <v>1803</v>
      </c>
      <c r="F1070" s="155"/>
      <c r="G1070" s="157" t="n">
        <v>10</v>
      </c>
      <c r="H1070" s="158"/>
      <c r="I1070" s="155"/>
      <c r="J1070" s="155"/>
      <c r="K1070" s="146"/>
    </row>
    <row r="1071">
      <c r="A1071" s="9" t="s">
        <v>1804</v>
      </c>
      <c r="B1071" s="10" t="s">
        <v>84</v>
      </c>
      <c r="C1071" s="10" t="s">
        <v>1805</v>
      </c>
      <c r="D1071" s="14" t="s">
        <v>1806</v>
      </c>
      <c r="E1071" s="10"/>
      <c r="F1071" s="10" t="s">
        <v>133</v>
      </c>
      <c r="G1071" s="111" t="n">
        <v>26</v>
      </c>
      <c r="H1071" s="152" t="n">
        <v>0</v>
      </c>
      <c r="I1071" s="111">
        <f>G1071*H1071</f>
      </c>
      <c r="J1071" s="153" t="s">
        <v>134</v>
      </c>
      <c r="K1071" s="146"/>
      <c r="Z1071" s="111">
        <f>IF(AQ1071="5",BJ1071,0)</f>
      </c>
      <c r="AB1071" s="111">
        <f>IF(AQ1071="1",BH1071,0)</f>
      </c>
      <c r="AC1071" s="111">
        <f>IF(AQ1071="1",BI1071,0)</f>
      </c>
      <c r="AD1071" s="111">
        <f>IF(AQ1071="7",BH1071,0)</f>
      </c>
      <c r="AE1071" s="111">
        <f>IF(AQ1071="7",BI1071,0)</f>
      </c>
      <c r="AF1071" s="111">
        <f>IF(AQ1071="2",BH1071,0)</f>
      </c>
      <c r="AG1071" s="111">
        <f>IF(AQ1071="2",BI1071,0)</f>
      </c>
      <c r="AH1071" s="111">
        <f>IF(AQ1071="0",BJ1071,0)</f>
      </c>
      <c r="AI1071" s="132" t="s">
        <v>84</v>
      </c>
      <c r="AJ1071" s="111">
        <f>IF(AN1071=0,I1071,0)</f>
      </c>
      <c r="AK1071" s="111">
        <f>IF(AN1071=12,I1071,0)</f>
      </c>
      <c r="AL1071" s="111">
        <f>IF(AN1071=21,I1071,0)</f>
      </c>
      <c r="AN1071" s="111" t="n">
        <v>21</v>
      </c>
      <c r="AO1071" s="111">
        <f>H1071*0.622906404</f>
      </c>
      <c r="AP1071" s="111">
        <f>H1071*(1-0.622906404)</f>
      </c>
      <c r="AQ1071" s="153" t="s">
        <v>173</v>
      </c>
      <c r="AV1071" s="111">
        <f>AW1071+AX1071</f>
      </c>
      <c r="AW1071" s="111">
        <f>G1071*AO1071</f>
      </c>
      <c r="AX1071" s="111">
        <f>G1071*AP1071</f>
      </c>
      <c r="AY1071" s="153" t="s">
        <v>1668</v>
      </c>
      <c r="AZ1071" s="153" t="s">
        <v>1620</v>
      </c>
      <c r="BA1071" s="132" t="s">
        <v>137</v>
      </c>
      <c r="BC1071" s="111">
        <f>AW1071+AX1071</f>
      </c>
      <c r="BD1071" s="111">
        <f>H1071/(100-BE1071)*100</f>
      </c>
      <c r="BE1071" s="111" t="n">
        <v>0</v>
      </c>
      <c r="BF1071" s="111">
        <f>1071</f>
      </c>
      <c r="BH1071" s="111">
        <f>G1071*AO1071</f>
      </c>
      <c r="BI1071" s="111">
        <f>G1071*AP1071</f>
      </c>
      <c r="BJ1071" s="111">
        <f>G1071*H1071</f>
      </c>
      <c r="BK1071" s="111"/>
      <c r="BL1071" s="111" t="n">
        <v>712</v>
      </c>
      <c r="BW1071" s="111" t="n">
        <v>21</v>
      </c>
      <c r="BX1071" s="14" t="s">
        <v>1806</v>
      </c>
    </row>
    <row r="1072" customHeight="true" ht="13.5">
      <c r="A1072" s="159"/>
      <c r="C1072" s="160" t="s">
        <v>146</v>
      </c>
      <c r="D1072" s="161" t="s">
        <v>1800</v>
      </c>
      <c r="E1072" s="156"/>
      <c r="F1072" s="156"/>
      <c r="G1072" s="156"/>
      <c r="H1072" s="162"/>
      <c r="I1072" s="156"/>
      <c r="J1072" s="156"/>
      <c r="K1072" s="163"/>
    </row>
    <row r="1073">
      <c r="A1073" s="154"/>
      <c r="B1073" s="155"/>
      <c r="C1073" s="155"/>
      <c r="D1073" s="156" t="s">
        <v>149</v>
      </c>
      <c r="E1073" s="156" t="s">
        <v>1417</v>
      </c>
      <c r="F1073" s="155"/>
      <c r="G1073" s="157" t="n">
        <v>4</v>
      </c>
      <c r="H1073" s="158"/>
      <c r="I1073" s="155"/>
      <c r="J1073" s="155"/>
      <c r="K1073" s="146"/>
    </row>
    <row r="1074">
      <c r="A1074" s="154"/>
      <c r="B1074" s="155"/>
      <c r="C1074" s="155"/>
      <c r="D1074" s="156" t="s">
        <v>266</v>
      </c>
      <c r="E1074" s="156" t="s">
        <v>1288</v>
      </c>
      <c r="F1074" s="155"/>
      <c r="G1074" s="157" t="n">
        <v>22</v>
      </c>
      <c r="H1074" s="158"/>
      <c r="I1074" s="155"/>
      <c r="J1074" s="155"/>
      <c r="K1074" s="146"/>
    </row>
    <row r="1075">
      <c r="A1075" s="9" t="s">
        <v>1807</v>
      </c>
      <c r="B1075" s="10" t="s">
        <v>84</v>
      </c>
      <c r="C1075" s="10" t="s">
        <v>1808</v>
      </c>
      <c r="D1075" s="14" t="s">
        <v>1809</v>
      </c>
      <c r="E1075" s="10"/>
      <c r="F1075" s="10" t="s">
        <v>282</v>
      </c>
      <c r="G1075" s="111" t="n">
        <v>138.86</v>
      </c>
      <c r="H1075" s="152" t="n">
        <v>0</v>
      </c>
      <c r="I1075" s="111">
        <f>G1075*H1075</f>
      </c>
      <c r="J1075" s="153" t="s">
        <v>134</v>
      </c>
      <c r="K1075" s="146"/>
      <c r="Z1075" s="111">
        <f>IF(AQ1075="5",BJ1075,0)</f>
      </c>
      <c r="AB1075" s="111">
        <f>IF(AQ1075="1",BH1075,0)</f>
      </c>
      <c r="AC1075" s="111">
        <f>IF(AQ1075="1",BI1075,0)</f>
      </c>
      <c r="AD1075" s="111">
        <f>IF(AQ1075="7",BH1075,0)</f>
      </c>
      <c r="AE1075" s="111">
        <f>IF(AQ1075="7",BI1075,0)</f>
      </c>
      <c r="AF1075" s="111">
        <f>IF(AQ1075="2",BH1075,0)</f>
      </c>
      <c r="AG1075" s="111">
        <f>IF(AQ1075="2",BI1075,0)</f>
      </c>
      <c r="AH1075" s="111">
        <f>IF(AQ1075="0",BJ1075,0)</f>
      </c>
      <c r="AI1075" s="132" t="s">
        <v>84</v>
      </c>
      <c r="AJ1075" s="111">
        <f>IF(AN1075=0,I1075,0)</f>
      </c>
      <c r="AK1075" s="111">
        <f>IF(AN1075=12,I1075,0)</f>
      </c>
      <c r="AL1075" s="111">
        <f>IF(AN1075=21,I1075,0)</f>
      </c>
      <c r="AN1075" s="111" t="n">
        <v>21</v>
      </c>
      <c r="AO1075" s="111">
        <f>H1075*0.464948011</f>
      </c>
      <c r="AP1075" s="111">
        <f>H1075*(1-0.464948011)</f>
      </c>
      <c r="AQ1075" s="153" t="s">
        <v>173</v>
      </c>
      <c r="AV1075" s="111">
        <f>AW1075+AX1075</f>
      </c>
      <c r="AW1075" s="111">
        <f>G1075*AO1075</f>
      </c>
      <c r="AX1075" s="111">
        <f>G1075*AP1075</f>
      </c>
      <c r="AY1075" s="153" t="s">
        <v>1668</v>
      </c>
      <c r="AZ1075" s="153" t="s">
        <v>1620</v>
      </c>
      <c r="BA1075" s="132" t="s">
        <v>137</v>
      </c>
      <c r="BC1075" s="111">
        <f>AW1075+AX1075</f>
      </c>
      <c r="BD1075" s="111">
        <f>H1075/(100-BE1075)*100</f>
      </c>
      <c r="BE1075" s="111" t="n">
        <v>0</v>
      </c>
      <c r="BF1075" s="111">
        <f>1075</f>
      </c>
      <c r="BH1075" s="111">
        <f>G1075*AO1075</f>
      </c>
      <c r="BI1075" s="111">
        <f>G1075*AP1075</f>
      </c>
      <c r="BJ1075" s="111">
        <f>G1075*H1075</f>
      </c>
      <c r="BK1075" s="111"/>
      <c r="BL1075" s="111" t="n">
        <v>712</v>
      </c>
      <c r="BW1075" s="111" t="n">
        <v>21</v>
      </c>
      <c r="BX1075" s="14" t="s">
        <v>1809</v>
      </c>
    </row>
    <row r="1076" customHeight="true" ht="13.5">
      <c r="A1076" s="159"/>
      <c r="C1076" s="160" t="s">
        <v>146</v>
      </c>
      <c r="D1076" s="161" t="s">
        <v>1800</v>
      </c>
      <c r="E1076" s="156"/>
      <c r="F1076" s="156"/>
      <c r="G1076" s="156"/>
      <c r="H1076" s="162"/>
      <c r="I1076" s="156"/>
      <c r="J1076" s="156"/>
      <c r="K1076" s="163"/>
    </row>
    <row r="1077">
      <c r="A1077" s="154"/>
      <c r="B1077" s="155"/>
      <c r="C1077" s="155"/>
      <c r="D1077" s="156" t="s">
        <v>1810</v>
      </c>
      <c r="E1077" s="156" t="s">
        <v>1802</v>
      </c>
      <c r="F1077" s="155"/>
      <c r="G1077" s="157" t="n">
        <v>49.6</v>
      </c>
      <c r="H1077" s="158"/>
      <c r="I1077" s="155"/>
      <c r="J1077" s="155"/>
      <c r="K1077" s="146"/>
    </row>
    <row r="1078">
      <c r="A1078" s="154"/>
      <c r="B1078" s="155"/>
      <c r="C1078" s="155"/>
      <c r="D1078" s="156" t="s">
        <v>1811</v>
      </c>
      <c r="E1078" s="156" t="s">
        <v>1812</v>
      </c>
      <c r="F1078" s="155"/>
      <c r="G1078" s="157" t="n">
        <v>64.84</v>
      </c>
      <c r="H1078" s="158"/>
      <c r="I1078" s="155"/>
      <c r="J1078" s="155"/>
      <c r="K1078" s="146"/>
    </row>
    <row r="1079">
      <c r="A1079" s="154"/>
      <c r="B1079" s="155"/>
      <c r="C1079" s="155"/>
      <c r="D1079" s="156" t="s">
        <v>1813</v>
      </c>
      <c r="E1079" s="156" t="s">
        <v>1814</v>
      </c>
      <c r="F1079" s="155"/>
      <c r="G1079" s="157" t="n">
        <v>24.42</v>
      </c>
      <c r="H1079" s="158"/>
      <c r="I1079" s="155"/>
      <c r="J1079" s="155"/>
      <c r="K1079" s="146"/>
    </row>
    <row r="1080">
      <c r="A1080" s="9" t="s">
        <v>1815</v>
      </c>
      <c r="B1080" s="10" t="s">
        <v>84</v>
      </c>
      <c r="C1080" s="10" t="s">
        <v>1816</v>
      </c>
      <c r="D1080" s="14" t="s">
        <v>1817</v>
      </c>
      <c r="E1080" s="10"/>
      <c r="F1080" s="10" t="s">
        <v>282</v>
      </c>
      <c r="G1080" s="111" t="n">
        <v>235.1</v>
      </c>
      <c r="H1080" s="152" t="n">
        <v>0</v>
      </c>
      <c r="I1080" s="111">
        <f>G1080*H1080</f>
      </c>
      <c r="J1080" s="153" t="s">
        <v>134</v>
      </c>
      <c r="K1080" s="146"/>
      <c r="Z1080" s="111">
        <f>IF(AQ1080="5",BJ1080,0)</f>
      </c>
      <c r="AB1080" s="111">
        <f>IF(AQ1080="1",BH1080,0)</f>
      </c>
      <c r="AC1080" s="111">
        <f>IF(AQ1080="1",BI1080,0)</f>
      </c>
      <c r="AD1080" s="111">
        <f>IF(AQ1080="7",BH1080,0)</f>
      </c>
      <c r="AE1080" s="111">
        <f>IF(AQ1080="7",BI1080,0)</f>
      </c>
      <c r="AF1080" s="111">
        <f>IF(AQ1080="2",BH1080,0)</f>
      </c>
      <c r="AG1080" s="111">
        <f>IF(AQ1080="2",BI1080,0)</f>
      </c>
      <c r="AH1080" s="111">
        <f>IF(AQ1080="0",BJ1080,0)</f>
      </c>
      <c r="AI1080" s="132" t="s">
        <v>84</v>
      </c>
      <c r="AJ1080" s="111">
        <f>IF(AN1080=0,I1080,0)</f>
      </c>
      <c r="AK1080" s="111">
        <f>IF(AN1080=12,I1080,0)</f>
      </c>
      <c r="AL1080" s="111">
        <f>IF(AN1080=21,I1080,0)</f>
      </c>
      <c r="AN1080" s="111" t="n">
        <v>21</v>
      </c>
      <c r="AO1080" s="111">
        <f>H1080*0.510460241</f>
      </c>
      <c r="AP1080" s="111">
        <f>H1080*(1-0.510460241)</f>
      </c>
      <c r="AQ1080" s="153" t="s">
        <v>173</v>
      </c>
      <c r="AV1080" s="111">
        <f>AW1080+AX1080</f>
      </c>
      <c r="AW1080" s="111">
        <f>G1080*AO1080</f>
      </c>
      <c r="AX1080" s="111">
        <f>G1080*AP1080</f>
      </c>
      <c r="AY1080" s="153" t="s">
        <v>1668</v>
      </c>
      <c r="AZ1080" s="153" t="s">
        <v>1620</v>
      </c>
      <c r="BA1080" s="132" t="s">
        <v>137</v>
      </c>
      <c r="BC1080" s="111">
        <f>AW1080+AX1080</f>
      </c>
      <c r="BD1080" s="111">
        <f>H1080/(100-BE1080)*100</f>
      </c>
      <c r="BE1080" s="111" t="n">
        <v>0</v>
      </c>
      <c r="BF1080" s="111">
        <f>1080</f>
      </c>
      <c r="BH1080" s="111">
        <f>G1080*AO1080</f>
      </c>
      <c r="BI1080" s="111">
        <f>G1080*AP1080</f>
      </c>
      <c r="BJ1080" s="111">
        <f>G1080*H1080</f>
      </c>
      <c r="BK1080" s="111"/>
      <c r="BL1080" s="111" t="n">
        <v>712</v>
      </c>
      <c r="BW1080" s="111" t="n">
        <v>21</v>
      </c>
      <c r="BX1080" s="14" t="s">
        <v>1817</v>
      </c>
    </row>
    <row r="1081" customHeight="true" ht="13.5">
      <c r="A1081" s="159"/>
      <c r="C1081" s="160" t="s">
        <v>146</v>
      </c>
      <c r="D1081" s="161" t="s">
        <v>1800</v>
      </c>
      <c r="E1081" s="156"/>
      <c r="F1081" s="156"/>
      <c r="G1081" s="156"/>
      <c r="H1081" s="162"/>
      <c r="I1081" s="156"/>
      <c r="J1081" s="156"/>
      <c r="K1081" s="163"/>
    </row>
    <row r="1082">
      <c r="A1082" s="154"/>
      <c r="B1082" s="155"/>
      <c r="C1082" s="155"/>
      <c r="D1082" s="156" t="s">
        <v>1818</v>
      </c>
      <c r="E1082" s="156" t="s">
        <v>1819</v>
      </c>
      <c r="F1082" s="155"/>
      <c r="G1082" s="157" t="n">
        <v>96.24</v>
      </c>
      <c r="H1082" s="158"/>
      <c r="I1082" s="155"/>
      <c r="J1082" s="155"/>
      <c r="K1082" s="146"/>
    </row>
    <row r="1083">
      <c r="A1083" s="154"/>
      <c r="B1083" s="155"/>
      <c r="C1083" s="155"/>
      <c r="D1083" s="156" t="s">
        <v>1811</v>
      </c>
      <c r="E1083" s="156" t="s">
        <v>1812</v>
      </c>
      <c r="F1083" s="155"/>
      <c r="G1083" s="157" t="n">
        <v>64.84</v>
      </c>
      <c r="H1083" s="158"/>
      <c r="I1083" s="155"/>
      <c r="J1083" s="155"/>
      <c r="K1083" s="146"/>
    </row>
    <row r="1084">
      <c r="A1084" s="154"/>
      <c r="B1084" s="155"/>
      <c r="C1084" s="155"/>
      <c r="D1084" s="156" t="s">
        <v>1813</v>
      </c>
      <c r="E1084" s="156" t="s">
        <v>1814</v>
      </c>
      <c r="F1084" s="155"/>
      <c r="G1084" s="157" t="n">
        <v>24.42</v>
      </c>
      <c r="H1084" s="158"/>
      <c r="I1084" s="155"/>
      <c r="J1084" s="155"/>
      <c r="K1084" s="146"/>
    </row>
    <row r="1085">
      <c r="A1085" s="154"/>
      <c r="B1085" s="155"/>
      <c r="C1085" s="155"/>
      <c r="D1085" s="156" t="s">
        <v>1810</v>
      </c>
      <c r="E1085" s="156" t="s">
        <v>1802</v>
      </c>
      <c r="F1085" s="155"/>
      <c r="G1085" s="157" t="n">
        <v>49.6</v>
      </c>
      <c r="H1085" s="158"/>
      <c r="I1085" s="155"/>
      <c r="J1085" s="155"/>
      <c r="K1085" s="146"/>
    </row>
    <row r="1086">
      <c r="A1086" s="9" t="s">
        <v>1820</v>
      </c>
      <c r="B1086" s="10" t="s">
        <v>84</v>
      </c>
      <c r="C1086" s="10" t="s">
        <v>1821</v>
      </c>
      <c r="D1086" s="14" t="s">
        <v>1822</v>
      </c>
      <c r="E1086" s="10"/>
      <c r="F1086" s="10" t="s">
        <v>282</v>
      </c>
      <c r="G1086" s="111" t="n">
        <v>96.24</v>
      </c>
      <c r="H1086" s="152" t="n">
        <v>0</v>
      </c>
      <c r="I1086" s="111">
        <f>G1086*H1086</f>
      </c>
      <c r="J1086" s="153" t="s">
        <v>134</v>
      </c>
      <c r="K1086" s="146"/>
      <c r="Z1086" s="111">
        <f>IF(AQ1086="5",BJ1086,0)</f>
      </c>
      <c r="AB1086" s="111">
        <f>IF(AQ1086="1",BH1086,0)</f>
      </c>
      <c r="AC1086" s="111">
        <f>IF(AQ1086="1",BI1086,0)</f>
      </c>
      <c r="AD1086" s="111">
        <f>IF(AQ1086="7",BH1086,0)</f>
      </c>
      <c r="AE1086" s="111">
        <f>IF(AQ1086="7",BI1086,0)</f>
      </c>
      <c r="AF1086" s="111">
        <f>IF(AQ1086="2",BH1086,0)</f>
      </c>
      <c r="AG1086" s="111">
        <f>IF(AQ1086="2",BI1086,0)</f>
      </c>
      <c r="AH1086" s="111">
        <f>IF(AQ1086="0",BJ1086,0)</f>
      </c>
      <c r="AI1086" s="132" t="s">
        <v>84</v>
      </c>
      <c r="AJ1086" s="111">
        <f>IF(AN1086=0,I1086,0)</f>
      </c>
      <c r="AK1086" s="111">
        <f>IF(AN1086=12,I1086,0)</f>
      </c>
      <c r="AL1086" s="111">
        <f>IF(AN1086=21,I1086,0)</f>
      </c>
      <c r="AN1086" s="111" t="n">
        <v>21</v>
      </c>
      <c r="AO1086" s="111">
        <f>H1086*0.510460193</f>
      </c>
      <c r="AP1086" s="111">
        <f>H1086*(1-0.510460193)</f>
      </c>
      <c r="AQ1086" s="153" t="s">
        <v>173</v>
      </c>
      <c r="AV1086" s="111">
        <f>AW1086+AX1086</f>
      </c>
      <c r="AW1086" s="111">
        <f>G1086*AO1086</f>
      </c>
      <c r="AX1086" s="111">
        <f>G1086*AP1086</f>
      </c>
      <c r="AY1086" s="153" t="s">
        <v>1668</v>
      </c>
      <c r="AZ1086" s="153" t="s">
        <v>1620</v>
      </c>
      <c r="BA1086" s="132" t="s">
        <v>137</v>
      </c>
      <c r="BC1086" s="111">
        <f>AW1086+AX1086</f>
      </c>
      <c r="BD1086" s="111">
        <f>H1086/(100-BE1086)*100</f>
      </c>
      <c r="BE1086" s="111" t="n">
        <v>0</v>
      </c>
      <c r="BF1086" s="111">
        <f>1086</f>
      </c>
      <c r="BH1086" s="111">
        <f>G1086*AO1086</f>
      </c>
      <c r="BI1086" s="111">
        <f>G1086*AP1086</f>
      </c>
      <c r="BJ1086" s="111">
        <f>G1086*H1086</f>
      </c>
      <c r="BK1086" s="111"/>
      <c r="BL1086" s="111" t="n">
        <v>712</v>
      </c>
      <c r="BW1086" s="111" t="n">
        <v>21</v>
      </c>
      <c r="BX1086" s="14" t="s">
        <v>1822</v>
      </c>
    </row>
    <row r="1087" customHeight="true" ht="13.5">
      <c r="A1087" s="159"/>
      <c r="C1087" s="160" t="s">
        <v>146</v>
      </c>
      <c r="D1087" s="161" t="s">
        <v>1823</v>
      </c>
      <c r="E1087" s="156"/>
      <c r="F1087" s="156"/>
      <c r="G1087" s="156"/>
      <c r="H1087" s="162"/>
      <c r="I1087" s="156"/>
      <c r="J1087" s="156"/>
      <c r="K1087" s="163"/>
    </row>
    <row r="1088">
      <c r="A1088" s="154"/>
      <c r="B1088" s="155"/>
      <c r="C1088" s="155"/>
      <c r="D1088" s="156" t="s">
        <v>1818</v>
      </c>
      <c r="E1088" s="156" t="s">
        <v>1824</v>
      </c>
      <c r="F1088" s="155"/>
      <c r="G1088" s="157" t="n">
        <v>96.24</v>
      </c>
      <c r="H1088" s="158"/>
      <c r="I1088" s="155"/>
      <c r="J1088" s="155"/>
      <c r="K1088" s="146"/>
    </row>
    <row r="1089">
      <c r="A1089" s="9" t="s">
        <v>1825</v>
      </c>
      <c r="B1089" s="10" t="s">
        <v>84</v>
      </c>
      <c r="C1089" s="10" t="s">
        <v>1826</v>
      </c>
      <c r="D1089" s="14" t="s">
        <v>1827</v>
      </c>
      <c r="E1089" s="10"/>
      <c r="F1089" s="10" t="s">
        <v>282</v>
      </c>
      <c r="G1089" s="111" t="n">
        <v>96.24</v>
      </c>
      <c r="H1089" s="152" t="n">
        <v>0</v>
      </c>
      <c r="I1089" s="111">
        <f>G1089*H1089</f>
      </c>
      <c r="J1089" s="153" t="s">
        <v>134</v>
      </c>
      <c r="K1089" s="146"/>
      <c r="Z1089" s="111">
        <f>IF(AQ1089="5",BJ1089,0)</f>
      </c>
      <c r="AB1089" s="111">
        <f>IF(AQ1089="1",BH1089,0)</f>
      </c>
      <c r="AC1089" s="111">
        <f>IF(AQ1089="1",BI1089,0)</f>
      </c>
      <c r="AD1089" s="111">
        <f>IF(AQ1089="7",BH1089,0)</f>
      </c>
      <c r="AE1089" s="111">
        <f>IF(AQ1089="7",BI1089,0)</f>
      </c>
      <c r="AF1089" s="111">
        <f>IF(AQ1089="2",BH1089,0)</f>
      </c>
      <c r="AG1089" s="111">
        <f>IF(AQ1089="2",BI1089,0)</f>
      </c>
      <c r="AH1089" s="111">
        <f>IF(AQ1089="0",BJ1089,0)</f>
      </c>
      <c r="AI1089" s="132" t="s">
        <v>84</v>
      </c>
      <c r="AJ1089" s="111">
        <f>IF(AN1089=0,I1089,0)</f>
      </c>
      <c r="AK1089" s="111">
        <f>IF(AN1089=12,I1089,0)</f>
      </c>
      <c r="AL1089" s="111">
        <f>IF(AN1089=21,I1089,0)</f>
      </c>
      <c r="AN1089" s="111" t="n">
        <v>21</v>
      </c>
      <c r="AO1089" s="111">
        <f>H1089*0.354688109</f>
      </c>
      <c r="AP1089" s="111">
        <f>H1089*(1-0.354688109)</f>
      </c>
      <c r="AQ1089" s="153" t="s">
        <v>173</v>
      </c>
      <c r="AV1089" s="111">
        <f>AW1089+AX1089</f>
      </c>
      <c r="AW1089" s="111">
        <f>G1089*AO1089</f>
      </c>
      <c r="AX1089" s="111">
        <f>G1089*AP1089</f>
      </c>
      <c r="AY1089" s="153" t="s">
        <v>1668</v>
      </c>
      <c r="AZ1089" s="153" t="s">
        <v>1620</v>
      </c>
      <c r="BA1089" s="132" t="s">
        <v>137</v>
      </c>
      <c r="BC1089" s="111">
        <f>AW1089+AX1089</f>
      </c>
      <c r="BD1089" s="111">
        <f>H1089/(100-BE1089)*100</f>
      </c>
      <c r="BE1089" s="111" t="n">
        <v>0</v>
      </c>
      <c r="BF1089" s="111">
        <f>1089</f>
      </c>
      <c r="BH1089" s="111">
        <f>G1089*AO1089</f>
      </c>
      <c r="BI1089" s="111">
        <f>G1089*AP1089</f>
      </c>
      <c r="BJ1089" s="111">
        <f>G1089*H1089</f>
      </c>
      <c r="BK1089" s="111"/>
      <c r="BL1089" s="111" t="n">
        <v>712</v>
      </c>
      <c r="BW1089" s="111" t="n">
        <v>21</v>
      </c>
      <c r="BX1089" s="14" t="s">
        <v>1827</v>
      </c>
    </row>
    <row r="1090" customHeight="true" ht="13.5">
      <c r="A1090" s="159"/>
      <c r="C1090" s="160" t="s">
        <v>146</v>
      </c>
      <c r="D1090" s="161" t="s">
        <v>1800</v>
      </c>
      <c r="E1090" s="156"/>
      <c r="F1090" s="156"/>
      <c r="G1090" s="156"/>
      <c r="H1090" s="162"/>
      <c r="I1090" s="156"/>
      <c r="J1090" s="156"/>
      <c r="K1090" s="163"/>
    </row>
    <row r="1091">
      <c r="A1091" s="154"/>
      <c r="B1091" s="155"/>
      <c r="C1091" s="155"/>
      <c r="D1091" s="156" t="s">
        <v>1818</v>
      </c>
      <c r="E1091" s="156" t="s">
        <v>1824</v>
      </c>
      <c r="F1091" s="155"/>
      <c r="G1091" s="157" t="n">
        <v>96.24</v>
      </c>
      <c r="H1091" s="158"/>
      <c r="I1091" s="155"/>
      <c r="J1091" s="155"/>
      <c r="K1091" s="146"/>
    </row>
    <row r="1092">
      <c r="A1092" s="9" t="s">
        <v>1828</v>
      </c>
      <c r="B1092" s="10" t="s">
        <v>84</v>
      </c>
      <c r="C1092" s="10" t="s">
        <v>1829</v>
      </c>
      <c r="D1092" s="14" t="s">
        <v>1830</v>
      </c>
      <c r="E1092" s="10"/>
      <c r="F1092" s="10" t="s">
        <v>145</v>
      </c>
      <c r="G1092" s="111" t="n">
        <v>589.5786</v>
      </c>
      <c r="H1092" s="152" t="n">
        <v>0</v>
      </c>
      <c r="I1092" s="111">
        <f>G1092*H1092</f>
      </c>
      <c r="J1092" s="153" t="s">
        <v>134</v>
      </c>
      <c r="K1092" s="146"/>
      <c r="Z1092" s="111">
        <f>IF(AQ1092="5",BJ1092,0)</f>
      </c>
      <c r="AB1092" s="111">
        <f>IF(AQ1092="1",BH1092,0)</f>
      </c>
      <c r="AC1092" s="111">
        <f>IF(AQ1092="1",BI1092,0)</f>
      </c>
      <c r="AD1092" s="111">
        <f>IF(AQ1092="7",BH1092,0)</f>
      </c>
      <c r="AE1092" s="111">
        <f>IF(AQ1092="7",BI1092,0)</f>
      </c>
      <c r="AF1092" s="111">
        <f>IF(AQ1092="2",BH1092,0)</f>
      </c>
      <c r="AG1092" s="111">
        <f>IF(AQ1092="2",BI1092,0)</f>
      </c>
      <c r="AH1092" s="111">
        <f>IF(AQ1092="0",BJ1092,0)</f>
      </c>
      <c r="AI1092" s="132" t="s">
        <v>84</v>
      </c>
      <c r="AJ1092" s="111">
        <f>IF(AN1092=0,I1092,0)</f>
      </c>
      <c r="AK1092" s="111">
        <f>IF(AN1092=12,I1092,0)</f>
      </c>
      <c r="AL1092" s="111">
        <f>IF(AN1092=21,I1092,0)</f>
      </c>
      <c r="AN1092" s="111" t="n">
        <v>21</v>
      </c>
      <c r="AO1092" s="111">
        <f>H1092*0.726204223</f>
      </c>
      <c r="AP1092" s="111">
        <f>H1092*(1-0.726204223)</f>
      </c>
      <c r="AQ1092" s="153" t="s">
        <v>173</v>
      </c>
      <c r="AV1092" s="111">
        <f>AW1092+AX1092</f>
      </c>
      <c r="AW1092" s="111">
        <f>G1092*AO1092</f>
      </c>
      <c r="AX1092" s="111">
        <f>G1092*AP1092</f>
      </c>
      <c r="AY1092" s="153" t="s">
        <v>1668</v>
      </c>
      <c r="AZ1092" s="153" t="s">
        <v>1620</v>
      </c>
      <c r="BA1092" s="132" t="s">
        <v>137</v>
      </c>
      <c r="BC1092" s="111">
        <f>AW1092+AX1092</f>
      </c>
      <c r="BD1092" s="111">
        <f>H1092/(100-BE1092)*100</f>
      </c>
      <c r="BE1092" s="111" t="n">
        <v>0</v>
      </c>
      <c r="BF1092" s="111">
        <f>1092</f>
      </c>
      <c r="BH1092" s="111">
        <f>G1092*AO1092</f>
      </c>
      <c r="BI1092" s="111">
        <f>G1092*AP1092</f>
      </c>
      <c r="BJ1092" s="111">
        <f>G1092*H1092</f>
      </c>
      <c r="BK1092" s="111"/>
      <c r="BL1092" s="111" t="n">
        <v>712</v>
      </c>
      <c r="BW1092" s="111" t="n">
        <v>21</v>
      </c>
      <c r="BX1092" s="14" t="s">
        <v>1830</v>
      </c>
    </row>
    <row r="1093" customHeight="true" ht="13.5">
      <c r="A1093" s="159"/>
      <c r="C1093" s="160" t="s">
        <v>146</v>
      </c>
      <c r="D1093" s="161" t="s">
        <v>1831</v>
      </c>
      <c r="E1093" s="156"/>
      <c r="F1093" s="156"/>
      <c r="G1093" s="156"/>
      <c r="H1093" s="162"/>
      <c r="I1093" s="156"/>
      <c r="J1093" s="156"/>
      <c r="K1093" s="163"/>
    </row>
    <row r="1094">
      <c r="A1094" s="154"/>
      <c r="B1094" s="155"/>
      <c r="C1094" s="155"/>
      <c r="D1094" s="156" t="s">
        <v>4</v>
      </c>
      <c r="E1094" s="156" t="s">
        <v>1832</v>
      </c>
      <c r="F1094" s="155"/>
      <c r="G1094" s="157" t="n">
        <v>0</v>
      </c>
      <c r="H1094" s="158"/>
      <c r="I1094" s="155"/>
      <c r="J1094" s="155"/>
      <c r="K1094" s="146"/>
    </row>
    <row r="1095">
      <c r="A1095" s="154"/>
      <c r="B1095" s="155"/>
      <c r="C1095" s="155"/>
      <c r="D1095" s="156" t="s">
        <v>1684</v>
      </c>
      <c r="E1095" s="156" t="s">
        <v>1685</v>
      </c>
      <c r="F1095" s="155"/>
      <c r="G1095" s="157" t="n">
        <v>267.2286</v>
      </c>
      <c r="H1095" s="158"/>
      <c r="I1095" s="155"/>
      <c r="J1095" s="155"/>
      <c r="K1095" s="146"/>
    </row>
    <row r="1096">
      <c r="A1096" s="154"/>
      <c r="B1096" s="155"/>
      <c r="C1096" s="155"/>
      <c r="D1096" s="156" t="s">
        <v>1686</v>
      </c>
      <c r="E1096" s="156" t="s">
        <v>1687</v>
      </c>
      <c r="F1096" s="155"/>
      <c r="G1096" s="157" t="n">
        <v>38.904</v>
      </c>
      <c r="H1096" s="158"/>
      <c r="I1096" s="155"/>
      <c r="J1096" s="155"/>
      <c r="K1096" s="146"/>
    </row>
    <row r="1097">
      <c r="A1097" s="154"/>
      <c r="B1097" s="155"/>
      <c r="C1097" s="155"/>
      <c r="D1097" s="156" t="s">
        <v>1688</v>
      </c>
      <c r="E1097" s="156" t="s">
        <v>1689</v>
      </c>
      <c r="F1097" s="155"/>
      <c r="G1097" s="157" t="n">
        <v>28.896</v>
      </c>
      <c r="H1097" s="158"/>
      <c r="I1097" s="155"/>
      <c r="J1097" s="155"/>
      <c r="K1097" s="146"/>
    </row>
    <row r="1098">
      <c r="A1098" s="154"/>
      <c r="B1098" s="155"/>
      <c r="C1098" s="155"/>
      <c r="D1098" s="156" t="s">
        <v>1694</v>
      </c>
      <c r="E1098" s="156" t="s">
        <v>1695</v>
      </c>
      <c r="F1098" s="155"/>
      <c r="G1098" s="157" t="n">
        <v>7.78</v>
      </c>
      <c r="H1098" s="158"/>
      <c r="I1098" s="155"/>
      <c r="J1098" s="155"/>
      <c r="K1098" s="146"/>
    </row>
    <row r="1099">
      <c r="A1099" s="154"/>
      <c r="B1099" s="155"/>
      <c r="C1099" s="155"/>
      <c r="D1099" s="156" t="s">
        <v>1696</v>
      </c>
      <c r="E1099" s="156" t="s">
        <v>1697</v>
      </c>
      <c r="F1099" s="155"/>
      <c r="G1099" s="157" t="n">
        <v>144.6</v>
      </c>
      <c r="H1099" s="158"/>
      <c r="I1099" s="155"/>
      <c r="J1099" s="155"/>
      <c r="K1099" s="146"/>
    </row>
    <row r="1100">
      <c r="A1100" s="154"/>
      <c r="B1100" s="155"/>
      <c r="C1100" s="155"/>
      <c r="D1100" s="156" t="s">
        <v>1698</v>
      </c>
      <c r="E1100" s="156" t="s">
        <v>1699</v>
      </c>
      <c r="F1100" s="155"/>
      <c r="G1100" s="157" t="n">
        <v>121.5</v>
      </c>
      <c r="H1100" s="158"/>
      <c r="I1100" s="155"/>
      <c r="J1100" s="155"/>
      <c r="K1100" s="146"/>
    </row>
    <row r="1101">
      <c r="A1101" s="154"/>
      <c r="B1101" s="155"/>
      <c r="C1101" s="155"/>
      <c r="D1101" s="156" t="s">
        <v>1833</v>
      </c>
      <c r="E1101" s="156" t="s">
        <v>1691</v>
      </c>
      <c r="F1101" s="155"/>
      <c r="G1101" s="157" t="n">
        <v>19.69</v>
      </c>
      <c r="H1101" s="158"/>
      <c r="I1101" s="155"/>
      <c r="J1101" s="155"/>
      <c r="K1101" s="146"/>
    </row>
    <row r="1102">
      <c r="A1102" s="154"/>
      <c r="B1102" s="155"/>
      <c r="C1102" s="155"/>
      <c r="D1102" s="156" t="s">
        <v>1834</v>
      </c>
      <c r="E1102" s="156" t="s">
        <v>1835</v>
      </c>
      <c r="F1102" s="155"/>
      <c r="G1102" s="157" t="n">
        <v>-39.02</v>
      </c>
      <c r="H1102" s="158"/>
      <c r="I1102" s="155"/>
      <c r="J1102" s="155"/>
      <c r="K1102" s="146"/>
    </row>
    <row r="1103">
      <c r="A1103" s="9" t="s">
        <v>1836</v>
      </c>
      <c r="B1103" s="10" t="s">
        <v>84</v>
      </c>
      <c r="C1103" s="10" t="s">
        <v>1837</v>
      </c>
      <c r="D1103" s="14" t="s">
        <v>1838</v>
      </c>
      <c r="E1103" s="10"/>
      <c r="F1103" s="10" t="s">
        <v>145</v>
      </c>
      <c r="G1103" s="111" t="n">
        <v>589.58</v>
      </c>
      <c r="H1103" s="152" t="n">
        <v>0</v>
      </c>
      <c r="I1103" s="111">
        <f>G1103*H1103</f>
      </c>
      <c r="J1103" s="153" t="s">
        <v>134</v>
      </c>
      <c r="K1103" s="146"/>
      <c r="Z1103" s="111">
        <f>IF(AQ1103="5",BJ1103,0)</f>
      </c>
      <c r="AB1103" s="111">
        <f>IF(AQ1103="1",BH1103,0)</f>
      </c>
      <c r="AC1103" s="111">
        <f>IF(AQ1103="1",BI1103,0)</f>
      </c>
      <c r="AD1103" s="111">
        <f>IF(AQ1103="7",BH1103,0)</f>
      </c>
      <c r="AE1103" s="111">
        <f>IF(AQ1103="7",BI1103,0)</f>
      </c>
      <c r="AF1103" s="111">
        <f>IF(AQ1103="2",BH1103,0)</f>
      </c>
      <c r="AG1103" s="111">
        <f>IF(AQ1103="2",BI1103,0)</f>
      </c>
      <c r="AH1103" s="111">
        <f>IF(AQ1103="0",BJ1103,0)</f>
      </c>
      <c r="AI1103" s="132" t="s">
        <v>84</v>
      </c>
      <c r="AJ1103" s="111">
        <f>IF(AN1103=0,I1103,0)</f>
      </c>
      <c r="AK1103" s="111">
        <f>IF(AN1103=12,I1103,0)</f>
      </c>
      <c r="AL1103" s="111">
        <f>IF(AN1103=21,I1103,0)</f>
      </c>
      <c r="AN1103" s="111" t="n">
        <v>21</v>
      </c>
      <c r="AO1103" s="111">
        <f>H1103*0.107114625</f>
      </c>
      <c r="AP1103" s="111">
        <f>H1103*(1-0.107114625)</f>
      </c>
      <c r="AQ1103" s="153" t="s">
        <v>173</v>
      </c>
      <c r="AV1103" s="111">
        <f>AW1103+AX1103</f>
      </c>
      <c r="AW1103" s="111">
        <f>G1103*AO1103</f>
      </c>
      <c r="AX1103" s="111">
        <f>G1103*AP1103</f>
      </c>
      <c r="AY1103" s="153" t="s">
        <v>1668</v>
      </c>
      <c r="AZ1103" s="153" t="s">
        <v>1620</v>
      </c>
      <c r="BA1103" s="132" t="s">
        <v>137</v>
      </c>
      <c r="BC1103" s="111">
        <f>AW1103+AX1103</f>
      </c>
      <c r="BD1103" s="111">
        <f>H1103/(100-BE1103)*100</f>
      </c>
      <c r="BE1103" s="111" t="n">
        <v>0</v>
      </c>
      <c r="BF1103" s="111">
        <f>1103</f>
      </c>
      <c r="BH1103" s="111">
        <f>G1103*AO1103</f>
      </c>
      <c r="BI1103" s="111">
        <f>G1103*AP1103</f>
      </c>
      <c r="BJ1103" s="111">
        <f>G1103*H1103</f>
      </c>
      <c r="BK1103" s="111"/>
      <c r="BL1103" s="111" t="n">
        <v>712</v>
      </c>
      <c r="BW1103" s="111" t="n">
        <v>21</v>
      </c>
      <c r="BX1103" s="14" t="s">
        <v>1838</v>
      </c>
    </row>
    <row r="1104" customHeight="true" ht="13.5">
      <c r="A1104" s="159"/>
      <c r="C1104" s="160" t="s">
        <v>146</v>
      </c>
      <c r="D1104" s="161" t="s">
        <v>1839</v>
      </c>
      <c r="E1104" s="156"/>
      <c r="F1104" s="156"/>
      <c r="G1104" s="156"/>
      <c r="H1104" s="162"/>
      <c r="I1104" s="156"/>
      <c r="J1104" s="156"/>
      <c r="K1104" s="163"/>
    </row>
    <row r="1105">
      <c r="A1105" s="154"/>
      <c r="B1105" s="155"/>
      <c r="C1105" s="155"/>
      <c r="D1105" s="156" t="s">
        <v>1840</v>
      </c>
      <c r="E1105" s="156" t="s">
        <v>1832</v>
      </c>
      <c r="F1105" s="155"/>
      <c r="G1105" s="157" t="n">
        <v>589.58</v>
      </c>
      <c r="H1105" s="158"/>
      <c r="I1105" s="155"/>
      <c r="J1105" s="155"/>
      <c r="K1105" s="146"/>
    </row>
    <row r="1106">
      <c r="A1106" s="9" t="s">
        <v>1841</v>
      </c>
      <c r="B1106" s="10" t="s">
        <v>84</v>
      </c>
      <c r="C1106" s="10" t="s">
        <v>1628</v>
      </c>
      <c r="D1106" s="14" t="s">
        <v>1842</v>
      </c>
      <c r="E1106" s="10"/>
      <c r="F1106" s="10" t="s">
        <v>145</v>
      </c>
      <c r="G1106" s="111" t="n">
        <v>678.017</v>
      </c>
      <c r="H1106" s="152" t="n">
        <v>0</v>
      </c>
      <c r="I1106" s="111">
        <f>G1106*H1106</f>
      </c>
      <c r="J1106" s="153" t="s">
        <v>134</v>
      </c>
      <c r="K1106" s="146"/>
      <c r="Z1106" s="111">
        <f>IF(AQ1106="5",BJ1106,0)</f>
      </c>
      <c r="AB1106" s="111">
        <f>IF(AQ1106="1",BH1106,0)</f>
      </c>
      <c r="AC1106" s="111">
        <f>IF(AQ1106="1",BI1106,0)</f>
      </c>
      <c r="AD1106" s="111">
        <f>IF(AQ1106="7",BH1106,0)</f>
      </c>
      <c r="AE1106" s="111">
        <f>IF(AQ1106="7",BI1106,0)</f>
      </c>
      <c r="AF1106" s="111">
        <f>IF(AQ1106="2",BH1106,0)</f>
      </c>
      <c r="AG1106" s="111">
        <f>IF(AQ1106="2",BI1106,0)</f>
      </c>
      <c r="AH1106" s="111">
        <f>IF(AQ1106="0",BJ1106,0)</f>
      </c>
      <c r="AI1106" s="132" t="s">
        <v>84</v>
      </c>
      <c r="AJ1106" s="111">
        <f>IF(AN1106=0,I1106,0)</f>
      </c>
      <c r="AK1106" s="111">
        <f>IF(AN1106=12,I1106,0)</f>
      </c>
      <c r="AL1106" s="111">
        <f>IF(AN1106=21,I1106,0)</f>
      </c>
      <c r="AN1106" s="111" t="n">
        <v>21</v>
      </c>
      <c r="AO1106" s="111">
        <f>H1106*1</f>
      </c>
      <c r="AP1106" s="111">
        <f>H1106*(1-1)</f>
      </c>
      <c r="AQ1106" s="153" t="s">
        <v>173</v>
      </c>
      <c r="AV1106" s="111">
        <f>AW1106+AX1106</f>
      </c>
      <c r="AW1106" s="111">
        <f>G1106*AO1106</f>
      </c>
      <c r="AX1106" s="111">
        <f>G1106*AP1106</f>
      </c>
      <c r="AY1106" s="153" t="s">
        <v>1668</v>
      </c>
      <c r="AZ1106" s="153" t="s">
        <v>1620</v>
      </c>
      <c r="BA1106" s="132" t="s">
        <v>137</v>
      </c>
      <c r="BC1106" s="111">
        <f>AW1106+AX1106</f>
      </c>
      <c r="BD1106" s="111">
        <f>H1106/(100-BE1106)*100</f>
      </c>
      <c r="BE1106" s="111" t="n">
        <v>0</v>
      </c>
      <c r="BF1106" s="111">
        <f>1106</f>
      </c>
      <c r="BH1106" s="111">
        <f>G1106*AO1106</f>
      </c>
      <c r="BI1106" s="111">
        <f>G1106*AP1106</f>
      </c>
      <c r="BJ1106" s="111">
        <f>G1106*H1106</f>
      </c>
      <c r="BK1106" s="111"/>
      <c r="BL1106" s="111" t="n">
        <v>712</v>
      </c>
      <c r="BW1106" s="111" t="n">
        <v>21</v>
      </c>
      <c r="BX1106" s="14" t="s">
        <v>1842</v>
      </c>
    </row>
    <row r="1107">
      <c r="A1107" s="154"/>
      <c r="B1107" s="155"/>
      <c r="C1107" s="155"/>
      <c r="D1107" s="156" t="s">
        <v>1840</v>
      </c>
      <c r="E1107" s="156" t="s">
        <v>1832</v>
      </c>
      <c r="F1107" s="155"/>
      <c r="G1107" s="157" t="n">
        <v>589.58</v>
      </c>
      <c r="H1107" s="158"/>
      <c r="I1107" s="155"/>
      <c r="J1107" s="155"/>
      <c r="K1107" s="146"/>
    </row>
    <row r="1108">
      <c r="A1108" s="154"/>
      <c r="B1108" s="155"/>
      <c r="C1108" s="155"/>
      <c r="D1108" s="156" t="s">
        <v>1843</v>
      </c>
      <c r="E1108" s="156" t="s">
        <v>674</v>
      </c>
      <c r="F1108" s="155"/>
      <c r="G1108" s="157" t="n">
        <v>88.437</v>
      </c>
      <c r="H1108" s="158"/>
      <c r="I1108" s="155"/>
      <c r="J1108" s="155"/>
      <c r="K1108" s="146"/>
    </row>
    <row r="1109">
      <c r="A1109" s="9" t="s">
        <v>1844</v>
      </c>
      <c r="B1109" s="10" t="s">
        <v>84</v>
      </c>
      <c r="C1109" s="10" t="s">
        <v>1845</v>
      </c>
      <c r="D1109" s="14" t="s">
        <v>1846</v>
      </c>
      <c r="E1109" s="10"/>
      <c r="F1109" s="10" t="s">
        <v>61</v>
      </c>
      <c r="G1109" s="111" t="n">
        <v>4.34</v>
      </c>
      <c r="H1109" s="152" t="n">
        <v>0</v>
      </c>
      <c r="I1109" s="111">
        <f>G1109*H1109</f>
      </c>
      <c r="J1109" s="153" t="s">
        <v>134</v>
      </c>
      <c r="K1109" s="146"/>
      <c r="Z1109" s="111">
        <f>IF(AQ1109="5",BJ1109,0)</f>
      </c>
      <c r="AB1109" s="111">
        <f>IF(AQ1109="1",BH1109,0)</f>
      </c>
      <c r="AC1109" s="111">
        <f>IF(AQ1109="1",BI1109,0)</f>
      </c>
      <c r="AD1109" s="111">
        <f>IF(AQ1109="7",BH1109,0)</f>
      </c>
      <c r="AE1109" s="111">
        <f>IF(AQ1109="7",BI1109,0)</f>
      </c>
      <c r="AF1109" s="111">
        <f>IF(AQ1109="2",BH1109,0)</f>
      </c>
      <c r="AG1109" s="111">
        <f>IF(AQ1109="2",BI1109,0)</f>
      </c>
      <c r="AH1109" s="111">
        <f>IF(AQ1109="0",BJ1109,0)</f>
      </c>
      <c r="AI1109" s="132" t="s">
        <v>84</v>
      </c>
      <c r="AJ1109" s="111">
        <f>IF(AN1109=0,I1109,0)</f>
      </c>
      <c r="AK1109" s="111">
        <f>IF(AN1109=12,I1109,0)</f>
      </c>
      <c r="AL1109" s="111">
        <f>IF(AN1109=21,I1109,0)</f>
      </c>
      <c r="AN1109" s="111" t="n">
        <v>21</v>
      </c>
      <c r="AO1109" s="111">
        <f>H1109*0</f>
      </c>
      <c r="AP1109" s="111">
        <f>H1109*(1-0)</f>
      </c>
      <c r="AQ1109" s="153" t="s">
        <v>156</v>
      </c>
      <c r="AV1109" s="111">
        <f>AW1109+AX1109</f>
      </c>
      <c r="AW1109" s="111">
        <f>G1109*AO1109</f>
      </c>
      <c r="AX1109" s="111">
        <f>G1109*AP1109</f>
      </c>
      <c r="AY1109" s="153" t="s">
        <v>1668</v>
      </c>
      <c r="AZ1109" s="153" t="s">
        <v>1620</v>
      </c>
      <c r="BA1109" s="132" t="s">
        <v>137</v>
      </c>
      <c r="BC1109" s="111">
        <f>AW1109+AX1109</f>
      </c>
      <c r="BD1109" s="111">
        <f>H1109/(100-BE1109)*100</f>
      </c>
      <c r="BE1109" s="111" t="n">
        <v>0</v>
      </c>
      <c r="BF1109" s="111">
        <f>1109</f>
      </c>
      <c r="BH1109" s="111">
        <f>G1109*AO1109</f>
      </c>
      <c r="BI1109" s="111">
        <f>G1109*AP1109</f>
      </c>
      <c r="BJ1109" s="111">
        <f>G1109*H1109</f>
      </c>
      <c r="BK1109" s="111"/>
      <c r="BL1109" s="111" t="n">
        <v>712</v>
      </c>
      <c r="BW1109" s="111" t="n">
        <v>21</v>
      </c>
      <c r="BX1109" s="14" t="s">
        <v>1846</v>
      </c>
    </row>
    <row r="1110">
      <c r="A1110" s="9" t="s">
        <v>1847</v>
      </c>
      <c r="B1110" s="10" t="s">
        <v>84</v>
      </c>
      <c r="C1110" s="10" t="s">
        <v>1848</v>
      </c>
      <c r="D1110" s="14" t="s">
        <v>1849</v>
      </c>
      <c r="E1110" s="10"/>
      <c r="F1110" s="10" t="s">
        <v>61</v>
      </c>
      <c r="G1110" s="111" t="n">
        <v>1.15</v>
      </c>
      <c r="H1110" s="152" t="n">
        <v>0</v>
      </c>
      <c r="I1110" s="111">
        <f>G1110*H1110</f>
      </c>
      <c r="J1110" s="153" t="s">
        <v>134</v>
      </c>
      <c r="K1110" s="146"/>
      <c r="Z1110" s="111">
        <f>IF(AQ1110="5",BJ1110,0)</f>
      </c>
      <c r="AB1110" s="111">
        <f>IF(AQ1110="1",BH1110,0)</f>
      </c>
      <c r="AC1110" s="111">
        <f>IF(AQ1110="1",BI1110,0)</f>
      </c>
      <c r="AD1110" s="111">
        <f>IF(AQ1110="7",BH1110,0)</f>
      </c>
      <c r="AE1110" s="111">
        <f>IF(AQ1110="7",BI1110,0)</f>
      </c>
      <c r="AF1110" s="111">
        <f>IF(AQ1110="2",BH1110,0)</f>
      </c>
      <c r="AG1110" s="111">
        <f>IF(AQ1110="2",BI1110,0)</f>
      </c>
      <c r="AH1110" s="111">
        <f>IF(AQ1110="0",BJ1110,0)</f>
      </c>
      <c r="AI1110" s="132" t="s">
        <v>84</v>
      </c>
      <c r="AJ1110" s="111">
        <f>IF(AN1110=0,I1110,0)</f>
      </c>
      <c r="AK1110" s="111">
        <f>IF(AN1110=12,I1110,0)</f>
      </c>
      <c r="AL1110" s="111">
        <f>IF(AN1110=21,I1110,0)</f>
      </c>
      <c r="AN1110" s="111" t="n">
        <v>21</v>
      </c>
      <c r="AO1110" s="111">
        <f>H1110*0</f>
      </c>
      <c r="AP1110" s="111">
        <f>H1110*(1-0)</f>
      </c>
      <c r="AQ1110" s="153" t="s">
        <v>156</v>
      </c>
      <c r="AV1110" s="111">
        <f>AW1110+AX1110</f>
      </c>
      <c r="AW1110" s="111">
        <f>G1110*AO1110</f>
      </c>
      <c r="AX1110" s="111">
        <f>G1110*AP1110</f>
      </c>
      <c r="AY1110" s="153" t="s">
        <v>1668</v>
      </c>
      <c r="AZ1110" s="153" t="s">
        <v>1620</v>
      </c>
      <c r="BA1110" s="132" t="s">
        <v>137</v>
      </c>
      <c r="BC1110" s="111">
        <f>AW1110+AX1110</f>
      </c>
      <c r="BD1110" s="111">
        <f>H1110/(100-BE1110)*100</f>
      </c>
      <c r="BE1110" s="111" t="n">
        <v>0</v>
      </c>
      <c r="BF1110" s="111">
        <f>1110</f>
      </c>
      <c r="BH1110" s="111">
        <f>G1110*AO1110</f>
      </c>
      <c r="BI1110" s="111">
        <f>G1110*AP1110</f>
      </c>
      <c r="BJ1110" s="111">
        <f>G1110*H1110</f>
      </c>
      <c r="BK1110" s="111"/>
      <c r="BL1110" s="111" t="n">
        <v>712</v>
      </c>
      <c r="BW1110" s="111" t="n">
        <v>21</v>
      </c>
      <c r="BX1110" s="14" t="s">
        <v>1849</v>
      </c>
    </row>
    <row r="1111">
      <c r="A1111" s="147" t="s">
        <v>4</v>
      </c>
      <c r="B1111" s="148" t="s">
        <v>84</v>
      </c>
      <c r="C1111" s="148" t="s">
        <v>1850</v>
      </c>
      <c r="D1111" s="149" t="s">
        <v>1851</v>
      </c>
      <c r="E1111" s="148"/>
      <c r="F1111" s="150" t="s">
        <v>79</v>
      </c>
      <c r="G1111" s="150" t="s">
        <v>79</v>
      </c>
      <c r="H1111" s="151" t="s">
        <v>79</v>
      </c>
      <c r="I1111" s="117">
        <f>SUM(I1112:I1187)</f>
      </c>
      <c r="J1111" s="132" t="s">
        <v>4</v>
      </c>
      <c r="K1111" s="146"/>
      <c r="AI1111" s="132" t="s">
        <v>84</v>
      </c>
      <c r="AS1111" s="117">
        <f>SUM(AJ1112:AJ1187)</f>
      </c>
      <c r="AT1111" s="117">
        <f>SUM(AK1112:AK1187)</f>
      </c>
      <c r="AU1111" s="117">
        <f>SUM(AL1112:AL1187)</f>
      </c>
    </row>
    <row r="1112">
      <c r="A1112" s="9" t="s">
        <v>1852</v>
      </c>
      <c r="B1112" s="10" t="s">
        <v>84</v>
      </c>
      <c r="C1112" s="10" t="s">
        <v>1853</v>
      </c>
      <c r="D1112" s="14" t="s">
        <v>1854</v>
      </c>
      <c r="E1112" s="10"/>
      <c r="F1112" s="10" t="s">
        <v>145</v>
      </c>
      <c r="G1112" s="111" t="n">
        <v>455.1</v>
      </c>
      <c r="H1112" s="152" t="n">
        <v>0</v>
      </c>
      <c r="I1112" s="111">
        <f>G1112*H1112</f>
      </c>
      <c r="J1112" s="153" t="s">
        <v>134</v>
      </c>
      <c r="K1112" s="146"/>
      <c r="Z1112" s="111">
        <f>IF(AQ1112="5",BJ1112,0)</f>
      </c>
      <c r="AB1112" s="111">
        <f>IF(AQ1112="1",BH1112,0)</f>
      </c>
      <c r="AC1112" s="111">
        <f>IF(AQ1112="1",BI1112,0)</f>
      </c>
      <c r="AD1112" s="111">
        <f>IF(AQ1112="7",BH1112,0)</f>
      </c>
      <c r="AE1112" s="111">
        <f>IF(AQ1112="7",BI1112,0)</f>
      </c>
      <c r="AF1112" s="111">
        <f>IF(AQ1112="2",BH1112,0)</f>
      </c>
      <c r="AG1112" s="111">
        <f>IF(AQ1112="2",BI1112,0)</f>
      </c>
      <c r="AH1112" s="111">
        <f>IF(AQ1112="0",BJ1112,0)</f>
      </c>
      <c r="AI1112" s="132" t="s">
        <v>84</v>
      </c>
      <c r="AJ1112" s="111">
        <f>IF(AN1112=0,I1112,0)</f>
      </c>
      <c r="AK1112" s="111">
        <f>IF(AN1112=12,I1112,0)</f>
      </c>
      <c r="AL1112" s="111">
        <f>IF(AN1112=21,I1112,0)</f>
      </c>
      <c r="AN1112" s="111" t="n">
        <v>21</v>
      </c>
      <c r="AO1112" s="111">
        <f>H1112*0</f>
      </c>
      <c r="AP1112" s="111">
        <f>H1112*(1-0)</f>
      </c>
      <c r="AQ1112" s="153" t="s">
        <v>173</v>
      </c>
      <c r="AV1112" s="111">
        <f>AW1112+AX1112</f>
      </c>
      <c r="AW1112" s="111">
        <f>G1112*AO1112</f>
      </c>
      <c r="AX1112" s="111">
        <f>G1112*AP1112</f>
      </c>
      <c r="AY1112" s="153" t="s">
        <v>1855</v>
      </c>
      <c r="AZ1112" s="153" t="s">
        <v>1620</v>
      </c>
      <c r="BA1112" s="132" t="s">
        <v>137</v>
      </c>
      <c r="BC1112" s="111">
        <f>AW1112+AX1112</f>
      </c>
      <c r="BD1112" s="111">
        <f>H1112/(100-BE1112)*100</f>
      </c>
      <c r="BE1112" s="111" t="n">
        <v>0</v>
      </c>
      <c r="BF1112" s="111">
        <f>1112</f>
      </c>
      <c r="BH1112" s="111">
        <f>G1112*AO1112</f>
      </c>
      <c r="BI1112" s="111">
        <f>G1112*AP1112</f>
      </c>
      <c r="BJ1112" s="111">
        <f>G1112*H1112</f>
      </c>
      <c r="BK1112" s="111"/>
      <c r="BL1112" s="111" t="n">
        <v>713</v>
      </c>
      <c r="BW1112" s="111" t="n">
        <v>21</v>
      </c>
      <c r="BX1112" s="14" t="s">
        <v>1854</v>
      </c>
    </row>
    <row r="1113" customHeight="true" ht="13.5">
      <c r="A1113" s="159"/>
      <c r="C1113" s="160" t="s">
        <v>146</v>
      </c>
      <c r="D1113" s="161" t="s">
        <v>1856</v>
      </c>
      <c r="E1113" s="156"/>
      <c r="F1113" s="156"/>
      <c r="G1113" s="156"/>
      <c r="H1113" s="162"/>
      <c r="I1113" s="156"/>
      <c r="J1113" s="156"/>
      <c r="K1113" s="163"/>
    </row>
    <row r="1114">
      <c r="A1114" s="154"/>
      <c r="B1114" s="155"/>
      <c r="C1114" s="155"/>
      <c r="D1114" s="156" t="s">
        <v>1251</v>
      </c>
      <c r="E1114" s="156" t="s">
        <v>1234</v>
      </c>
      <c r="F1114" s="155"/>
      <c r="G1114" s="157" t="n">
        <v>167.5</v>
      </c>
      <c r="H1114" s="158"/>
      <c r="I1114" s="155"/>
      <c r="J1114" s="155"/>
      <c r="K1114" s="146"/>
    </row>
    <row r="1115">
      <c r="A1115" s="154"/>
      <c r="B1115" s="155"/>
      <c r="C1115" s="155"/>
      <c r="D1115" s="156" t="s">
        <v>1252</v>
      </c>
      <c r="E1115" s="156" t="s">
        <v>1236</v>
      </c>
      <c r="F1115" s="155"/>
      <c r="G1115" s="157" t="n">
        <v>47.3</v>
      </c>
      <c r="H1115" s="158"/>
      <c r="I1115" s="155"/>
      <c r="J1115" s="155"/>
      <c r="K1115" s="146"/>
    </row>
    <row r="1116">
      <c r="A1116" s="154"/>
      <c r="B1116" s="155"/>
      <c r="C1116" s="155"/>
      <c r="D1116" s="156" t="s">
        <v>1253</v>
      </c>
      <c r="E1116" s="156" t="s">
        <v>1238</v>
      </c>
      <c r="F1116" s="155"/>
      <c r="G1116" s="157" t="n">
        <v>240.3</v>
      </c>
      <c r="H1116" s="158"/>
      <c r="I1116" s="155"/>
      <c r="J1116" s="155"/>
      <c r="K1116" s="146"/>
    </row>
    <row r="1117">
      <c r="A1117" s="9" t="s">
        <v>1857</v>
      </c>
      <c r="B1117" s="10" t="s">
        <v>84</v>
      </c>
      <c r="C1117" s="10" t="s">
        <v>1858</v>
      </c>
      <c r="D1117" s="14" t="s">
        <v>1859</v>
      </c>
      <c r="E1117" s="10"/>
      <c r="F1117" s="10" t="s">
        <v>159</v>
      </c>
      <c r="G1117" s="111" t="n">
        <v>116.91888</v>
      </c>
      <c r="H1117" s="152" t="n">
        <v>0</v>
      </c>
      <c r="I1117" s="111">
        <f>G1117*H1117</f>
      </c>
      <c r="J1117" s="153" t="s">
        <v>134</v>
      </c>
      <c r="K1117" s="146"/>
      <c r="Z1117" s="111">
        <f>IF(AQ1117="5",BJ1117,0)</f>
      </c>
      <c r="AB1117" s="111">
        <f>IF(AQ1117="1",BH1117,0)</f>
      </c>
      <c r="AC1117" s="111">
        <f>IF(AQ1117="1",BI1117,0)</f>
      </c>
      <c r="AD1117" s="111">
        <f>IF(AQ1117="7",BH1117,0)</f>
      </c>
      <c r="AE1117" s="111">
        <f>IF(AQ1117="7",BI1117,0)</f>
      </c>
      <c r="AF1117" s="111">
        <f>IF(AQ1117="2",BH1117,0)</f>
      </c>
      <c r="AG1117" s="111">
        <f>IF(AQ1117="2",BI1117,0)</f>
      </c>
      <c r="AH1117" s="111">
        <f>IF(AQ1117="0",BJ1117,0)</f>
      </c>
      <c r="AI1117" s="132" t="s">
        <v>84</v>
      </c>
      <c r="AJ1117" s="111">
        <f>IF(AN1117=0,I1117,0)</f>
      </c>
      <c r="AK1117" s="111">
        <f>IF(AN1117=12,I1117,0)</f>
      </c>
      <c r="AL1117" s="111">
        <f>IF(AN1117=21,I1117,0)</f>
      </c>
      <c r="AN1117" s="111" t="n">
        <v>21</v>
      </c>
      <c r="AO1117" s="111">
        <f>H1117*1</f>
      </c>
      <c r="AP1117" s="111">
        <f>H1117*(1-1)</f>
      </c>
      <c r="AQ1117" s="153" t="s">
        <v>173</v>
      </c>
      <c r="AV1117" s="111">
        <f>AW1117+AX1117</f>
      </c>
      <c r="AW1117" s="111">
        <f>G1117*AO1117</f>
      </c>
      <c r="AX1117" s="111">
        <f>G1117*AP1117</f>
      </c>
      <c r="AY1117" s="153" t="s">
        <v>1855</v>
      </c>
      <c r="AZ1117" s="153" t="s">
        <v>1620</v>
      </c>
      <c r="BA1117" s="132" t="s">
        <v>137</v>
      </c>
      <c r="BC1117" s="111">
        <f>AW1117+AX1117</f>
      </c>
      <c r="BD1117" s="111">
        <f>H1117/(100-BE1117)*100</f>
      </c>
      <c r="BE1117" s="111" t="n">
        <v>0</v>
      </c>
      <c r="BF1117" s="111">
        <f>1117</f>
      </c>
      <c r="BH1117" s="111">
        <f>G1117*AO1117</f>
      </c>
      <c r="BI1117" s="111">
        <f>G1117*AP1117</f>
      </c>
      <c r="BJ1117" s="111">
        <f>G1117*H1117</f>
      </c>
      <c r="BK1117" s="111"/>
      <c r="BL1117" s="111" t="n">
        <v>713</v>
      </c>
      <c r="BW1117" s="111" t="n">
        <v>21</v>
      </c>
      <c r="BX1117" s="14" t="s">
        <v>1859</v>
      </c>
    </row>
    <row r="1118">
      <c r="A1118" s="154"/>
      <c r="B1118" s="155"/>
      <c r="C1118" s="155"/>
      <c r="D1118" s="156" t="s">
        <v>1860</v>
      </c>
      <c r="E1118" s="156" t="s">
        <v>1234</v>
      </c>
      <c r="F1118" s="155"/>
      <c r="G1118" s="157" t="n">
        <v>23.45</v>
      </c>
      <c r="H1118" s="158"/>
      <c r="I1118" s="155"/>
      <c r="J1118" s="155"/>
      <c r="K1118" s="146"/>
    </row>
    <row r="1119">
      <c r="A1119" s="154"/>
      <c r="B1119" s="155"/>
      <c r="C1119" s="155"/>
      <c r="D1119" s="156" t="s">
        <v>1861</v>
      </c>
      <c r="E1119" s="156" t="s">
        <v>1236</v>
      </c>
      <c r="F1119" s="155"/>
      <c r="G1119" s="157" t="n">
        <v>6.622</v>
      </c>
      <c r="H1119" s="158"/>
      <c r="I1119" s="155"/>
      <c r="J1119" s="155"/>
      <c r="K1119" s="146"/>
    </row>
    <row r="1120">
      <c r="A1120" s="154"/>
      <c r="B1120" s="155"/>
      <c r="C1120" s="155"/>
      <c r="D1120" s="156" t="s">
        <v>1862</v>
      </c>
      <c r="E1120" s="156" t="s">
        <v>1238</v>
      </c>
      <c r="F1120" s="155"/>
      <c r="G1120" s="157" t="n">
        <v>24.03</v>
      </c>
      <c r="H1120" s="158"/>
      <c r="I1120" s="155"/>
      <c r="J1120" s="155"/>
      <c r="K1120" s="146"/>
    </row>
    <row r="1121">
      <c r="A1121" s="154"/>
      <c r="B1121" s="155"/>
      <c r="C1121" s="155"/>
      <c r="D1121" s="156" t="s">
        <v>1863</v>
      </c>
      <c r="E1121" s="156" t="s">
        <v>1864</v>
      </c>
      <c r="F1121" s="155"/>
      <c r="G1121" s="157" t="n">
        <v>53.333</v>
      </c>
      <c r="H1121" s="158"/>
      <c r="I1121" s="155"/>
      <c r="J1121" s="155"/>
      <c r="K1121" s="146"/>
    </row>
    <row r="1122">
      <c r="A1122" s="154"/>
      <c r="B1122" s="155"/>
      <c r="C1122" s="155"/>
      <c r="D1122" s="156" t="s">
        <v>1865</v>
      </c>
      <c r="E1122" s="156" t="s">
        <v>1866</v>
      </c>
      <c r="F1122" s="155"/>
      <c r="G1122" s="157" t="n">
        <v>4.987</v>
      </c>
      <c r="H1122" s="158"/>
      <c r="I1122" s="155"/>
      <c r="J1122" s="155"/>
      <c r="K1122" s="146"/>
    </row>
    <row r="1123">
      <c r="A1123" s="154"/>
      <c r="B1123" s="155"/>
      <c r="C1123" s="155"/>
      <c r="D1123" s="156" t="s">
        <v>1867</v>
      </c>
      <c r="E1123" s="156" t="s">
        <v>1868</v>
      </c>
      <c r="F1123" s="155"/>
      <c r="G1123" s="157" t="n">
        <v>4.49688</v>
      </c>
      <c r="H1123" s="158"/>
      <c r="I1123" s="155"/>
      <c r="J1123" s="155"/>
      <c r="K1123" s="146"/>
    </row>
    <row r="1124">
      <c r="A1124" s="9" t="s">
        <v>1869</v>
      </c>
      <c r="B1124" s="10" t="s">
        <v>84</v>
      </c>
      <c r="C1124" s="10" t="s">
        <v>1870</v>
      </c>
      <c r="D1124" s="14" t="s">
        <v>1871</v>
      </c>
      <c r="E1124" s="10"/>
      <c r="F1124" s="10" t="s">
        <v>145</v>
      </c>
      <c r="G1124" s="111" t="n">
        <v>589.126</v>
      </c>
      <c r="H1124" s="152" t="n">
        <v>0</v>
      </c>
      <c r="I1124" s="111">
        <f>G1124*H1124</f>
      </c>
      <c r="J1124" s="153" t="s">
        <v>134</v>
      </c>
      <c r="K1124" s="146"/>
      <c r="Z1124" s="111">
        <f>IF(AQ1124="5",BJ1124,0)</f>
      </c>
      <c r="AB1124" s="111">
        <f>IF(AQ1124="1",BH1124,0)</f>
      </c>
      <c r="AC1124" s="111">
        <f>IF(AQ1124="1",BI1124,0)</f>
      </c>
      <c r="AD1124" s="111">
        <f>IF(AQ1124="7",BH1124,0)</f>
      </c>
      <c r="AE1124" s="111">
        <f>IF(AQ1124="7",BI1124,0)</f>
      </c>
      <c r="AF1124" s="111">
        <f>IF(AQ1124="2",BH1124,0)</f>
      </c>
      <c r="AG1124" s="111">
        <f>IF(AQ1124="2",BI1124,0)</f>
      </c>
      <c r="AH1124" s="111">
        <f>IF(AQ1124="0",BJ1124,0)</f>
      </c>
      <c r="AI1124" s="132" t="s">
        <v>84</v>
      </c>
      <c r="AJ1124" s="111">
        <f>IF(AN1124=0,I1124,0)</f>
      </c>
      <c r="AK1124" s="111">
        <f>IF(AN1124=12,I1124,0)</f>
      </c>
      <c r="AL1124" s="111">
        <f>IF(AN1124=21,I1124,0)</f>
      </c>
      <c r="AN1124" s="111" t="n">
        <v>21</v>
      </c>
      <c r="AO1124" s="111">
        <f>H1124*0.211576865</f>
      </c>
      <c r="AP1124" s="111">
        <f>H1124*(1-0.211576865)</f>
      </c>
      <c r="AQ1124" s="153" t="s">
        <v>173</v>
      </c>
      <c r="AV1124" s="111">
        <f>AW1124+AX1124</f>
      </c>
      <c r="AW1124" s="111">
        <f>G1124*AO1124</f>
      </c>
      <c r="AX1124" s="111">
        <f>G1124*AP1124</f>
      </c>
      <c r="AY1124" s="153" t="s">
        <v>1855</v>
      </c>
      <c r="AZ1124" s="153" t="s">
        <v>1620</v>
      </c>
      <c r="BA1124" s="132" t="s">
        <v>137</v>
      </c>
      <c r="BC1124" s="111">
        <f>AW1124+AX1124</f>
      </c>
      <c r="BD1124" s="111">
        <f>H1124/(100-BE1124)*100</f>
      </c>
      <c r="BE1124" s="111" t="n">
        <v>0</v>
      </c>
      <c r="BF1124" s="111">
        <f>1124</f>
      </c>
      <c r="BH1124" s="111">
        <f>G1124*AO1124</f>
      </c>
      <c r="BI1124" s="111">
        <f>G1124*AP1124</f>
      </c>
      <c r="BJ1124" s="111">
        <f>G1124*H1124</f>
      </c>
      <c r="BK1124" s="111"/>
      <c r="BL1124" s="111" t="n">
        <v>713</v>
      </c>
      <c r="BW1124" s="111" t="n">
        <v>21</v>
      </c>
      <c r="BX1124" s="14" t="s">
        <v>1871</v>
      </c>
    </row>
    <row r="1125" customHeight="true" ht="13.5">
      <c r="A1125" s="159"/>
      <c r="C1125" s="160" t="s">
        <v>146</v>
      </c>
      <c r="D1125" s="161" t="s">
        <v>1872</v>
      </c>
      <c r="E1125" s="156"/>
      <c r="F1125" s="156"/>
      <c r="G1125" s="156"/>
      <c r="H1125" s="162"/>
      <c r="I1125" s="156"/>
      <c r="J1125" s="156"/>
      <c r="K1125" s="163"/>
    </row>
    <row r="1126">
      <c r="A1126" s="154"/>
      <c r="B1126" s="155"/>
      <c r="C1126" s="155"/>
      <c r="D1126" s="156" t="s">
        <v>892</v>
      </c>
      <c r="E1126" s="156" t="s">
        <v>1217</v>
      </c>
      <c r="F1126" s="155"/>
      <c r="G1126" s="157" t="n">
        <v>89.1</v>
      </c>
      <c r="H1126" s="158"/>
      <c r="I1126" s="155"/>
      <c r="J1126" s="155"/>
      <c r="K1126" s="146"/>
    </row>
    <row r="1127">
      <c r="A1127" s="154"/>
      <c r="B1127" s="155"/>
      <c r="C1127" s="155"/>
      <c r="D1127" s="156" t="s">
        <v>1250</v>
      </c>
      <c r="E1127" s="156" t="s">
        <v>1232</v>
      </c>
      <c r="F1127" s="155"/>
      <c r="G1127" s="157" t="n">
        <v>7.6</v>
      </c>
      <c r="H1127" s="158"/>
      <c r="I1127" s="155"/>
      <c r="J1127" s="155"/>
      <c r="K1127" s="146"/>
    </row>
    <row r="1128">
      <c r="A1128" s="154"/>
      <c r="B1128" s="155"/>
      <c r="C1128" s="155"/>
      <c r="D1128" s="156" t="s">
        <v>1873</v>
      </c>
      <c r="E1128" s="156" t="s">
        <v>1874</v>
      </c>
      <c r="F1128" s="155"/>
      <c r="G1128" s="157" t="n">
        <v>37.326</v>
      </c>
      <c r="H1128" s="158"/>
      <c r="I1128" s="155"/>
      <c r="J1128" s="155"/>
      <c r="K1128" s="146"/>
    </row>
    <row r="1129">
      <c r="A1129" s="154"/>
      <c r="B1129" s="155"/>
      <c r="C1129" s="155"/>
      <c r="D1129" s="156" t="s">
        <v>1251</v>
      </c>
      <c r="E1129" s="156" t="s">
        <v>1234</v>
      </c>
      <c r="F1129" s="155"/>
      <c r="G1129" s="157" t="n">
        <v>167.5</v>
      </c>
      <c r="H1129" s="158"/>
      <c r="I1129" s="155"/>
      <c r="J1129" s="155"/>
      <c r="K1129" s="146"/>
    </row>
    <row r="1130">
      <c r="A1130" s="154"/>
      <c r="B1130" s="155"/>
      <c r="C1130" s="155"/>
      <c r="D1130" s="156" t="s">
        <v>1252</v>
      </c>
      <c r="E1130" s="156" t="s">
        <v>1236</v>
      </c>
      <c r="F1130" s="155"/>
      <c r="G1130" s="157" t="n">
        <v>47.3</v>
      </c>
      <c r="H1130" s="158"/>
      <c r="I1130" s="155"/>
      <c r="J1130" s="155"/>
      <c r="K1130" s="146"/>
    </row>
    <row r="1131">
      <c r="A1131" s="154"/>
      <c r="B1131" s="155"/>
      <c r="C1131" s="155"/>
      <c r="D1131" s="156" t="s">
        <v>1253</v>
      </c>
      <c r="E1131" s="156" t="s">
        <v>1238</v>
      </c>
      <c r="F1131" s="155"/>
      <c r="G1131" s="157" t="n">
        <v>240.3</v>
      </c>
      <c r="H1131" s="158"/>
      <c r="I1131" s="155"/>
      <c r="J1131" s="155"/>
      <c r="K1131" s="146"/>
    </row>
    <row r="1132">
      <c r="A1132" s="9" t="s">
        <v>1875</v>
      </c>
      <c r="B1132" s="10" t="s">
        <v>84</v>
      </c>
      <c r="C1132" s="10" t="s">
        <v>1876</v>
      </c>
      <c r="D1132" s="14" t="s">
        <v>1877</v>
      </c>
      <c r="E1132" s="10"/>
      <c r="F1132" s="10" t="s">
        <v>282</v>
      </c>
      <c r="G1132" s="111" t="n">
        <v>614.36</v>
      </c>
      <c r="H1132" s="152" t="n">
        <v>0</v>
      </c>
      <c r="I1132" s="111">
        <f>G1132*H1132</f>
      </c>
      <c r="J1132" s="153" t="s">
        <v>134</v>
      </c>
      <c r="K1132" s="146"/>
      <c r="Z1132" s="111">
        <f>IF(AQ1132="5",BJ1132,0)</f>
      </c>
      <c r="AB1132" s="111">
        <f>IF(AQ1132="1",BH1132,0)</f>
      </c>
      <c r="AC1132" s="111">
        <f>IF(AQ1132="1",BI1132,0)</f>
      </c>
      <c r="AD1132" s="111">
        <f>IF(AQ1132="7",BH1132,0)</f>
      </c>
      <c r="AE1132" s="111">
        <f>IF(AQ1132="7",BI1132,0)</f>
      </c>
      <c r="AF1132" s="111">
        <f>IF(AQ1132="2",BH1132,0)</f>
      </c>
      <c r="AG1132" s="111">
        <f>IF(AQ1132="2",BI1132,0)</f>
      </c>
      <c r="AH1132" s="111">
        <f>IF(AQ1132="0",BJ1132,0)</f>
      </c>
      <c r="AI1132" s="132" t="s">
        <v>84</v>
      </c>
      <c r="AJ1132" s="111">
        <f>IF(AN1132=0,I1132,0)</f>
      </c>
      <c r="AK1132" s="111">
        <f>IF(AN1132=12,I1132,0)</f>
      </c>
      <c r="AL1132" s="111">
        <f>IF(AN1132=21,I1132,0)</f>
      </c>
      <c r="AN1132" s="111" t="n">
        <v>21</v>
      </c>
      <c r="AO1132" s="111">
        <f>H1132*0</f>
      </c>
      <c r="AP1132" s="111">
        <f>H1132*(1-0)</f>
      </c>
      <c r="AQ1132" s="153" t="s">
        <v>173</v>
      </c>
      <c r="AV1132" s="111">
        <f>AW1132+AX1132</f>
      </c>
      <c r="AW1132" s="111">
        <f>G1132*AO1132</f>
      </c>
      <c r="AX1132" s="111">
        <f>G1132*AP1132</f>
      </c>
      <c r="AY1132" s="153" t="s">
        <v>1855</v>
      </c>
      <c r="AZ1132" s="153" t="s">
        <v>1620</v>
      </c>
      <c r="BA1132" s="132" t="s">
        <v>137</v>
      </c>
      <c r="BC1132" s="111">
        <f>AW1132+AX1132</f>
      </c>
      <c r="BD1132" s="111">
        <f>H1132/(100-BE1132)*100</f>
      </c>
      <c r="BE1132" s="111" t="n">
        <v>0</v>
      </c>
      <c r="BF1132" s="111">
        <f>1132</f>
      </c>
      <c r="BH1132" s="111">
        <f>G1132*AO1132</f>
      </c>
      <c r="BI1132" s="111">
        <f>G1132*AP1132</f>
      </c>
      <c r="BJ1132" s="111">
        <f>G1132*H1132</f>
      </c>
      <c r="BK1132" s="111"/>
      <c r="BL1132" s="111" t="n">
        <v>713</v>
      </c>
      <c r="BW1132" s="111" t="n">
        <v>21</v>
      </c>
      <c r="BX1132" s="14" t="s">
        <v>1877</v>
      </c>
    </row>
    <row r="1133" customHeight="true" ht="13.5">
      <c r="A1133" s="159"/>
      <c r="C1133" s="160" t="s">
        <v>146</v>
      </c>
      <c r="D1133" s="161" t="s">
        <v>1856</v>
      </c>
      <c r="E1133" s="156"/>
      <c r="F1133" s="156"/>
      <c r="G1133" s="156"/>
      <c r="H1133" s="162"/>
      <c r="I1133" s="156"/>
      <c r="J1133" s="156"/>
      <c r="K1133" s="163"/>
    </row>
    <row r="1134">
      <c r="A1134" s="154"/>
      <c r="B1134" s="155"/>
      <c r="C1134" s="155"/>
      <c r="D1134" s="156" t="s">
        <v>1878</v>
      </c>
      <c r="E1134" s="156" t="s">
        <v>977</v>
      </c>
      <c r="F1134" s="155"/>
      <c r="G1134" s="157" t="n">
        <v>14.7</v>
      </c>
      <c r="H1134" s="158"/>
      <c r="I1134" s="155"/>
      <c r="J1134" s="155"/>
      <c r="K1134" s="146"/>
    </row>
    <row r="1135">
      <c r="A1135" s="154"/>
      <c r="B1135" s="155"/>
      <c r="C1135" s="155"/>
      <c r="D1135" s="156" t="s">
        <v>1879</v>
      </c>
      <c r="E1135" s="156" t="s">
        <v>596</v>
      </c>
      <c r="F1135" s="155"/>
      <c r="G1135" s="157" t="n">
        <v>36.5</v>
      </c>
      <c r="H1135" s="158"/>
      <c r="I1135" s="155"/>
      <c r="J1135" s="155"/>
      <c r="K1135" s="146"/>
    </row>
    <row r="1136">
      <c r="A1136" s="154"/>
      <c r="B1136" s="155"/>
      <c r="C1136" s="155"/>
      <c r="D1136" s="156" t="s">
        <v>1880</v>
      </c>
      <c r="E1136" s="156" t="s">
        <v>982</v>
      </c>
      <c r="F1136" s="155"/>
      <c r="G1136" s="157" t="n">
        <v>24.14</v>
      </c>
      <c r="H1136" s="158"/>
      <c r="I1136" s="155"/>
      <c r="J1136" s="155"/>
      <c r="K1136" s="146"/>
    </row>
    <row r="1137">
      <c r="A1137" s="154"/>
      <c r="B1137" s="155"/>
      <c r="C1137" s="155"/>
      <c r="D1137" s="156" t="s">
        <v>1881</v>
      </c>
      <c r="E1137" s="156" t="s">
        <v>862</v>
      </c>
      <c r="F1137" s="155"/>
      <c r="G1137" s="157" t="n">
        <v>11.66</v>
      </c>
      <c r="H1137" s="158"/>
      <c r="I1137" s="155"/>
      <c r="J1137" s="155"/>
      <c r="K1137" s="146"/>
    </row>
    <row r="1138">
      <c r="A1138" s="154"/>
      <c r="B1138" s="155"/>
      <c r="C1138" s="155"/>
      <c r="D1138" s="156" t="s">
        <v>1882</v>
      </c>
      <c r="E1138" s="156" t="s">
        <v>985</v>
      </c>
      <c r="F1138" s="155"/>
      <c r="G1138" s="157" t="n">
        <v>62</v>
      </c>
      <c r="H1138" s="158"/>
      <c r="I1138" s="155"/>
      <c r="J1138" s="155"/>
      <c r="K1138" s="146"/>
    </row>
    <row r="1139">
      <c r="A1139" s="154"/>
      <c r="B1139" s="155"/>
      <c r="C1139" s="155"/>
      <c r="D1139" s="156" t="s">
        <v>1883</v>
      </c>
      <c r="E1139" s="156" t="s">
        <v>987</v>
      </c>
      <c r="F1139" s="155"/>
      <c r="G1139" s="157" t="n">
        <v>17.12</v>
      </c>
      <c r="H1139" s="158"/>
      <c r="I1139" s="155"/>
      <c r="J1139" s="155"/>
      <c r="K1139" s="146"/>
    </row>
    <row r="1140">
      <c r="A1140" s="154"/>
      <c r="B1140" s="155"/>
      <c r="C1140" s="155"/>
      <c r="D1140" s="156" t="s">
        <v>1884</v>
      </c>
      <c r="E1140" s="156" t="s">
        <v>864</v>
      </c>
      <c r="F1140" s="155"/>
      <c r="G1140" s="157" t="n">
        <v>12.47</v>
      </c>
      <c r="H1140" s="158"/>
      <c r="I1140" s="155"/>
      <c r="J1140" s="155"/>
      <c r="K1140" s="146"/>
    </row>
    <row r="1141">
      <c r="A1141" s="154"/>
      <c r="B1141" s="155"/>
      <c r="C1141" s="155"/>
      <c r="D1141" s="156" t="s">
        <v>1885</v>
      </c>
      <c r="E1141" s="156" t="s">
        <v>997</v>
      </c>
      <c r="F1141" s="155"/>
      <c r="G1141" s="157" t="n">
        <v>14.88</v>
      </c>
      <c r="H1141" s="158"/>
      <c r="I1141" s="155"/>
      <c r="J1141" s="155"/>
      <c r="K1141" s="146"/>
    </row>
    <row r="1142">
      <c r="A1142" s="154"/>
      <c r="B1142" s="155"/>
      <c r="C1142" s="155"/>
      <c r="D1142" s="156" t="s">
        <v>1886</v>
      </c>
      <c r="E1142" s="156" t="s">
        <v>566</v>
      </c>
      <c r="F1142" s="155"/>
      <c r="G1142" s="157" t="n">
        <v>12.27</v>
      </c>
      <c r="H1142" s="158"/>
      <c r="I1142" s="155"/>
      <c r="J1142" s="155"/>
      <c r="K1142" s="146"/>
    </row>
    <row r="1143">
      <c r="A1143" s="154"/>
      <c r="B1143" s="155"/>
      <c r="C1143" s="155"/>
      <c r="D1143" s="156" t="s">
        <v>1887</v>
      </c>
      <c r="E1143" s="156" t="s">
        <v>1000</v>
      </c>
      <c r="F1143" s="155"/>
      <c r="G1143" s="157" t="n">
        <v>15.77</v>
      </c>
      <c r="H1143" s="158"/>
      <c r="I1143" s="155"/>
      <c r="J1143" s="155"/>
      <c r="K1143" s="146"/>
    </row>
    <row r="1144">
      <c r="A1144" s="154"/>
      <c r="B1144" s="155"/>
      <c r="C1144" s="155"/>
      <c r="D1144" s="156" t="s">
        <v>1888</v>
      </c>
      <c r="E1144" s="156" t="s">
        <v>865</v>
      </c>
      <c r="F1144" s="155"/>
      <c r="G1144" s="157" t="n">
        <v>8.1</v>
      </c>
      <c r="H1144" s="158"/>
      <c r="I1144" s="155"/>
      <c r="J1144" s="155"/>
      <c r="K1144" s="146"/>
    </row>
    <row r="1145">
      <c r="A1145" s="154"/>
      <c r="B1145" s="155"/>
      <c r="C1145" s="155"/>
      <c r="D1145" s="156" t="s">
        <v>1889</v>
      </c>
      <c r="E1145" s="156" t="s">
        <v>1030</v>
      </c>
      <c r="F1145" s="155"/>
      <c r="G1145" s="157" t="n">
        <v>7.8</v>
      </c>
      <c r="H1145" s="158"/>
      <c r="I1145" s="155"/>
      <c r="J1145" s="155"/>
      <c r="K1145" s="146"/>
    </row>
    <row r="1146">
      <c r="A1146" s="154"/>
      <c r="B1146" s="155"/>
      <c r="C1146" s="155"/>
      <c r="D1146" s="156" t="s">
        <v>1890</v>
      </c>
      <c r="E1146" s="156" t="s">
        <v>1032</v>
      </c>
      <c r="F1146" s="155"/>
      <c r="G1146" s="157" t="n">
        <v>11.28</v>
      </c>
      <c r="H1146" s="158"/>
      <c r="I1146" s="155"/>
      <c r="J1146" s="155"/>
      <c r="K1146" s="146"/>
    </row>
    <row r="1147">
      <c r="A1147" s="154"/>
      <c r="B1147" s="155"/>
      <c r="C1147" s="155"/>
      <c r="D1147" s="156" t="s">
        <v>1891</v>
      </c>
      <c r="E1147" s="156" t="s">
        <v>1034</v>
      </c>
      <c r="F1147" s="155"/>
      <c r="G1147" s="157" t="n">
        <v>5.52</v>
      </c>
      <c r="H1147" s="158"/>
      <c r="I1147" s="155"/>
      <c r="J1147" s="155"/>
      <c r="K1147" s="146"/>
    </row>
    <row r="1148">
      <c r="A1148" s="154"/>
      <c r="B1148" s="155"/>
      <c r="C1148" s="155"/>
      <c r="D1148" s="156" t="s">
        <v>1892</v>
      </c>
      <c r="E1148" s="156" t="s">
        <v>933</v>
      </c>
      <c r="F1148" s="155"/>
      <c r="G1148" s="157" t="n">
        <v>17.7</v>
      </c>
      <c r="H1148" s="158"/>
      <c r="I1148" s="155"/>
      <c r="J1148" s="155"/>
      <c r="K1148" s="146"/>
    </row>
    <row r="1149">
      <c r="A1149" s="154"/>
      <c r="B1149" s="155"/>
      <c r="C1149" s="155"/>
      <c r="D1149" s="156" t="s">
        <v>1893</v>
      </c>
      <c r="E1149" s="156" t="s">
        <v>1005</v>
      </c>
      <c r="F1149" s="155"/>
      <c r="G1149" s="157" t="n">
        <v>35.5</v>
      </c>
      <c r="H1149" s="158"/>
      <c r="I1149" s="155"/>
      <c r="J1149" s="155"/>
      <c r="K1149" s="146"/>
    </row>
    <row r="1150">
      <c r="A1150" s="154"/>
      <c r="B1150" s="155"/>
      <c r="C1150" s="155"/>
      <c r="D1150" s="156" t="s">
        <v>1894</v>
      </c>
      <c r="E1150" s="156" t="s">
        <v>1008</v>
      </c>
      <c r="F1150" s="155"/>
      <c r="G1150" s="157" t="n">
        <v>8.9</v>
      </c>
      <c r="H1150" s="158"/>
      <c r="I1150" s="155"/>
      <c r="J1150" s="155"/>
      <c r="K1150" s="146"/>
    </row>
    <row r="1151">
      <c r="A1151" s="154"/>
      <c r="B1151" s="155"/>
      <c r="C1151" s="155"/>
      <c r="D1151" s="156" t="s">
        <v>1894</v>
      </c>
      <c r="E1151" s="156" t="s">
        <v>1010</v>
      </c>
      <c r="F1151" s="155"/>
      <c r="G1151" s="157" t="n">
        <v>8.9</v>
      </c>
      <c r="H1151" s="158"/>
      <c r="I1151" s="155"/>
      <c r="J1151" s="155"/>
      <c r="K1151" s="146"/>
    </row>
    <row r="1152">
      <c r="A1152" s="154"/>
      <c r="B1152" s="155"/>
      <c r="C1152" s="155"/>
      <c r="D1152" s="156" t="s">
        <v>1895</v>
      </c>
      <c r="E1152" s="156" t="s">
        <v>1896</v>
      </c>
      <c r="F1152" s="155"/>
      <c r="G1152" s="157" t="n">
        <v>6</v>
      </c>
      <c r="H1152" s="158"/>
      <c r="I1152" s="155"/>
      <c r="J1152" s="155"/>
      <c r="K1152" s="146"/>
    </row>
    <row r="1153">
      <c r="A1153" s="154"/>
      <c r="B1153" s="155"/>
      <c r="C1153" s="155"/>
      <c r="D1153" s="156" t="s">
        <v>1818</v>
      </c>
      <c r="E1153" s="156" t="s">
        <v>1819</v>
      </c>
      <c r="F1153" s="155"/>
      <c r="G1153" s="157" t="n">
        <v>96.24</v>
      </c>
      <c r="H1153" s="158"/>
      <c r="I1153" s="155"/>
      <c r="J1153" s="155"/>
      <c r="K1153" s="146"/>
    </row>
    <row r="1154">
      <c r="A1154" s="154"/>
      <c r="B1154" s="155"/>
      <c r="C1154" s="155"/>
      <c r="D1154" s="156" t="s">
        <v>1811</v>
      </c>
      <c r="E1154" s="156" t="s">
        <v>1812</v>
      </c>
      <c r="F1154" s="155"/>
      <c r="G1154" s="157" t="n">
        <v>64.84</v>
      </c>
      <c r="H1154" s="158"/>
      <c r="I1154" s="155"/>
      <c r="J1154" s="155"/>
      <c r="K1154" s="146"/>
    </row>
    <row r="1155">
      <c r="A1155" s="154"/>
      <c r="B1155" s="155"/>
      <c r="C1155" s="155"/>
      <c r="D1155" s="156" t="s">
        <v>1813</v>
      </c>
      <c r="E1155" s="156" t="s">
        <v>1814</v>
      </c>
      <c r="F1155" s="155"/>
      <c r="G1155" s="157" t="n">
        <v>24.42</v>
      </c>
      <c r="H1155" s="158"/>
      <c r="I1155" s="155"/>
      <c r="J1155" s="155"/>
      <c r="K1155" s="146"/>
    </row>
    <row r="1156">
      <c r="A1156" s="154"/>
      <c r="B1156" s="155"/>
      <c r="C1156" s="155"/>
      <c r="D1156" s="156" t="s">
        <v>1810</v>
      </c>
      <c r="E1156" s="156" t="s">
        <v>1802</v>
      </c>
      <c r="F1156" s="155"/>
      <c r="G1156" s="157" t="n">
        <v>49.6</v>
      </c>
      <c r="H1156" s="158"/>
      <c r="I1156" s="155"/>
      <c r="J1156" s="155"/>
      <c r="K1156" s="146"/>
    </row>
    <row r="1157">
      <c r="A1157" s="154"/>
      <c r="B1157" s="155"/>
      <c r="C1157" s="155"/>
      <c r="D1157" s="156" t="s">
        <v>1897</v>
      </c>
      <c r="E1157" s="156" t="s">
        <v>989</v>
      </c>
      <c r="F1157" s="155"/>
      <c r="G1157" s="157" t="n">
        <v>15.88</v>
      </c>
      <c r="H1157" s="158"/>
      <c r="I1157" s="155"/>
      <c r="J1157" s="155"/>
      <c r="K1157" s="146"/>
    </row>
    <row r="1158">
      <c r="A1158" s="154"/>
      <c r="B1158" s="155"/>
      <c r="C1158" s="155"/>
      <c r="D1158" s="156" t="s">
        <v>1898</v>
      </c>
      <c r="E1158" s="156" t="s">
        <v>991</v>
      </c>
      <c r="F1158" s="155"/>
      <c r="G1158" s="157" t="n">
        <v>8.2</v>
      </c>
      <c r="H1158" s="158"/>
      <c r="I1158" s="155"/>
      <c r="J1158" s="155"/>
      <c r="K1158" s="146"/>
    </row>
    <row r="1159">
      <c r="A1159" s="154"/>
      <c r="B1159" s="155"/>
      <c r="C1159" s="155"/>
      <c r="D1159" s="156" t="s">
        <v>1899</v>
      </c>
      <c r="E1159" s="156" t="s">
        <v>993</v>
      </c>
      <c r="F1159" s="155"/>
      <c r="G1159" s="157" t="n">
        <v>9.55</v>
      </c>
      <c r="H1159" s="158"/>
      <c r="I1159" s="155"/>
      <c r="J1159" s="155"/>
      <c r="K1159" s="146"/>
    </row>
    <row r="1160">
      <c r="A1160" s="154"/>
      <c r="B1160" s="155"/>
      <c r="C1160" s="155"/>
      <c r="D1160" s="156" t="s">
        <v>1900</v>
      </c>
      <c r="E1160" s="156" t="s">
        <v>995</v>
      </c>
      <c r="F1160" s="155"/>
      <c r="G1160" s="157" t="n">
        <v>14.42</v>
      </c>
      <c r="H1160" s="158"/>
      <c r="I1160" s="155"/>
      <c r="J1160" s="155"/>
      <c r="K1160" s="146"/>
    </row>
    <row r="1161">
      <c r="A1161" s="9" t="s">
        <v>1901</v>
      </c>
      <c r="B1161" s="10" t="s">
        <v>84</v>
      </c>
      <c r="C1161" s="10" t="s">
        <v>1902</v>
      </c>
      <c r="D1161" s="14" t="s">
        <v>1903</v>
      </c>
      <c r="E1161" s="10"/>
      <c r="F1161" s="10" t="s">
        <v>282</v>
      </c>
      <c r="G1161" s="111" t="n">
        <v>675.796</v>
      </c>
      <c r="H1161" s="152" t="n">
        <v>0</v>
      </c>
      <c r="I1161" s="111">
        <f>G1161*H1161</f>
      </c>
      <c r="J1161" s="153" t="s">
        <v>134</v>
      </c>
      <c r="K1161" s="146"/>
      <c r="Z1161" s="111">
        <f>IF(AQ1161="5",BJ1161,0)</f>
      </c>
      <c r="AB1161" s="111">
        <f>IF(AQ1161="1",BH1161,0)</f>
      </c>
      <c r="AC1161" s="111">
        <f>IF(AQ1161="1",BI1161,0)</f>
      </c>
      <c r="AD1161" s="111">
        <f>IF(AQ1161="7",BH1161,0)</f>
      </c>
      <c r="AE1161" s="111">
        <f>IF(AQ1161="7",BI1161,0)</f>
      </c>
      <c r="AF1161" s="111">
        <f>IF(AQ1161="2",BH1161,0)</f>
      </c>
      <c r="AG1161" s="111">
        <f>IF(AQ1161="2",BI1161,0)</f>
      </c>
      <c r="AH1161" s="111">
        <f>IF(AQ1161="0",BJ1161,0)</f>
      </c>
      <c r="AI1161" s="132" t="s">
        <v>84</v>
      </c>
      <c r="AJ1161" s="111">
        <f>IF(AN1161=0,I1161,0)</f>
      </c>
      <c r="AK1161" s="111">
        <f>IF(AN1161=12,I1161,0)</f>
      </c>
      <c r="AL1161" s="111">
        <f>IF(AN1161=21,I1161,0)</f>
      </c>
      <c r="AN1161" s="111" t="n">
        <v>21</v>
      </c>
      <c r="AO1161" s="111">
        <f>H1161*1</f>
      </c>
      <c r="AP1161" s="111">
        <f>H1161*(1-1)</f>
      </c>
      <c r="AQ1161" s="153" t="s">
        <v>173</v>
      </c>
      <c r="AV1161" s="111">
        <f>AW1161+AX1161</f>
      </c>
      <c r="AW1161" s="111">
        <f>G1161*AO1161</f>
      </c>
      <c r="AX1161" s="111">
        <f>G1161*AP1161</f>
      </c>
      <c r="AY1161" s="153" t="s">
        <v>1855</v>
      </c>
      <c r="AZ1161" s="153" t="s">
        <v>1620</v>
      </c>
      <c r="BA1161" s="132" t="s">
        <v>137</v>
      </c>
      <c r="BC1161" s="111">
        <f>AW1161+AX1161</f>
      </c>
      <c r="BD1161" s="111">
        <f>H1161/(100-BE1161)*100</f>
      </c>
      <c r="BE1161" s="111" t="n">
        <v>0</v>
      </c>
      <c r="BF1161" s="111">
        <f>1161</f>
      </c>
      <c r="BH1161" s="111">
        <f>G1161*AO1161</f>
      </c>
      <c r="BI1161" s="111">
        <f>G1161*AP1161</f>
      </c>
      <c r="BJ1161" s="111">
        <f>G1161*H1161</f>
      </c>
      <c r="BK1161" s="111"/>
      <c r="BL1161" s="111" t="n">
        <v>713</v>
      </c>
      <c r="BW1161" s="111" t="n">
        <v>21</v>
      </c>
      <c r="BX1161" s="14" t="s">
        <v>1903</v>
      </c>
    </row>
    <row r="1162">
      <c r="A1162" s="154"/>
      <c r="B1162" s="155"/>
      <c r="C1162" s="155"/>
      <c r="D1162" s="156" t="s">
        <v>4</v>
      </c>
      <c r="E1162" s="156" t="s">
        <v>1904</v>
      </c>
      <c r="F1162" s="155"/>
      <c r="G1162" s="157" t="n">
        <v>0</v>
      </c>
      <c r="H1162" s="158"/>
      <c r="I1162" s="155"/>
      <c r="J1162" s="155"/>
      <c r="K1162" s="146"/>
    </row>
    <row r="1163">
      <c r="A1163" s="154"/>
      <c r="B1163" s="155"/>
      <c r="C1163" s="155"/>
      <c r="D1163" s="156" t="s">
        <v>1905</v>
      </c>
      <c r="E1163" s="156" t="s">
        <v>1906</v>
      </c>
      <c r="F1163" s="155"/>
      <c r="G1163" s="157" t="n">
        <v>614.36</v>
      </c>
      <c r="H1163" s="158"/>
      <c r="I1163" s="155"/>
      <c r="J1163" s="155"/>
      <c r="K1163" s="146"/>
    </row>
    <row r="1164">
      <c r="A1164" s="154"/>
      <c r="B1164" s="155"/>
      <c r="C1164" s="155"/>
      <c r="D1164" s="156" t="s">
        <v>1907</v>
      </c>
      <c r="E1164" s="156" t="s">
        <v>1730</v>
      </c>
      <c r="F1164" s="155"/>
      <c r="G1164" s="157" t="n">
        <v>61.436</v>
      </c>
      <c r="H1164" s="158"/>
      <c r="I1164" s="155"/>
      <c r="J1164" s="155"/>
      <c r="K1164" s="146"/>
    </row>
    <row r="1165">
      <c r="A1165" s="9" t="s">
        <v>1908</v>
      </c>
      <c r="B1165" s="10" t="s">
        <v>84</v>
      </c>
      <c r="C1165" s="10" t="s">
        <v>1909</v>
      </c>
      <c r="D1165" s="14" t="s">
        <v>1910</v>
      </c>
      <c r="E1165" s="10"/>
      <c r="F1165" s="10" t="s">
        <v>145</v>
      </c>
      <c r="G1165" s="111" t="n">
        <v>96.7</v>
      </c>
      <c r="H1165" s="152" t="n">
        <v>0</v>
      </c>
      <c r="I1165" s="111">
        <f>G1165*H1165</f>
      </c>
      <c r="J1165" s="153" t="s">
        <v>134</v>
      </c>
      <c r="K1165" s="146"/>
      <c r="Z1165" s="111">
        <f>IF(AQ1165="5",BJ1165,0)</f>
      </c>
      <c r="AB1165" s="111">
        <f>IF(AQ1165="1",BH1165,0)</f>
      </c>
      <c r="AC1165" s="111">
        <f>IF(AQ1165="1",BI1165,0)</f>
      </c>
      <c r="AD1165" s="111">
        <f>IF(AQ1165="7",BH1165,0)</f>
      </c>
      <c r="AE1165" s="111">
        <f>IF(AQ1165="7",BI1165,0)</f>
      </c>
      <c r="AF1165" s="111">
        <f>IF(AQ1165="2",BH1165,0)</f>
      </c>
      <c r="AG1165" s="111">
        <f>IF(AQ1165="2",BI1165,0)</f>
      </c>
      <c r="AH1165" s="111">
        <f>IF(AQ1165="0",BJ1165,0)</f>
      </c>
      <c r="AI1165" s="132" t="s">
        <v>84</v>
      </c>
      <c r="AJ1165" s="111">
        <f>IF(AN1165=0,I1165,0)</f>
      </c>
      <c r="AK1165" s="111">
        <f>IF(AN1165=12,I1165,0)</f>
      </c>
      <c r="AL1165" s="111">
        <f>IF(AN1165=21,I1165,0)</f>
      </c>
      <c r="AN1165" s="111" t="n">
        <v>21</v>
      </c>
      <c r="AO1165" s="111">
        <f>H1165*0.805995146</f>
      </c>
      <c r="AP1165" s="111">
        <f>H1165*(1-0.805995146)</f>
      </c>
      <c r="AQ1165" s="153" t="s">
        <v>173</v>
      </c>
      <c r="AV1165" s="111">
        <f>AW1165+AX1165</f>
      </c>
      <c r="AW1165" s="111">
        <f>G1165*AO1165</f>
      </c>
      <c r="AX1165" s="111">
        <f>G1165*AP1165</f>
      </c>
      <c r="AY1165" s="153" t="s">
        <v>1855</v>
      </c>
      <c r="AZ1165" s="153" t="s">
        <v>1620</v>
      </c>
      <c r="BA1165" s="132" t="s">
        <v>137</v>
      </c>
      <c r="BC1165" s="111">
        <f>AW1165+AX1165</f>
      </c>
      <c r="BD1165" s="111">
        <f>H1165/(100-BE1165)*100</f>
      </c>
      <c r="BE1165" s="111" t="n">
        <v>0</v>
      </c>
      <c r="BF1165" s="111">
        <f>1165</f>
      </c>
      <c r="BH1165" s="111">
        <f>G1165*AO1165</f>
      </c>
      <c r="BI1165" s="111">
        <f>G1165*AP1165</f>
      </c>
      <c r="BJ1165" s="111">
        <f>G1165*H1165</f>
      </c>
      <c r="BK1165" s="111"/>
      <c r="BL1165" s="111" t="n">
        <v>713</v>
      </c>
      <c r="BW1165" s="111" t="n">
        <v>21</v>
      </c>
      <c r="BX1165" s="14" t="s">
        <v>1910</v>
      </c>
    </row>
    <row r="1166" customHeight="true" ht="13.5">
      <c r="A1166" s="159"/>
      <c r="C1166" s="160" t="s">
        <v>146</v>
      </c>
      <c r="D1166" s="161" t="s">
        <v>1911</v>
      </c>
      <c r="E1166" s="156"/>
      <c r="F1166" s="156"/>
      <c r="G1166" s="156"/>
      <c r="H1166" s="162"/>
      <c r="I1166" s="156"/>
      <c r="J1166" s="156"/>
      <c r="K1166" s="163"/>
    </row>
    <row r="1167">
      <c r="A1167" s="154"/>
      <c r="B1167" s="155"/>
      <c r="C1167" s="155"/>
      <c r="D1167" s="156" t="s">
        <v>892</v>
      </c>
      <c r="E1167" s="156" t="s">
        <v>1217</v>
      </c>
      <c r="F1167" s="155"/>
      <c r="G1167" s="157" t="n">
        <v>89.1</v>
      </c>
      <c r="H1167" s="158"/>
      <c r="I1167" s="155"/>
      <c r="J1167" s="155"/>
      <c r="K1167" s="146"/>
    </row>
    <row r="1168">
      <c r="A1168" s="154"/>
      <c r="B1168" s="155"/>
      <c r="C1168" s="155"/>
      <c r="D1168" s="156" t="s">
        <v>1250</v>
      </c>
      <c r="E1168" s="156" t="s">
        <v>1232</v>
      </c>
      <c r="F1168" s="155"/>
      <c r="G1168" s="157" t="n">
        <v>7.6</v>
      </c>
      <c r="H1168" s="158"/>
      <c r="I1168" s="155"/>
      <c r="J1168" s="155"/>
      <c r="K1168" s="146"/>
    </row>
    <row r="1169">
      <c r="A1169" s="9" t="s">
        <v>1912</v>
      </c>
      <c r="B1169" s="10" t="s">
        <v>84</v>
      </c>
      <c r="C1169" s="10" t="s">
        <v>1913</v>
      </c>
      <c r="D1169" s="14" t="s">
        <v>1914</v>
      </c>
      <c r="E1169" s="10"/>
      <c r="F1169" s="10" t="s">
        <v>145</v>
      </c>
      <c r="G1169" s="111" t="n">
        <v>533.3286</v>
      </c>
      <c r="H1169" s="152" t="n">
        <v>0</v>
      </c>
      <c r="I1169" s="111">
        <f>G1169*H1169</f>
      </c>
      <c r="J1169" s="153" t="s">
        <v>134</v>
      </c>
      <c r="K1169" s="146"/>
      <c r="Z1169" s="111">
        <f>IF(AQ1169="5",BJ1169,0)</f>
      </c>
      <c r="AB1169" s="111">
        <f>IF(AQ1169="1",BH1169,0)</f>
      </c>
      <c r="AC1169" s="111">
        <f>IF(AQ1169="1",BI1169,0)</f>
      </c>
      <c r="AD1169" s="111">
        <f>IF(AQ1169="7",BH1169,0)</f>
      </c>
      <c r="AE1169" s="111">
        <f>IF(AQ1169="7",BI1169,0)</f>
      </c>
      <c r="AF1169" s="111">
        <f>IF(AQ1169="2",BH1169,0)</f>
      </c>
      <c r="AG1169" s="111">
        <f>IF(AQ1169="2",BI1169,0)</f>
      </c>
      <c r="AH1169" s="111">
        <f>IF(AQ1169="0",BJ1169,0)</f>
      </c>
      <c r="AI1169" s="132" t="s">
        <v>84</v>
      </c>
      <c r="AJ1169" s="111">
        <f>IF(AN1169=0,I1169,0)</f>
      </c>
      <c r="AK1169" s="111">
        <f>IF(AN1169=12,I1169,0)</f>
      </c>
      <c r="AL1169" s="111">
        <f>IF(AN1169=21,I1169,0)</f>
      </c>
      <c r="AN1169" s="111" t="n">
        <v>21</v>
      </c>
      <c r="AO1169" s="111">
        <f>H1169*0.333901726</f>
      </c>
      <c r="AP1169" s="111">
        <f>H1169*(1-0.333901726)</f>
      </c>
      <c r="AQ1169" s="153" t="s">
        <v>173</v>
      </c>
      <c r="AV1169" s="111">
        <f>AW1169+AX1169</f>
      </c>
      <c r="AW1169" s="111">
        <f>G1169*AO1169</f>
      </c>
      <c r="AX1169" s="111">
        <f>G1169*AP1169</f>
      </c>
      <c r="AY1169" s="153" t="s">
        <v>1855</v>
      </c>
      <c r="AZ1169" s="153" t="s">
        <v>1620</v>
      </c>
      <c r="BA1169" s="132" t="s">
        <v>137</v>
      </c>
      <c r="BC1169" s="111">
        <f>AW1169+AX1169</f>
      </c>
      <c r="BD1169" s="111">
        <f>H1169/(100-BE1169)*100</f>
      </c>
      <c r="BE1169" s="111" t="n">
        <v>0</v>
      </c>
      <c r="BF1169" s="111">
        <f>1169</f>
      </c>
      <c r="BH1169" s="111">
        <f>G1169*AO1169</f>
      </c>
      <c r="BI1169" s="111">
        <f>G1169*AP1169</f>
      </c>
      <c r="BJ1169" s="111">
        <f>G1169*H1169</f>
      </c>
      <c r="BK1169" s="111"/>
      <c r="BL1169" s="111" t="n">
        <v>713</v>
      </c>
      <c r="BW1169" s="111" t="n">
        <v>21</v>
      </c>
      <c r="BX1169" s="14" t="s">
        <v>1914</v>
      </c>
    </row>
    <row r="1170">
      <c r="A1170" s="154"/>
      <c r="B1170" s="155"/>
      <c r="C1170" s="155"/>
      <c r="D1170" s="156" t="s">
        <v>1684</v>
      </c>
      <c r="E1170" s="156" t="s">
        <v>1685</v>
      </c>
      <c r="F1170" s="155"/>
      <c r="G1170" s="157" t="n">
        <v>267.2286</v>
      </c>
      <c r="H1170" s="158"/>
      <c r="I1170" s="155"/>
      <c r="J1170" s="155"/>
      <c r="K1170" s="146"/>
    </row>
    <row r="1171">
      <c r="A1171" s="154"/>
      <c r="B1171" s="155"/>
      <c r="C1171" s="155"/>
      <c r="D1171" s="156" t="s">
        <v>1696</v>
      </c>
      <c r="E1171" s="156" t="s">
        <v>1697</v>
      </c>
      <c r="F1171" s="155"/>
      <c r="G1171" s="157" t="n">
        <v>144.6</v>
      </c>
      <c r="H1171" s="158"/>
      <c r="I1171" s="155"/>
      <c r="J1171" s="155"/>
      <c r="K1171" s="146"/>
    </row>
    <row r="1172">
      <c r="A1172" s="154"/>
      <c r="B1172" s="155"/>
      <c r="C1172" s="155"/>
      <c r="D1172" s="156" t="s">
        <v>1698</v>
      </c>
      <c r="E1172" s="156" t="s">
        <v>1699</v>
      </c>
      <c r="F1172" s="155"/>
      <c r="G1172" s="157" t="n">
        <v>121.5</v>
      </c>
      <c r="H1172" s="158"/>
      <c r="I1172" s="155"/>
      <c r="J1172" s="155"/>
      <c r="K1172" s="146"/>
    </row>
    <row r="1173">
      <c r="A1173" s="9" t="s">
        <v>1915</v>
      </c>
      <c r="B1173" s="10" t="s">
        <v>84</v>
      </c>
      <c r="C1173" s="10" t="s">
        <v>1916</v>
      </c>
      <c r="D1173" s="14" t="s">
        <v>1917</v>
      </c>
      <c r="E1173" s="10"/>
      <c r="F1173" s="10" t="s">
        <v>159</v>
      </c>
      <c r="G1173" s="111" t="n">
        <v>74.6662</v>
      </c>
      <c r="H1173" s="152" t="n">
        <v>0</v>
      </c>
      <c r="I1173" s="111">
        <f>G1173*H1173</f>
      </c>
      <c r="J1173" s="153" t="s">
        <v>134</v>
      </c>
      <c r="K1173" s="146"/>
      <c r="Z1173" s="111">
        <f>IF(AQ1173="5",BJ1173,0)</f>
      </c>
      <c r="AB1173" s="111">
        <f>IF(AQ1173="1",BH1173,0)</f>
      </c>
      <c r="AC1173" s="111">
        <f>IF(AQ1173="1",BI1173,0)</f>
      </c>
      <c r="AD1173" s="111">
        <f>IF(AQ1173="7",BH1173,0)</f>
      </c>
      <c r="AE1173" s="111">
        <f>IF(AQ1173="7",BI1173,0)</f>
      </c>
      <c r="AF1173" s="111">
        <f>IF(AQ1173="2",BH1173,0)</f>
      </c>
      <c r="AG1173" s="111">
        <f>IF(AQ1173="2",BI1173,0)</f>
      </c>
      <c r="AH1173" s="111">
        <f>IF(AQ1173="0",BJ1173,0)</f>
      </c>
      <c r="AI1173" s="132" t="s">
        <v>84</v>
      </c>
      <c r="AJ1173" s="111">
        <f>IF(AN1173=0,I1173,0)</f>
      </c>
      <c r="AK1173" s="111">
        <f>IF(AN1173=12,I1173,0)</f>
      </c>
      <c r="AL1173" s="111">
        <f>IF(AN1173=21,I1173,0)</f>
      </c>
      <c r="AN1173" s="111" t="n">
        <v>21</v>
      </c>
      <c r="AO1173" s="111">
        <f>H1173*1</f>
      </c>
      <c r="AP1173" s="111">
        <f>H1173*(1-1)</f>
      </c>
      <c r="AQ1173" s="153" t="s">
        <v>173</v>
      </c>
      <c r="AV1173" s="111">
        <f>AW1173+AX1173</f>
      </c>
      <c r="AW1173" s="111">
        <f>G1173*AO1173</f>
      </c>
      <c r="AX1173" s="111">
        <f>G1173*AP1173</f>
      </c>
      <c r="AY1173" s="153" t="s">
        <v>1855</v>
      </c>
      <c r="AZ1173" s="153" t="s">
        <v>1620</v>
      </c>
      <c r="BA1173" s="132" t="s">
        <v>137</v>
      </c>
      <c r="BC1173" s="111">
        <f>AW1173+AX1173</f>
      </c>
      <c r="BD1173" s="111">
        <f>H1173/(100-BE1173)*100</f>
      </c>
      <c r="BE1173" s="111" t="n">
        <v>0</v>
      </c>
      <c r="BF1173" s="111">
        <f>1173</f>
      </c>
      <c r="BH1173" s="111">
        <f>G1173*AO1173</f>
      </c>
      <c r="BI1173" s="111">
        <f>G1173*AP1173</f>
      </c>
      <c r="BJ1173" s="111">
        <f>G1173*H1173</f>
      </c>
      <c r="BK1173" s="111"/>
      <c r="BL1173" s="111" t="n">
        <v>713</v>
      </c>
      <c r="BW1173" s="111" t="n">
        <v>21</v>
      </c>
      <c r="BX1173" s="14" t="s">
        <v>1917</v>
      </c>
    </row>
    <row r="1174">
      <c r="A1174" s="154"/>
      <c r="B1174" s="155"/>
      <c r="C1174" s="155"/>
      <c r="D1174" s="156" t="s">
        <v>1863</v>
      </c>
      <c r="E1174" s="156" t="s">
        <v>1267</v>
      </c>
      <c r="F1174" s="155"/>
      <c r="G1174" s="157" t="n">
        <v>53.333</v>
      </c>
      <c r="H1174" s="158"/>
      <c r="I1174" s="155"/>
      <c r="J1174" s="155"/>
      <c r="K1174" s="146"/>
    </row>
    <row r="1175">
      <c r="A1175" s="154"/>
      <c r="B1175" s="155"/>
      <c r="C1175" s="155"/>
      <c r="D1175" s="156" t="s">
        <v>1918</v>
      </c>
      <c r="E1175" s="156" t="s">
        <v>1868</v>
      </c>
      <c r="F1175" s="155"/>
      <c r="G1175" s="157" t="n">
        <v>21.3332</v>
      </c>
      <c r="H1175" s="158"/>
      <c r="I1175" s="155"/>
      <c r="J1175" s="155"/>
      <c r="K1175" s="146"/>
    </row>
    <row r="1176">
      <c r="A1176" s="9" t="s">
        <v>1919</v>
      </c>
      <c r="B1176" s="10" t="s">
        <v>84</v>
      </c>
      <c r="C1176" s="10" t="s">
        <v>1920</v>
      </c>
      <c r="D1176" s="14" t="s">
        <v>1921</v>
      </c>
      <c r="E1176" s="10"/>
      <c r="F1176" s="10" t="s">
        <v>145</v>
      </c>
      <c r="G1176" s="111" t="n">
        <v>48.12</v>
      </c>
      <c r="H1176" s="152" t="n">
        <v>0</v>
      </c>
      <c r="I1176" s="111">
        <f>G1176*H1176</f>
      </c>
      <c r="J1176" s="153" t="s">
        <v>134</v>
      </c>
      <c r="K1176" s="146"/>
      <c r="Z1176" s="111">
        <f>IF(AQ1176="5",BJ1176,0)</f>
      </c>
      <c r="AB1176" s="111">
        <f>IF(AQ1176="1",BH1176,0)</f>
      </c>
      <c r="AC1176" s="111">
        <f>IF(AQ1176="1",BI1176,0)</f>
      </c>
      <c r="AD1176" s="111">
        <f>IF(AQ1176="7",BH1176,0)</f>
      </c>
      <c r="AE1176" s="111">
        <f>IF(AQ1176="7",BI1176,0)</f>
      </c>
      <c r="AF1176" s="111">
        <f>IF(AQ1176="2",BH1176,0)</f>
      </c>
      <c r="AG1176" s="111">
        <f>IF(AQ1176="2",BI1176,0)</f>
      </c>
      <c r="AH1176" s="111">
        <f>IF(AQ1176="0",BJ1176,0)</f>
      </c>
      <c r="AI1176" s="132" t="s">
        <v>84</v>
      </c>
      <c r="AJ1176" s="111">
        <f>IF(AN1176=0,I1176,0)</f>
      </c>
      <c r="AK1176" s="111">
        <f>IF(AN1176=12,I1176,0)</f>
      </c>
      <c r="AL1176" s="111">
        <f>IF(AN1176=21,I1176,0)</f>
      </c>
      <c r="AN1176" s="111" t="n">
        <v>21</v>
      </c>
      <c r="AO1176" s="111">
        <f>H1176*0.091883925</f>
      </c>
      <c r="AP1176" s="111">
        <f>H1176*(1-0.091883925)</f>
      </c>
      <c r="AQ1176" s="153" t="s">
        <v>173</v>
      </c>
      <c r="AV1176" s="111">
        <f>AW1176+AX1176</f>
      </c>
      <c r="AW1176" s="111">
        <f>G1176*AO1176</f>
      </c>
      <c r="AX1176" s="111">
        <f>G1176*AP1176</f>
      </c>
      <c r="AY1176" s="153" t="s">
        <v>1855</v>
      </c>
      <c r="AZ1176" s="153" t="s">
        <v>1620</v>
      </c>
      <c r="BA1176" s="132" t="s">
        <v>137</v>
      </c>
      <c r="BC1176" s="111">
        <f>AW1176+AX1176</f>
      </c>
      <c r="BD1176" s="111">
        <f>H1176/(100-BE1176)*100</f>
      </c>
      <c r="BE1176" s="111" t="n">
        <v>0</v>
      </c>
      <c r="BF1176" s="111">
        <f>1176</f>
      </c>
      <c r="BH1176" s="111">
        <f>G1176*AO1176</f>
      </c>
      <c r="BI1176" s="111">
        <f>G1176*AP1176</f>
      </c>
      <c r="BJ1176" s="111">
        <f>G1176*H1176</f>
      </c>
      <c r="BK1176" s="111"/>
      <c r="BL1176" s="111" t="n">
        <v>713</v>
      </c>
      <c r="BW1176" s="111" t="n">
        <v>21</v>
      </c>
      <c r="BX1176" s="14" t="s">
        <v>1921</v>
      </c>
    </row>
    <row r="1177" customHeight="true" ht="13.5">
      <c r="A1177" s="159"/>
      <c r="C1177" s="160" t="s">
        <v>146</v>
      </c>
      <c r="D1177" s="161" t="s">
        <v>1020</v>
      </c>
      <c r="E1177" s="156"/>
      <c r="F1177" s="156"/>
      <c r="G1177" s="156"/>
      <c r="H1177" s="162"/>
      <c r="I1177" s="156"/>
      <c r="J1177" s="156"/>
      <c r="K1177" s="163"/>
    </row>
    <row r="1178">
      <c r="A1178" s="154"/>
      <c r="B1178" s="155"/>
      <c r="C1178" s="155"/>
      <c r="D1178" s="156" t="s">
        <v>1922</v>
      </c>
      <c r="E1178" s="156" t="s">
        <v>1923</v>
      </c>
      <c r="F1178" s="155"/>
      <c r="G1178" s="157" t="n">
        <v>48.12</v>
      </c>
      <c r="H1178" s="158"/>
      <c r="I1178" s="155"/>
      <c r="J1178" s="155"/>
      <c r="K1178" s="146"/>
    </row>
    <row r="1179">
      <c r="A1179" s="9" t="s">
        <v>1924</v>
      </c>
      <c r="B1179" s="10" t="s">
        <v>84</v>
      </c>
      <c r="C1179" s="10" t="s">
        <v>1925</v>
      </c>
      <c r="D1179" s="14" t="s">
        <v>1926</v>
      </c>
      <c r="E1179" s="10"/>
      <c r="F1179" s="10" t="s">
        <v>145</v>
      </c>
      <c r="G1179" s="111" t="n">
        <v>49.87</v>
      </c>
      <c r="H1179" s="152" t="n">
        <v>0</v>
      </c>
      <c r="I1179" s="111">
        <f>G1179*H1179</f>
      </c>
      <c r="J1179" s="153" t="s">
        <v>134</v>
      </c>
      <c r="K1179" s="146"/>
      <c r="Z1179" s="111">
        <f>IF(AQ1179="5",BJ1179,0)</f>
      </c>
      <c r="AB1179" s="111">
        <f>IF(AQ1179="1",BH1179,0)</f>
      </c>
      <c r="AC1179" s="111">
        <f>IF(AQ1179="1",BI1179,0)</f>
      </c>
      <c r="AD1179" s="111">
        <f>IF(AQ1179="7",BH1179,0)</f>
      </c>
      <c r="AE1179" s="111">
        <f>IF(AQ1179="7",BI1179,0)</f>
      </c>
      <c r="AF1179" s="111">
        <f>IF(AQ1179="2",BH1179,0)</f>
      </c>
      <c r="AG1179" s="111">
        <f>IF(AQ1179="2",BI1179,0)</f>
      </c>
      <c r="AH1179" s="111">
        <f>IF(AQ1179="0",BJ1179,0)</f>
      </c>
      <c r="AI1179" s="132" t="s">
        <v>84</v>
      </c>
      <c r="AJ1179" s="111">
        <f>IF(AN1179=0,I1179,0)</f>
      </c>
      <c r="AK1179" s="111">
        <f>IF(AN1179=12,I1179,0)</f>
      </c>
      <c r="AL1179" s="111">
        <f>IF(AN1179=21,I1179,0)</f>
      </c>
      <c r="AN1179" s="111" t="n">
        <v>21</v>
      </c>
      <c r="AO1179" s="111">
        <f>H1179*0.349484392</f>
      </c>
      <c r="AP1179" s="111">
        <f>H1179*(1-0.349484392)</f>
      </c>
      <c r="AQ1179" s="153" t="s">
        <v>173</v>
      </c>
      <c r="AV1179" s="111">
        <f>AW1179+AX1179</f>
      </c>
      <c r="AW1179" s="111">
        <f>G1179*AO1179</f>
      </c>
      <c r="AX1179" s="111">
        <f>G1179*AP1179</f>
      </c>
      <c r="AY1179" s="153" t="s">
        <v>1855</v>
      </c>
      <c r="AZ1179" s="153" t="s">
        <v>1620</v>
      </c>
      <c r="BA1179" s="132" t="s">
        <v>137</v>
      </c>
      <c r="BC1179" s="111">
        <f>AW1179+AX1179</f>
      </c>
      <c r="BD1179" s="111">
        <f>H1179/(100-BE1179)*100</f>
      </c>
      <c r="BE1179" s="111" t="n">
        <v>0</v>
      </c>
      <c r="BF1179" s="111">
        <f>1179</f>
      </c>
      <c r="BH1179" s="111">
        <f>G1179*AO1179</f>
      </c>
      <c r="BI1179" s="111">
        <f>G1179*AP1179</f>
      </c>
      <c r="BJ1179" s="111">
        <f>G1179*H1179</f>
      </c>
      <c r="BK1179" s="111"/>
      <c r="BL1179" s="111" t="n">
        <v>713</v>
      </c>
      <c r="BW1179" s="111" t="n">
        <v>21</v>
      </c>
      <c r="BX1179" s="14" t="s">
        <v>1926</v>
      </c>
    </row>
    <row r="1180" customHeight="true" ht="13.5">
      <c r="A1180" s="159"/>
      <c r="C1180" s="160" t="s">
        <v>146</v>
      </c>
      <c r="D1180" s="161" t="s">
        <v>1927</v>
      </c>
      <c r="E1180" s="156"/>
      <c r="F1180" s="156"/>
      <c r="G1180" s="156"/>
      <c r="H1180" s="162"/>
      <c r="I1180" s="156"/>
      <c r="J1180" s="156"/>
      <c r="K1180" s="163"/>
    </row>
    <row r="1181">
      <c r="A1181" s="154"/>
      <c r="B1181" s="155"/>
      <c r="C1181" s="155"/>
      <c r="D1181" s="156" t="s">
        <v>1928</v>
      </c>
      <c r="E1181" s="156" t="s">
        <v>1929</v>
      </c>
      <c r="F1181" s="155"/>
      <c r="G1181" s="157" t="n">
        <v>25.81</v>
      </c>
      <c r="H1181" s="158"/>
      <c r="I1181" s="155"/>
      <c r="J1181" s="155"/>
      <c r="K1181" s="146"/>
    </row>
    <row r="1182">
      <c r="A1182" s="154"/>
      <c r="B1182" s="155"/>
      <c r="C1182" s="155"/>
      <c r="D1182" s="156" t="s">
        <v>1930</v>
      </c>
      <c r="E1182" s="156" t="s">
        <v>1931</v>
      </c>
      <c r="F1182" s="155"/>
      <c r="G1182" s="157" t="n">
        <v>24.06</v>
      </c>
      <c r="H1182" s="158"/>
      <c r="I1182" s="155"/>
      <c r="J1182" s="155"/>
      <c r="K1182" s="146"/>
    </row>
    <row r="1183">
      <c r="A1183" s="9" t="s">
        <v>1932</v>
      </c>
      <c r="B1183" s="10" t="s">
        <v>84</v>
      </c>
      <c r="C1183" s="10" t="s">
        <v>1933</v>
      </c>
      <c r="D1183" s="14" t="s">
        <v>1934</v>
      </c>
      <c r="E1183" s="10"/>
      <c r="F1183" s="10" t="s">
        <v>145</v>
      </c>
      <c r="G1183" s="111" t="n">
        <v>39.02</v>
      </c>
      <c r="H1183" s="152" t="n">
        <v>0</v>
      </c>
      <c r="I1183" s="111">
        <f>G1183*H1183</f>
      </c>
      <c r="J1183" s="153" t="s">
        <v>134</v>
      </c>
      <c r="K1183" s="146"/>
      <c r="Z1183" s="111">
        <f>IF(AQ1183="5",BJ1183,0)</f>
      </c>
      <c r="AB1183" s="111">
        <f>IF(AQ1183="1",BH1183,0)</f>
      </c>
      <c r="AC1183" s="111">
        <f>IF(AQ1183="1",BI1183,0)</f>
      </c>
      <c r="AD1183" s="111">
        <f>IF(AQ1183="7",BH1183,0)</f>
      </c>
      <c r="AE1183" s="111">
        <f>IF(AQ1183="7",BI1183,0)</f>
      </c>
      <c r="AF1183" s="111">
        <f>IF(AQ1183="2",BH1183,0)</f>
      </c>
      <c r="AG1183" s="111">
        <f>IF(AQ1183="2",BI1183,0)</f>
      </c>
      <c r="AH1183" s="111">
        <f>IF(AQ1183="0",BJ1183,0)</f>
      </c>
      <c r="AI1183" s="132" t="s">
        <v>84</v>
      </c>
      <c r="AJ1183" s="111">
        <f>IF(AN1183=0,I1183,0)</f>
      </c>
      <c r="AK1183" s="111">
        <f>IF(AN1183=12,I1183,0)</f>
      </c>
      <c r="AL1183" s="111">
        <f>IF(AN1183=21,I1183,0)</f>
      </c>
      <c r="AN1183" s="111" t="n">
        <v>21</v>
      </c>
      <c r="AO1183" s="111">
        <f>H1183*0.316059113</f>
      </c>
      <c r="AP1183" s="111">
        <f>H1183*(1-0.316059113)</f>
      </c>
      <c r="AQ1183" s="153" t="s">
        <v>173</v>
      </c>
      <c r="AV1183" s="111">
        <f>AW1183+AX1183</f>
      </c>
      <c r="AW1183" s="111">
        <f>G1183*AO1183</f>
      </c>
      <c r="AX1183" s="111">
        <f>G1183*AP1183</f>
      </c>
      <c r="AY1183" s="153" t="s">
        <v>1855</v>
      </c>
      <c r="AZ1183" s="153" t="s">
        <v>1620</v>
      </c>
      <c r="BA1183" s="132" t="s">
        <v>137</v>
      </c>
      <c r="BC1183" s="111">
        <f>AW1183+AX1183</f>
      </c>
      <c r="BD1183" s="111">
        <f>H1183/(100-BE1183)*100</f>
      </c>
      <c r="BE1183" s="111" t="n">
        <v>0</v>
      </c>
      <c r="BF1183" s="111">
        <f>1183</f>
      </c>
      <c r="BH1183" s="111">
        <f>G1183*AO1183</f>
      </c>
      <c r="BI1183" s="111">
        <f>G1183*AP1183</f>
      </c>
      <c r="BJ1183" s="111">
        <f>G1183*H1183</f>
      </c>
      <c r="BK1183" s="111"/>
      <c r="BL1183" s="111" t="n">
        <v>713</v>
      </c>
      <c r="BW1183" s="111" t="n">
        <v>21</v>
      </c>
      <c r="BX1183" s="14" t="s">
        <v>1934</v>
      </c>
    </row>
    <row r="1184" customHeight="true" ht="13.5">
      <c r="A1184" s="159"/>
      <c r="C1184" s="160" t="s">
        <v>146</v>
      </c>
      <c r="D1184" s="161" t="s">
        <v>1935</v>
      </c>
      <c r="E1184" s="156"/>
      <c r="F1184" s="156"/>
      <c r="G1184" s="156"/>
      <c r="H1184" s="162"/>
      <c r="I1184" s="156"/>
      <c r="J1184" s="156"/>
      <c r="K1184" s="163"/>
    </row>
    <row r="1185">
      <c r="A1185" s="154"/>
      <c r="B1185" s="155"/>
      <c r="C1185" s="155"/>
      <c r="D1185" s="156" t="s">
        <v>1936</v>
      </c>
      <c r="E1185" s="156" t="s">
        <v>1937</v>
      </c>
      <c r="F1185" s="155"/>
      <c r="G1185" s="157" t="n">
        <v>39.02</v>
      </c>
      <c r="H1185" s="158"/>
      <c r="I1185" s="155"/>
      <c r="J1185" s="155"/>
      <c r="K1185" s="146"/>
    </row>
    <row r="1186">
      <c r="A1186" s="9" t="s">
        <v>1938</v>
      </c>
      <c r="B1186" s="10" t="s">
        <v>84</v>
      </c>
      <c r="C1186" s="10" t="s">
        <v>1939</v>
      </c>
      <c r="D1186" s="14" t="s">
        <v>1940</v>
      </c>
      <c r="E1186" s="10"/>
      <c r="F1186" s="10" t="s">
        <v>61</v>
      </c>
      <c r="G1186" s="111" t="n">
        <v>1.25</v>
      </c>
      <c r="H1186" s="152" t="n">
        <v>0</v>
      </c>
      <c r="I1186" s="111">
        <f>G1186*H1186</f>
      </c>
      <c r="J1186" s="153" t="s">
        <v>134</v>
      </c>
      <c r="K1186" s="146"/>
      <c r="Z1186" s="111">
        <f>IF(AQ1186="5",BJ1186,0)</f>
      </c>
      <c r="AB1186" s="111">
        <f>IF(AQ1186="1",BH1186,0)</f>
      </c>
      <c r="AC1186" s="111">
        <f>IF(AQ1186="1",BI1186,0)</f>
      </c>
      <c r="AD1186" s="111">
        <f>IF(AQ1186="7",BH1186,0)</f>
      </c>
      <c r="AE1186" s="111">
        <f>IF(AQ1186="7",BI1186,0)</f>
      </c>
      <c r="AF1186" s="111">
        <f>IF(AQ1186="2",BH1186,0)</f>
      </c>
      <c r="AG1186" s="111">
        <f>IF(AQ1186="2",BI1186,0)</f>
      </c>
      <c r="AH1186" s="111">
        <f>IF(AQ1186="0",BJ1186,0)</f>
      </c>
      <c r="AI1186" s="132" t="s">
        <v>84</v>
      </c>
      <c r="AJ1186" s="111">
        <f>IF(AN1186=0,I1186,0)</f>
      </c>
      <c r="AK1186" s="111">
        <f>IF(AN1186=12,I1186,0)</f>
      </c>
      <c r="AL1186" s="111">
        <f>IF(AN1186=21,I1186,0)</f>
      </c>
      <c r="AN1186" s="111" t="n">
        <v>21</v>
      </c>
      <c r="AO1186" s="111">
        <f>H1186*0</f>
      </c>
      <c r="AP1186" s="111">
        <f>H1186*(1-0)</f>
      </c>
      <c r="AQ1186" s="153" t="s">
        <v>156</v>
      </c>
      <c r="AV1186" s="111">
        <f>AW1186+AX1186</f>
      </c>
      <c r="AW1186" s="111">
        <f>G1186*AO1186</f>
      </c>
      <c r="AX1186" s="111">
        <f>G1186*AP1186</f>
      </c>
      <c r="AY1186" s="153" t="s">
        <v>1855</v>
      </c>
      <c r="AZ1186" s="153" t="s">
        <v>1620</v>
      </c>
      <c r="BA1186" s="132" t="s">
        <v>137</v>
      </c>
      <c r="BC1186" s="111">
        <f>AW1186+AX1186</f>
      </c>
      <c r="BD1186" s="111">
        <f>H1186/(100-BE1186)*100</f>
      </c>
      <c r="BE1186" s="111" t="n">
        <v>0</v>
      </c>
      <c r="BF1186" s="111">
        <f>1186</f>
      </c>
      <c r="BH1186" s="111">
        <f>G1186*AO1186</f>
      </c>
      <c r="BI1186" s="111">
        <f>G1186*AP1186</f>
      </c>
      <c r="BJ1186" s="111">
        <f>G1186*H1186</f>
      </c>
      <c r="BK1186" s="111"/>
      <c r="BL1186" s="111" t="n">
        <v>713</v>
      </c>
      <c r="BW1186" s="111" t="n">
        <v>21</v>
      </c>
      <c r="BX1186" s="14" t="s">
        <v>1940</v>
      </c>
    </row>
    <row r="1187">
      <c r="A1187" s="9" t="s">
        <v>1941</v>
      </c>
      <c r="B1187" s="10" t="s">
        <v>84</v>
      </c>
      <c r="C1187" s="10" t="s">
        <v>1942</v>
      </c>
      <c r="D1187" s="14" t="s">
        <v>1943</v>
      </c>
      <c r="E1187" s="10"/>
      <c r="F1187" s="10" t="s">
        <v>61</v>
      </c>
      <c r="G1187" s="111" t="n">
        <v>2.45</v>
      </c>
      <c r="H1187" s="152" t="n">
        <v>0</v>
      </c>
      <c r="I1187" s="111">
        <f>G1187*H1187</f>
      </c>
      <c r="J1187" s="153" t="s">
        <v>134</v>
      </c>
      <c r="K1187" s="146"/>
      <c r="Z1187" s="111">
        <f>IF(AQ1187="5",BJ1187,0)</f>
      </c>
      <c r="AB1187" s="111">
        <f>IF(AQ1187="1",BH1187,0)</f>
      </c>
      <c r="AC1187" s="111">
        <f>IF(AQ1187="1",BI1187,0)</f>
      </c>
      <c r="AD1187" s="111">
        <f>IF(AQ1187="7",BH1187,0)</f>
      </c>
      <c r="AE1187" s="111">
        <f>IF(AQ1187="7",BI1187,0)</f>
      </c>
      <c r="AF1187" s="111">
        <f>IF(AQ1187="2",BH1187,0)</f>
      </c>
      <c r="AG1187" s="111">
        <f>IF(AQ1187="2",BI1187,0)</f>
      </c>
      <c r="AH1187" s="111">
        <f>IF(AQ1187="0",BJ1187,0)</f>
      </c>
      <c r="AI1187" s="132" t="s">
        <v>84</v>
      </c>
      <c r="AJ1187" s="111">
        <f>IF(AN1187=0,I1187,0)</f>
      </c>
      <c r="AK1187" s="111">
        <f>IF(AN1187=12,I1187,0)</f>
      </c>
      <c r="AL1187" s="111">
        <f>IF(AN1187=21,I1187,0)</f>
      </c>
      <c r="AN1187" s="111" t="n">
        <v>21</v>
      </c>
      <c r="AO1187" s="111">
        <f>H1187*0</f>
      </c>
      <c r="AP1187" s="111">
        <f>H1187*(1-0)</f>
      </c>
      <c r="AQ1187" s="153" t="s">
        <v>156</v>
      </c>
      <c r="AV1187" s="111">
        <f>AW1187+AX1187</f>
      </c>
      <c r="AW1187" s="111">
        <f>G1187*AO1187</f>
      </c>
      <c r="AX1187" s="111">
        <f>G1187*AP1187</f>
      </c>
      <c r="AY1187" s="153" t="s">
        <v>1855</v>
      </c>
      <c r="AZ1187" s="153" t="s">
        <v>1620</v>
      </c>
      <c r="BA1187" s="132" t="s">
        <v>137</v>
      </c>
      <c r="BC1187" s="111">
        <f>AW1187+AX1187</f>
      </c>
      <c r="BD1187" s="111">
        <f>H1187/(100-BE1187)*100</f>
      </c>
      <c r="BE1187" s="111" t="n">
        <v>0</v>
      </c>
      <c r="BF1187" s="111">
        <f>1187</f>
      </c>
      <c r="BH1187" s="111">
        <f>G1187*AO1187</f>
      </c>
      <c r="BI1187" s="111">
        <f>G1187*AP1187</f>
      </c>
      <c r="BJ1187" s="111">
        <f>G1187*H1187</f>
      </c>
      <c r="BK1187" s="111"/>
      <c r="BL1187" s="111" t="n">
        <v>713</v>
      </c>
      <c r="BW1187" s="111" t="n">
        <v>21</v>
      </c>
      <c r="BX1187" s="14" t="s">
        <v>1943</v>
      </c>
    </row>
    <row r="1188">
      <c r="A1188" s="147" t="s">
        <v>4</v>
      </c>
      <c r="B1188" s="148" t="s">
        <v>84</v>
      </c>
      <c r="C1188" s="148" t="s">
        <v>1944</v>
      </c>
      <c r="D1188" s="149" t="s">
        <v>1945</v>
      </c>
      <c r="E1188" s="148"/>
      <c r="F1188" s="150" t="s">
        <v>79</v>
      </c>
      <c r="G1188" s="150" t="s">
        <v>79</v>
      </c>
      <c r="H1188" s="151" t="s">
        <v>79</v>
      </c>
      <c r="I1188" s="117">
        <f>SUM(I1189:I1195)</f>
      </c>
      <c r="J1188" s="132" t="s">
        <v>4</v>
      </c>
      <c r="K1188" s="146"/>
      <c r="AI1188" s="132" t="s">
        <v>84</v>
      </c>
      <c r="AS1188" s="117">
        <f>SUM(AJ1189:AJ1195)</f>
      </c>
      <c r="AT1188" s="117">
        <f>SUM(AK1189:AK1195)</f>
      </c>
      <c r="AU1188" s="117">
        <f>SUM(AL1189:AL1195)</f>
      </c>
    </row>
    <row r="1189">
      <c r="A1189" s="9" t="s">
        <v>1946</v>
      </c>
      <c r="B1189" s="10" t="s">
        <v>84</v>
      </c>
      <c r="C1189" s="10" t="s">
        <v>1947</v>
      </c>
      <c r="D1189" s="14" t="s">
        <v>1948</v>
      </c>
      <c r="E1189" s="10"/>
      <c r="F1189" s="10" t="s">
        <v>133</v>
      </c>
      <c r="G1189" s="111" t="n">
        <v>1</v>
      </c>
      <c r="H1189" s="152" t="n">
        <v>0</v>
      </c>
      <c r="I1189" s="111">
        <f>G1189*H1189</f>
      </c>
      <c r="J1189" s="153" t="s">
        <v>134</v>
      </c>
      <c r="K1189" s="146"/>
      <c r="Z1189" s="111">
        <f>IF(AQ1189="5",BJ1189,0)</f>
      </c>
      <c r="AB1189" s="111">
        <f>IF(AQ1189="1",BH1189,0)</f>
      </c>
      <c r="AC1189" s="111">
        <f>IF(AQ1189="1",BI1189,0)</f>
      </c>
      <c r="AD1189" s="111">
        <f>IF(AQ1189="7",BH1189,0)</f>
      </c>
      <c r="AE1189" s="111">
        <f>IF(AQ1189="7",BI1189,0)</f>
      </c>
      <c r="AF1189" s="111">
        <f>IF(AQ1189="2",BH1189,0)</f>
      </c>
      <c r="AG1189" s="111">
        <f>IF(AQ1189="2",BI1189,0)</f>
      </c>
      <c r="AH1189" s="111">
        <f>IF(AQ1189="0",BJ1189,0)</f>
      </c>
      <c r="AI1189" s="132" t="s">
        <v>84</v>
      </c>
      <c r="AJ1189" s="111">
        <f>IF(AN1189=0,I1189,0)</f>
      </c>
      <c r="AK1189" s="111">
        <f>IF(AN1189=12,I1189,0)</f>
      </c>
      <c r="AL1189" s="111">
        <f>IF(AN1189=21,I1189,0)</f>
      </c>
      <c r="AN1189" s="111" t="n">
        <v>21</v>
      </c>
      <c r="AO1189" s="111">
        <f>H1189*0</f>
      </c>
      <c r="AP1189" s="111">
        <f>H1189*(1-0)</f>
      </c>
      <c r="AQ1189" s="153" t="s">
        <v>173</v>
      </c>
      <c r="AV1189" s="111">
        <f>AW1189+AX1189</f>
      </c>
      <c r="AW1189" s="111">
        <f>G1189*AO1189</f>
      </c>
      <c r="AX1189" s="111">
        <f>G1189*AP1189</f>
      </c>
      <c r="AY1189" s="153" t="s">
        <v>1949</v>
      </c>
      <c r="AZ1189" s="153" t="s">
        <v>1950</v>
      </c>
      <c r="BA1189" s="132" t="s">
        <v>137</v>
      </c>
      <c r="BC1189" s="111">
        <f>AW1189+AX1189</f>
      </c>
      <c r="BD1189" s="111">
        <f>H1189/(100-BE1189)*100</f>
      </c>
      <c r="BE1189" s="111" t="n">
        <v>0</v>
      </c>
      <c r="BF1189" s="111">
        <f>1189</f>
      </c>
      <c r="BH1189" s="111">
        <f>G1189*AO1189</f>
      </c>
      <c r="BI1189" s="111">
        <f>G1189*AP1189</f>
      </c>
      <c r="BJ1189" s="111">
        <f>G1189*H1189</f>
      </c>
      <c r="BK1189" s="111"/>
      <c r="BL1189" s="111" t="n">
        <v>722</v>
      </c>
      <c r="BW1189" s="111" t="n">
        <v>21</v>
      </c>
      <c r="BX1189" s="14" t="s">
        <v>1948</v>
      </c>
    </row>
    <row r="1190" customHeight="true" ht="13.5">
      <c r="A1190" s="159"/>
      <c r="C1190" s="160" t="s">
        <v>146</v>
      </c>
      <c r="D1190" s="161" t="s">
        <v>1437</v>
      </c>
      <c r="E1190" s="156"/>
      <c r="F1190" s="156"/>
      <c r="G1190" s="156"/>
      <c r="H1190" s="162"/>
      <c r="I1190" s="156"/>
      <c r="J1190" s="156"/>
      <c r="K1190" s="163"/>
    </row>
    <row r="1191">
      <c r="A1191" s="154"/>
      <c r="B1191" s="155"/>
      <c r="C1191" s="155"/>
      <c r="D1191" s="156" t="s">
        <v>130</v>
      </c>
      <c r="E1191" s="156" t="s">
        <v>1445</v>
      </c>
      <c r="F1191" s="155"/>
      <c r="G1191" s="157" t="n">
        <v>1</v>
      </c>
      <c r="H1191" s="158"/>
      <c r="I1191" s="155"/>
      <c r="J1191" s="155"/>
      <c r="K1191" s="146"/>
    </row>
    <row r="1192">
      <c r="A1192" s="9" t="s">
        <v>1951</v>
      </c>
      <c r="B1192" s="10" t="s">
        <v>84</v>
      </c>
      <c r="C1192" s="10" t="s">
        <v>1952</v>
      </c>
      <c r="D1192" s="14" t="s">
        <v>1953</v>
      </c>
      <c r="E1192" s="10"/>
      <c r="F1192" s="10" t="s">
        <v>133</v>
      </c>
      <c r="G1192" s="111" t="n">
        <v>1</v>
      </c>
      <c r="H1192" s="152" t="n">
        <v>0</v>
      </c>
      <c r="I1192" s="111">
        <f>G1192*H1192</f>
      </c>
      <c r="J1192" s="153" t="s">
        <v>134</v>
      </c>
      <c r="K1192" s="146"/>
      <c r="Z1192" s="111">
        <f>IF(AQ1192="5",BJ1192,0)</f>
      </c>
      <c r="AB1192" s="111">
        <f>IF(AQ1192="1",BH1192,0)</f>
      </c>
      <c r="AC1192" s="111">
        <f>IF(AQ1192="1",BI1192,0)</f>
      </c>
      <c r="AD1192" s="111">
        <f>IF(AQ1192="7",BH1192,0)</f>
      </c>
      <c r="AE1192" s="111">
        <f>IF(AQ1192="7",BI1192,0)</f>
      </c>
      <c r="AF1192" s="111">
        <f>IF(AQ1192="2",BH1192,0)</f>
      </c>
      <c r="AG1192" s="111">
        <f>IF(AQ1192="2",BI1192,0)</f>
      </c>
      <c r="AH1192" s="111">
        <f>IF(AQ1192="0",BJ1192,0)</f>
      </c>
      <c r="AI1192" s="132" t="s">
        <v>84</v>
      </c>
      <c r="AJ1192" s="111">
        <f>IF(AN1192=0,I1192,0)</f>
      </c>
      <c r="AK1192" s="111">
        <f>IF(AN1192=12,I1192,0)</f>
      </c>
      <c r="AL1192" s="111">
        <f>IF(AN1192=21,I1192,0)</f>
      </c>
      <c r="AN1192" s="111" t="n">
        <v>21</v>
      </c>
      <c r="AO1192" s="111">
        <f>H1192*0</f>
      </c>
      <c r="AP1192" s="111">
        <f>H1192*(1-0)</f>
      </c>
      <c r="AQ1192" s="153" t="s">
        <v>173</v>
      </c>
      <c r="AV1192" s="111">
        <f>AW1192+AX1192</f>
      </c>
      <c r="AW1192" s="111">
        <f>G1192*AO1192</f>
      </c>
      <c r="AX1192" s="111">
        <f>G1192*AP1192</f>
      </c>
      <c r="AY1192" s="153" t="s">
        <v>1949</v>
      </c>
      <c r="AZ1192" s="153" t="s">
        <v>1950</v>
      </c>
      <c r="BA1192" s="132" t="s">
        <v>137</v>
      </c>
      <c r="BC1192" s="111">
        <f>AW1192+AX1192</f>
      </c>
      <c r="BD1192" s="111">
        <f>H1192/(100-BE1192)*100</f>
      </c>
      <c r="BE1192" s="111" t="n">
        <v>0</v>
      </c>
      <c r="BF1192" s="111">
        <f>1192</f>
      </c>
      <c r="BH1192" s="111">
        <f>G1192*AO1192</f>
      </c>
      <c r="BI1192" s="111">
        <f>G1192*AP1192</f>
      </c>
      <c r="BJ1192" s="111">
        <f>G1192*H1192</f>
      </c>
      <c r="BK1192" s="111"/>
      <c r="BL1192" s="111" t="n">
        <v>722</v>
      </c>
      <c r="BW1192" s="111" t="n">
        <v>21</v>
      </c>
      <c r="BX1192" s="14" t="s">
        <v>1953</v>
      </c>
    </row>
    <row r="1193" customHeight="true" ht="13.5">
      <c r="A1193" s="159"/>
      <c r="C1193" s="160" t="s">
        <v>146</v>
      </c>
      <c r="D1193" s="161" t="s">
        <v>1437</v>
      </c>
      <c r="E1193" s="156"/>
      <c r="F1193" s="156"/>
      <c r="G1193" s="156"/>
      <c r="H1193" s="162"/>
      <c r="I1193" s="156"/>
      <c r="J1193" s="156"/>
      <c r="K1193" s="163"/>
    </row>
    <row r="1194">
      <c r="A1194" s="154"/>
      <c r="B1194" s="155"/>
      <c r="C1194" s="155"/>
      <c r="D1194" s="156" t="s">
        <v>130</v>
      </c>
      <c r="E1194" s="156" t="s">
        <v>1445</v>
      </c>
      <c r="F1194" s="155"/>
      <c r="G1194" s="157" t="n">
        <v>1</v>
      </c>
      <c r="H1194" s="158"/>
      <c r="I1194" s="155"/>
      <c r="J1194" s="155"/>
      <c r="K1194" s="146"/>
    </row>
    <row r="1195">
      <c r="A1195" s="9" t="s">
        <v>1954</v>
      </c>
      <c r="B1195" s="10" t="s">
        <v>84</v>
      </c>
      <c r="C1195" s="10" t="s">
        <v>1955</v>
      </c>
      <c r="D1195" s="14" t="s">
        <v>1956</v>
      </c>
      <c r="E1195" s="10"/>
      <c r="F1195" s="10" t="s">
        <v>133</v>
      </c>
      <c r="G1195" s="111" t="n">
        <v>1</v>
      </c>
      <c r="H1195" s="152" t="n">
        <v>0</v>
      </c>
      <c r="I1195" s="111">
        <f>G1195*H1195</f>
      </c>
      <c r="J1195" s="153" t="s">
        <v>134</v>
      </c>
      <c r="K1195" s="146"/>
      <c r="Z1195" s="111">
        <f>IF(AQ1195="5",BJ1195,0)</f>
      </c>
      <c r="AB1195" s="111">
        <f>IF(AQ1195="1",BH1195,0)</f>
      </c>
      <c r="AC1195" s="111">
        <f>IF(AQ1195="1",BI1195,0)</f>
      </c>
      <c r="AD1195" s="111">
        <f>IF(AQ1195="7",BH1195,0)</f>
      </c>
      <c r="AE1195" s="111">
        <f>IF(AQ1195="7",BI1195,0)</f>
      </c>
      <c r="AF1195" s="111">
        <f>IF(AQ1195="2",BH1195,0)</f>
      </c>
      <c r="AG1195" s="111">
        <f>IF(AQ1195="2",BI1195,0)</f>
      </c>
      <c r="AH1195" s="111">
        <f>IF(AQ1195="0",BJ1195,0)</f>
      </c>
      <c r="AI1195" s="132" t="s">
        <v>84</v>
      </c>
      <c r="AJ1195" s="111">
        <f>IF(AN1195=0,I1195,0)</f>
      </c>
      <c r="AK1195" s="111">
        <f>IF(AN1195=12,I1195,0)</f>
      </c>
      <c r="AL1195" s="111">
        <f>IF(AN1195=21,I1195,0)</f>
      </c>
      <c r="AN1195" s="111" t="n">
        <v>21</v>
      </c>
      <c r="AO1195" s="111">
        <f>H1195*0</f>
      </c>
      <c r="AP1195" s="111">
        <f>H1195*(1-0)</f>
      </c>
      <c r="AQ1195" s="153" t="s">
        <v>173</v>
      </c>
      <c r="AV1195" s="111">
        <f>AW1195+AX1195</f>
      </c>
      <c r="AW1195" s="111">
        <f>G1195*AO1195</f>
      </c>
      <c r="AX1195" s="111">
        <f>G1195*AP1195</f>
      </c>
      <c r="AY1195" s="153" t="s">
        <v>1949</v>
      </c>
      <c r="AZ1195" s="153" t="s">
        <v>1950</v>
      </c>
      <c r="BA1195" s="132" t="s">
        <v>137</v>
      </c>
      <c r="BC1195" s="111">
        <f>AW1195+AX1195</f>
      </c>
      <c r="BD1195" s="111">
        <f>H1195/(100-BE1195)*100</f>
      </c>
      <c r="BE1195" s="111" t="n">
        <v>0</v>
      </c>
      <c r="BF1195" s="111">
        <f>1195</f>
      </c>
      <c r="BH1195" s="111">
        <f>G1195*AO1195</f>
      </c>
      <c r="BI1195" s="111">
        <f>G1195*AP1195</f>
      </c>
      <c r="BJ1195" s="111">
        <f>G1195*H1195</f>
      </c>
      <c r="BK1195" s="111"/>
      <c r="BL1195" s="111" t="n">
        <v>722</v>
      </c>
      <c r="BW1195" s="111" t="n">
        <v>21</v>
      </c>
      <c r="BX1195" s="14" t="s">
        <v>1956</v>
      </c>
    </row>
    <row r="1196" customHeight="true" ht="13.5">
      <c r="A1196" s="159"/>
      <c r="C1196" s="160" t="s">
        <v>146</v>
      </c>
      <c r="D1196" s="161" t="s">
        <v>640</v>
      </c>
      <c r="E1196" s="156"/>
      <c r="F1196" s="156"/>
      <c r="G1196" s="156"/>
      <c r="H1196" s="162"/>
      <c r="I1196" s="156"/>
      <c r="J1196" s="156"/>
      <c r="K1196" s="163"/>
    </row>
    <row r="1197">
      <c r="A1197" s="154"/>
      <c r="B1197" s="155"/>
      <c r="C1197" s="155"/>
      <c r="D1197" s="156" t="s">
        <v>130</v>
      </c>
      <c r="E1197" s="156" t="s">
        <v>1445</v>
      </c>
      <c r="F1197" s="155"/>
      <c r="G1197" s="157" t="n">
        <v>1</v>
      </c>
      <c r="H1197" s="158"/>
      <c r="I1197" s="155"/>
      <c r="J1197" s="155"/>
      <c r="K1197" s="146"/>
    </row>
    <row r="1198">
      <c r="A1198" s="147" t="s">
        <v>4</v>
      </c>
      <c r="B1198" s="148" t="s">
        <v>84</v>
      </c>
      <c r="C1198" s="148" t="s">
        <v>1957</v>
      </c>
      <c r="D1198" s="149" t="s">
        <v>1958</v>
      </c>
      <c r="E1198" s="148"/>
      <c r="F1198" s="150" t="s">
        <v>79</v>
      </c>
      <c r="G1198" s="150" t="s">
        <v>79</v>
      </c>
      <c r="H1198" s="151" t="s">
        <v>79</v>
      </c>
      <c r="I1198" s="117">
        <f>SUM(I1199:I1212)</f>
      </c>
      <c r="J1198" s="132" t="s">
        <v>4</v>
      </c>
      <c r="K1198" s="146"/>
      <c r="AI1198" s="132" t="s">
        <v>84</v>
      </c>
      <c r="AS1198" s="117">
        <f>SUM(AJ1199:AJ1212)</f>
      </c>
      <c r="AT1198" s="117">
        <f>SUM(AK1199:AK1212)</f>
      </c>
      <c r="AU1198" s="117">
        <f>SUM(AL1199:AL1212)</f>
      </c>
    </row>
    <row r="1199">
      <c r="A1199" s="9" t="s">
        <v>1959</v>
      </c>
      <c r="B1199" s="10" t="s">
        <v>84</v>
      </c>
      <c r="C1199" s="10" t="s">
        <v>1960</v>
      </c>
      <c r="D1199" s="14" t="s">
        <v>1961</v>
      </c>
      <c r="E1199" s="10"/>
      <c r="F1199" s="10" t="s">
        <v>1962</v>
      </c>
      <c r="G1199" s="111" t="n">
        <v>2</v>
      </c>
      <c r="H1199" s="152" t="n">
        <v>0</v>
      </c>
      <c r="I1199" s="111">
        <f>G1199*H1199</f>
      </c>
      <c r="J1199" s="153" t="s">
        <v>134</v>
      </c>
      <c r="K1199" s="146"/>
      <c r="Z1199" s="111">
        <f>IF(AQ1199="5",BJ1199,0)</f>
      </c>
      <c r="AB1199" s="111">
        <f>IF(AQ1199="1",BH1199,0)</f>
      </c>
      <c r="AC1199" s="111">
        <f>IF(AQ1199="1",BI1199,0)</f>
      </c>
      <c r="AD1199" s="111">
        <f>IF(AQ1199="7",BH1199,0)</f>
      </c>
      <c r="AE1199" s="111">
        <f>IF(AQ1199="7",BI1199,0)</f>
      </c>
      <c r="AF1199" s="111">
        <f>IF(AQ1199="2",BH1199,0)</f>
      </c>
      <c r="AG1199" s="111">
        <f>IF(AQ1199="2",BI1199,0)</f>
      </c>
      <c r="AH1199" s="111">
        <f>IF(AQ1199="0",BJ1199,0)</f>
      </c>
      <c r="AI1199" s="132" t="s">
        <v>84</v>
      </c>
      <c r="AJ1199" s="111">
        <f>IF(AN1199=0,I1199,0)</f>
      </c>
      <c r="AK1199" s="111">
        <f>IF(AN1199=12,I1199,0)</f>
      </c>
      <c r="AL1199" s="111">
        <f>IF(AN1199=21,I1199,0)</f>
      </c>
      <c r="AN1199" s="111" t="n">
        <v>21</v>
      </c>
      <c r="AO1199" s="111">
        <f>H1199*0.931923905</f>
      </c>
      <c r="AP1199" s="111">
        <f>H1199*(1-0.931923905)</f>
      </c>
      <c r="AQ1199" s="153" t="s">
        <v>173</v>
      </c>
      <c r="AV1199" s="111">
        <f>AW1199+AX1199</f>
      </c>
      <c r="AW1199" s="111">
        <f>G1199*AO1199</f>
      </c>
      <c r="AX1199" s="111">
        <f>G1199*AP1199</f>
      </c>
      <c r="AY1199" s="153" t="s">
        <v>1963</v>
      </c>
      <c r="AZ1199" s="153" t="s">
        <v>1950</v>
      </c>
      <c r="BA1199" s="132" t="s">
        <v>137</v>
      </c>
      <c r="BC1199" s="111">
        <f>AW1199+AX1199</f>
      </c>
      <c r="BD1199" s="111">
        <f>H1199/(100-BE1199)*100</f>
      </c>
      <c r="BE1199" s="111" t="n">
        <v>0</v>
      </c>
      <c r="BF1199" s="111">
        <f>1199</f>
      </c>
      <c r="BH1199" s="111">
        <f>G1199*AO1199</f>
      </c>
      <c r="BI1199" s="111">
        <f>G1199*AP1199</f>
      </c>
      <c r="BJ1199" s="111">
        <f>G1199*H1199</f>
      </c>
      <c r="BK1199" s="111"/>
      <c r="BL1199" s="111" t="n">
        <v>725</v>
      </c>
      <c r="BW1199" s="111" t="n">
        <v>21</v>
      </c>
      <c r="BX1199" s="14" t="s">
        <v>1961</v>
      </c>
    </row>
    <row r="1200" customHeight="true" ht="13.5">
      <c r="A1200" s="159"/>
      <c r="C1200" s="160" t="s">
        <v>146</v>
      </c>
      <c r="D1200" s="161" t="s">
        <v>640</v>
      </c>
      <c r="E1200" s="156"/>
      <c r="F1200" s="156"/>
      <c r="G1200" s="156"/>
      <c r="H1200" s="162"/>
      <c r="I1200" s="156"/>
      <c r="J1200" s="156"/>
      <c r="K1200" s="163"/>
    </row>
    <row r="1201">
      <c r="A1201" s="154"/>
      <c r="B1201" s="155"/>
      <c r="C1201" s="155"/>
      <c r="D1201" s="156" t="s">
        <v>140</v>
      </c>
      <c r="E1201" s="156" t="s">
        <v>1964</v>
      </c>
      <c r="F1201" s="155"/>
      <c r="G1201" s="157" t="n">
        <v>2</v>
      </c>
      <c r="H1201" s="158"/>
      <c r="I1201" s="155"/>
      <c r="J1201" s="155"/>
      <c r="K1201" s="146"/>
    </row>
    <row r="1202">
      <c r="A1202" s="9" t="s">
        <v>1965</v>
      </c>
      <c r="B1202" s="10" t="s">
        <v>84</v>
      </c>
      <c r="C1202" s="10" t="s">
        <v>1966</v>
      </c>
      <c r="D1202" s="14" t="s">
        <v>1967</v>
      </c>
      <c r="E1202" s="10"/>
      <c r="F1202" s="10" t="s">
        <v>133</v>
      </c>
      <c r="G1202" s="111" t="n">
        <v>3</v>
      </c>
      <c r="H1202" s="152" t="n">
        <v>0</v>
      </c>
      <c r="I1202" s="111">
        <f>G1202*H1202</f>
      </c>
      <c r="J1202" s="153" t="s">
        <v>134</v>
      </c>
      <c r="K1202" s="146"/>
      <c r="Z1202" s="111">
        <f>IF(AQ1202="5",BJ1202,0)</f>
      </c>
      <c r="AB1202" s="111">
        <f>IF(AQ1202="1",BH1202,0)</f>
      </c>
      <c r="AC1202" s="111">
        <f>IF(AQ1202="1",BI1202,0)</f>
      </c>
      <c r="AD1202" s="111">
        <f>IF(AQ1202="7",BH1202,0)</f>
      </c>
      <c r="AE1202" s="111">
        <f>IF(AQ1202="7",BI1202,0)</f>
      </c>
      <c r="AF1202" s="111">
        <f>IF(AQ1202="2",BH1202,0)</f>
      </c>
      <c r="AG1202" s="111">
        <f>IF(AQ1202="2",BI1202,0)</f>
      </c>
      <c r="AH1202" s="111">
        <f>IF(AQ1202="0",BJ1202,0)</f>
      </c>
      <c r="AI1202" s="132" t="s">
        <v>84</v>
      </c>
      <c r="AJ1202" s="111">
        <f>IF(AN1202=0,I1202,0)</f>
      </c>
      <c r="AK1202" s="111">
        <f>IF(AN1202=12,I1202,0)</f>
      </c>
      <c r="AL1202" s="111">
        <f>IF(AN1202=21,I1202,0)</f>
      </c>
      <c r="AN1202" s="111" t="n">
        <v>21</v>
      </c>
      <c r="AO1202" s="111">
        <f>H1202*0.986958333</f>
      </c>
      <c r="AP1202" s="111">
        <f>H1202*(1-0.986958333)</f>
      </c>
      <c r="AQ1202" s="153" t="s">
        <v>173</v>
      </c>
      <c r="AV1202" s="111">
        <f>AW1202+AX1202</f>
      </c>
      <c r="AW1202" s="111">
        <f>G1202*AO1202</f>
      </c>
      <c r="AX1202" s="111">
        <f>G1202*AP1202</f>
      </c>
      <c r="AY1202" s="153" t="s">
        <v>1963</v>
      </c>
      <c r="AZ1202" s="153" t="s">
        <v>1950</v>
      </c>
      <c r="BA1202" s="132" t="s">
        <v>137</v>
      </c>
      <c r="BC1202" s="111">
        <f>AW1202+AX1202</f>
      </c>
      <c r="BD1202" s="111">
        <f>H1202/(100-BE1202)*100</f>
      </c>
      <c r="BE1202" s="111" t="n">
        <v>0</v>
      </c>
      <c r="BF1202" s="111">
        <f>1202</f>
      </c>
      <c r="BH1202" s="111">
        <f>G1202*AO1202</f>
      </c>
      <c r="BI1202" s="111">
        <f>G1202*AP1202</f>
      </c>
      <c r="BJ1202" s="111">
        <f>G1202*H1202</f>
      </c>
      <c r="BK1202" s="111"/>
      <c r="BL1202" s="111" t="n">
        <v>725</v>
      </c>
      <c r="BW1202" s="111" t="n">
        <v>21</v>
      </c>
      <c r="BX1202" s="14" t="s">
        <v>1967</v>
      </c>
    </row>
    <row r="1203" customHeight="true" ht="13.5">
      <c r="A1203" s="159"/>
      <c r="C1203" s="160" t="s">
        <v>146</v>
      </c>
      <c r="D1203" s="161" t="s">
        <v>1968</v>
      </c>
      <c r="E1203" s="156"/>
      <c r="F1203" s="156"/>
      <c r="G1203" s="156"/>
      <c r="H1203" s="162"/>
      <c r="I1203" s="156"/>
      <c r="J1203" s="156"/>
      <c r="K1203" s="163"/>
    </row>
    <row r="1204">
      <c r="A1204" s="154"/>
      <c r="B1204" s="155"/>
      <c r="C1204" s="155"/>
      <c r="D1204" s="156" t="s">
        <v>138</v>
      </c>
      <c r="E1204" s="156" t="s">
        <v>1969</v>
      </c>
      <c r="F1204" s="155"/>
      <c r="G1204" s="157" t="n">
        <v>3</v>
      </c>
      <c r="H1204" s="158"/>
      <c r="I1204" s="155"/>
      <c r="J1204" s="155"/>
      <c r="K1204" s="146"/>
    </row>
    <row r="1205">
      <c r="A1205" s="9" t="s">
        <v>1970</v>
      </c>
      <c r="B1205" s="10" t="s">
        <v>84</v>
      </c>
      <c r="C1205" s="10" t="s">
        <v>1971</v>
      </c>
      <c r="D1205" s="14" t="s">
        <v>1972</v>
      </c>
      <c r="E1205" s="10"/>
      <c r="F1205" s="10" t="s">
        <v>1962</v>
      </c>
      <c r="G1205" s="111" t="n">
        <v>1</v>
      </c>
      <c r="H1205" s="152" t="n">
        <v>0</v>
      </c>
      <c r="I1205" s="111">
        <f>G1205*H1205</f>
      </c>
      <c r="J1205" s="153" t="s">
        <v>134</v>
      </c>
      <c r="K1205" s="146"/>
      <c r="Z1205" s="111">
        <f>IF(AQ1205="5",BJ1205,0)</f>
      </c>
      <c r="AB1205" s="111">
        <f>IF(AQ1205="1",BH1205,0)</f>
      </c>
      <c r="AC1205" s="111">
        <f>IF(AQ1205="1",BI1205,0)</f>
      </c>
      <c r="AD1205" s="111">
        <f>IF(AQ1205="7",BH1205,0)</f>
      </c>
      <c r="AE1205" s="111">
        <f>IF(AQ1205="7",BI1205,0)</f>
      </c>
      <c r="AF1205" s="111">
        <f>IF(AQ1205="2",BH1205,0)</f>
      </c>
      <c r="AG1205" s="111">
        <f>IF(AQ1205="2",BI1205,0)</f>
      </c>
      <c r="AH1205" s="111">
        <f>IF(AQ1205="0",BJ1205,0)</f>
      </c>
      <c r="AI1205" s="132" t="s">
        <v>84</v>
      </c>
      <c r="AJ1205" s="111">
        <f>IF(AN1205=0,I1205,0)</f>
      </c>
      <c r="AK1205" s="111">
        <f>IF(AN1205=12,I1205,0)</f>
      </c>
      <c r="AL1205" s="111">
        <f>IF(AN1205=21,I1205,0)</f>
      </c>
      <c r="AN1205" s="111" t="n">
        <v>21</v>
      </c>
      <c r="AO1205" s="111">
        <f>H1205*0.878085246</f>
      </c>
      <c r="AP1205" s="111">
        <f>H1205*(1-0.878085246)</f>
      </c>
      <c r="AQ1205" s="153" t="s">
        <v>173</v>
      </c>
      <c r="AV1205" s="111">
        <f>AW1205+AX1205</f>
      </c>
      <c r="AW1205" s="111">
        <f>G1205*AO1205</f>
      </c>
      <c r="AX1205" s="111">
        <f>G1205*AP1205</f>
      </c>
      <c r="AY1205" s="153" t="s">
        <v>1963</v>
      </c>
      <c r="AZ1205" s="153" t="s">
        <v>1950</v>
      </c>
      <c r="BA1205" s="132" t="s">
        <v>137</v>
      </c>
      <c r="BC1205" s="111">
        <f>AW1205+AX1205</f>
      </c>
      <c r="BD1205" s="111">
        <f>H1205/(100-BE1205)*100</f>
      </c>
      <c r="BE1205" s="111" t="n">
        <v>0</v>
      </c>
      <c r="BF1205" s="111">
        <f>1205</f>
      </c>
      <c r="BH1205" s="111">
        <f>G1205*AO1205</f>
      </c>
      <c r="BI1205" s="111">
        <f>G1205*AP1205</f>
      </c>
      <c r="BJ1205" s="111">
        <f>G1205*H1205</f>
      </c>
      <c r="BK1205" s="111"/>
      <c r="BL1205" s="111" t="n">
        <v>725</v>
      </c>
      <c r="BW1205" s="111" t="n">
        <v>21</v>
      </c>
      <c r="BX1205" s="14" t="s">
        <v>1972</v>
      </c>
    </row>
    <row r="1206" customHeight="true" ht="13.5">
      <c r="A1206" s="159"/>
      <c r="C1206" s="160" t="s">
        <v>146</v>
      </c>
      <c r="D1206" s="161" t="s">
        <v>640</v>
      </c>
      <c r="E1206" s="156"/>
      <c r="F1206" s="156"/>
      <c r="G1206" s="156"/>
      <c r="H1206" s="162"/>
      <c r="I1206" s="156"/>
      <c r="J1206" s="156"/>
      <c r="K1206" s="163"/>
    </row>
    <row r="1207">
      <c r="A1207" s="154"/>
      <c r="B1207" s="155"/>
      <c r="C1207" s="155"/>
      <c r="D1207" s="156" t="s">
        <v>130</v>
      </c>
      <c r="E1207" s="156" t="s">
        <v>1964</v>
      </c>
      <c r="F1207" s="155"/>
      <c r="G1207" s="157" t="n">
        <v>1</v>
      </c>
      <c r="H1207" s="158"/>
      <c r="I1207" s="155"/>
      <c r="J1207" s="155"/>
      <c r="K1207" s="146"/>
    </row>
    <row r="1208">
      <c r="A1208" s="9" t="s">
        <v>1973</v>
      </c>
      <c r="B1208" s="10" t="s">
        <v>84</v>
      </c>
      <c r="C1208" s="10" t="s">
        <v>1974</v>
      </c>
      <c r="D1208" s="14" t="s">
        <v>1975</v>
      </c>
      <c r="E1208" s="10"/>
      <c r="F1208" s="10" t="s">
        <v>1962</v>
      </c>
      <c r="G1208" s="111" t="n">
        <v>1</v>
      </c>
      <c r="H1208" s="152" t="n">
        <v>0</v>
      </c>
      <c r="I1208" s="111">
        <f>G1208*H1208</f>
      </c>
      <c r="J1208" s="153" t="s">
        <v>134</v>
      </c>
      <c r="K1208" s="146"/>
      <c r="Z1208" s="111">
        <f>IF(AQ1208="5",BJ1208,0)</f>
      </c>
      <c r="AB1208" s="111">
        <f>IF(AQ1208="1",BH1208,0)</f>
      </c>
      <c r="AC1208" s="111">
        <f>IF(AQ1208="1",BI1208,0)</f>
      </c>
      <c r="AD1208" s="111">
        <f>IF(AQ1208="7",BH1208,0)</f>
      </c>
      <c r="AE1208" s="111">
        <f>IF(AQ1208="7",BI1208,0)</f>
      </c>
      <c r="AF1208" s="111">
        <f>IF(AQ1208="2",BH1208,0)</f>
      </c>
      <c r="AG1208" s="111">
        <f>IF(AQ1208="2",BI1208,0)</f>
      </c>
      <c r="AH1208" s="111">
        <f>IF(AQ1208="0",BJ1208,0)</f>
      </c>
      <c r="AI1208" s="132" t="s">
        <v>84</v>
      </c>
      <c r="AJ1208" s="111">
        <f>IF(AN1208=0,I1208,0)</f>
      </c>
      <c r="AK1208" s="111">
        <f>IF(AN1208=12,I1208,0)</f>
      </c>
      <c r="AL1208" s="111">
        <f>IF(AN1208=21,I1208,0)</f>
      </c>
      <c r="AN1208" s="111" t="n">
        <v>21</v>
      </c>
      <c r="AO1208" s="111">
        <f>H1208*0.878085246</f>
      </c>
      <c r="AP1208" s="111">
        <f>H1208*(1-0.878085246)</f>
      </c>
      <c r="AQ1208" s="153" t="s">
        <v>173</v>
      </c>
      <c r="AV1208" s="111">
        <f>AW1208+AX1208</f>
      </c>
      <c r="AW1208" s="111">
        <f>G1208*AO1208</f>
      </c>
      <c r="AX1208" s="111">
        <f>G1208*AP1208</f>
      </c>
      <c r="AY1208" s="153" t="s">
        <v>1963</v>
      </c>
      <c r="AZ1208" s="153" t="s">
        <v>1950</v>
      </c>
      <c r="BA1208" s="132" t="s">
        <v>137</v>
      </c>
      <c r="BC1208" s="111">
        <f>AW1208+AX1208</f>
      </c>
      <c r="BD1208" s="111">
        <f>H1208/(100-BE1208)*100</f>
      </c>
      <c r="BE1208" s="111" t="n">
        <v>0</v>
      </c>
      <c r="BF1208" s="111">
        <f>1208</f>
      </c>
      <c r="BH1208" s="111">
        <f>G1208*AO1208</f>
      </c>
      <c r="BI1208" s="111">
        <f>G1208*AP1208</f>
      </c>
      <c r="BJ1208" s="111">
        <f>G1208*H1208</f>
      </c>
      <c r="BK1208" s="111"/>
      <c r="BL1208" s="111" t="n">
        <v>725</v>
      </c>
      <c r="BW1208" s="111" t="n">
        <v>21</v>
      </c>
      <c r="BX1208" s="14" t="s">
        <v>1975</v>
      </c>
    </row>
    <row r="1209" customHeight="true" ht="13.5">
      <c r="A1209" s="159"/>
      <c r="C1209" s="160" t="s">
        <v>146</v>
      </c>
      <c r="D1209" s="161" t="s">
        <v>640</v>
      </c>
      <c r="E1209" s="156"/>
      <c r="F1209" s="156"/>
      <c r="G1209" s="156"/>
      <c r="H1209" s="162"/>
      <c r="I1209" s="156"/>
      <c r="J1209" s="156"/>
      <c r="K1209" s="163"/>
    </row>
    <row r="1210">
      <c r="A1210" s="154"/>
      <c r="B1210" s="155"/>
      <c r="C1210" s="155"/>
      <c r="D1210" s="156" t="s">
        <v>130</v>
      </c>
      <c r="E1210" s="156" t="s">
        <v>1964</v>
      </c>
      <c r="F1210" s="155"/>
      <c r="G1210" s="157" t="n">
        <v>1</v>
      </c>
      <c r="H1210" s="158"/>
      <c r="I1210" s="155"/>
      <c r="J1210" s="155"/>
      <c r="K1210" s="146"/>
    </row>
    <row r="1211">
      <c r="A1211" s="9" t="s">
        <v>1976</v>
      </c>
      <c r="B1211" s="10" t="s">
        <v>84</v>
      </c>
      <c r="C1211" s="10" t="s">
        <v>1977</v>
      </c>
      <c r="D1211" s="14" t="s">
        <v>1978</v>
      </c>
      <c r="E1211" s="10"/>
      <c r="F1211" s="10" t="s">
        <v>61</v>
      </c>
      <c r="G1211" s="111" t="n">
        <v>0.36</v>
      </c>
      <c r="H1211" s="152" t="n">
        <v>0</v>
      </c>
      <c r="I1211" s="111">
        <f>G1211*H1211</f>
      </c>
      <c r="J1211" s="153" t="s">
        <v>134</v>
      </c>
      <c r="K1211" s="146"/>
      <c r="Z1211" s="111">
        <f>IF(AQ1211="5",BJ1211,0)</f>
      </c>
      <c r="AB1211" s="111">
        <f>IF(AQ1211="1",BH1211,0)</f>
      </c>
      <c r="AC1211" s="111">
        <f>IF(AQ1211="1",BI1211,0)</f>
      </c>
      <c r="AD1211" s="111">
        <f>IF(AQ1211="7",BH1211,0)</f>
      </c>
      <c r="AE1211" s="111">
        <f>IF(AQ1211="7",BI1211,0)</f>
      </c>
      <c r="AF1211" s="111">
        <f>IF(AQ1211="2",BH1211,0)</f>
      </c>
      <c r="AG1211" s="111">
        <f>IF(AQ1211="2",BI1211,0)</f>
      </c>
      <c r="AH1211" s="111">
        <f>IF(AQ1211="0",BJ1211,0)</f>
      </c>
      <c r="AI1211" s="132" t="s">
        <v>84</v>
      </c>
      <c r="AJ1211" s="111">
        <f>IF(AN1211=0,I1211,0)</f>
      </c>
      <c r="AK1211" s="111">
        <f>IF(AN1211=12,I1211,0)</f>
      </c>
      <c r="AL1211" s="111">
        <f>IF(AN1211=21,I1211,0)</f>
      </c>
      <c r="AN1211" s="111" t="n">
        <v>21</v>
      </c>
      <c r="AO1211" s="111">
        <f>H1211*0</f>
      </c>
      <c r="AP1211" s="111">
        <f>H1211*(1-0)</f>
      </c>
      <c r="AQ1211" s="153" t="s">
        <v>156</v>
      </c>
      <c r="AV1211" s="111">
        <f>AW1211+AX1211</f>
      </c>
      <c r="AW1211" s="111">
        <f>G1211*AO1211</f>
      </c>
      <c r="AX1211" s="111">
        <f>G1211*AP1211</f>
      </c>
      <c r="AY1211" s="153" t="s">
        <v>1963</v>
      </c>
      <c r="AZ1211" s="153" t="s">
        <v>1950</v>
      </c>
      <c r="BA1211" s="132" t="s">
        <v>137</v>
      </c>
      <c r="BC1211" s="111">
        <f>AW1211+AX1211</f>
      </c>
      <c r="BD1211" s="111">
        <f>H1211/(100-BE1211)*100</f>
      </c>
      <c r="BE1211" s="111" t="n">
        <v>0</v>
      </c>
      <c r="BF1211" s="111">
        <f>1211</f>
      </c>
      <c r="BH1211" s="111">
        <f>G1211*AO1211</f>
      </c>
      <c r="BI1211" s="111">
        <f>G1211*AP1211</f>
      </c>
      <c r="BJ1211" s="111">
        <f>G1211*H1211</f>
      </c>
      <c r="BK1211" s="111"/>
      <c r="BL1211" s="111" t="n">
        <v>725</v>
      </c>
      <c r="BW1211" s="111" t="n">
        <v>21</v>
      </c>
      <c r="BX1211" s="14" t="s">
        <v>1978</v>
      </c>
    </row>
    <row r="1212">
      <c r="A1212" s="9" t="s">
        <v>1979</v>
      </c>
      <c r="B1212" s="10" t="s">
        <v>84</v>
      </c>
      <c r="C1212" s="10" t="s">
        <v>1980</v>
      </c>
      <c r="D1212" s="14" t="s">
        <v>1981</v>
      </c>
      <c r="E1212" s="10"/>
      <c r="F1212" s="10" t="s">
        <v>61</v>
      </c>
      <c r="G1212" s="111" t="n">
        <v>0.22</v>
      </c>
      <c r="H1212" s="152" t="n">
        <v>0</v>
      </c>
      <c r="I1212" s="111">
        <f>G1212*H1212</f>
      </c>
      <c r="J1212" s="153" t="s">
        <v>134</v>
      </c>
      <c r="K1212" s="146"/>
      <c r="Z1212" s="111">
        <f>IF(AQ1212="5",BJ1212,0)</f>
      </c>
      <c r="AB1212" s="111">
        <f>IF(AQ1212="1",BH1212,0)</f>
      </c>
      <c r="AC1212" s="111">
        <f>IF(AQ1212="1",BI1212,0)</f>
      </c>
      <c r="AD1212" s="111">
        <f>IF(AQ1212="7",BH1212,0)</f>
      </c>
      <c r="AE1212" s="111">
        <f>IF(AQ1212="7",BI1212,0)</f>
      </c>
      <c r="AF1212" s="111">
        <f>IF(AQ1212="2",BH1212,0)</f>
      </c>
      <c r="AG1212" s="111">
        <f>IF(AQ1212="2",BI1212,0)</f>
      </c>
      <c r="AH1212" s="111">
        <f>IF(AQ1212="0",BJ1212,0)</f>
      </c>
      <c r="AI1212" s="132" t="s">
        <v>84</v>
      </c>
      <c r="AJ1212" s="111">
        <f>IF(AN1212=0,I1212,0)</f>
      </c>
      <c r="AK1212" s="111">
        <f>IF(AN1212=12,I1212,0)</f>
      </c>
      <c r="AL1212" s="111">
        <f>IF(AN1212=21,I1212,0)</f>
      </c>
      <c r="AN1212" s="111" t="n">
        <v>21</v>
      </c>
      <c r="AO1212" s="111">
        <f>H1212*0</f>
      </c>
      <c r="AP1212" s="111">
        <f>H1212*(1-0)</f>
      </c>
      <c r="AQ1212" s="153" t="s">
        <v>156</v>
      </c>
      <c r="AV1212" s="111">
        <f>AW1212+AX1212</f>
      </c>
      <c r="AW1212" s="111">
        <f>G1212*AO1212</f>
      </c>
      <c r="AX1212" s="111">
        <f>G1212*AP1212</f>
      </c>
      <c r="AY1212" s="153" t="s">
        <v>1963</v>
      </c>
      <c r="AZ1212" s="153" t="s">
        <v>1950</v>
      </c>
      <c r="BA1212" s="132" t="s">
        <v>137</v>
      </c>
      <c r="BC1212" s="111">
        <f>AW1212+AX1212</f>
      </c>
      <c r="BD1212" s="111">
        <f>H1212/(100-BE1212)*100</f>
      </c>
      <c r="BE1212" s="111" t="n">
        <v>0</v>
      </c>
      <c r="BF1212" s="111">
        <f>1212</f>
      </c>
      <c r="BH1212" s="111">
        <f>G1212*AO1212</f>
      </c>
      <c r="BI1212" s="111">
        <f>G1212*AP1212</f>
      </c>
      <c r="BJ1212" s="111">
        <f>G1212*H1212</f>
      </c>
      <c r="BK1212" s="111"/>
      <c r="BL1212" s="111" t="n">
        <v>725</v>
      </c>
      <c r="BW1212" s="111" t="n">
        <v>21</v>
      </c>
      <c r="BX1212" s="14" t="s">
        <v>1981</v>
      </c>
    </row>
    <row r="1213">
      <c r="A1213" s="147" t="s">
        <v>4</v>
      </c>
      <c r="B1213" s="148" t="s">
        <v>84</v>
      </c>
      <c r="C1213" s="148" t="s">
        <v>1982</v>
      </c>
      <c r="D1213" s="149" t="s">
        <v>1983</v>
      </c>
      <c r="E1213" s="148"/>
      <c r="F1213" s="150" t="s">
        <v>79</v>
      </c>
      <c r="G1213" s="150" t="s">
        <v>79</v>
      </c>
      <c r="H1213" s="151" t="s">
        <v>79</v>
      </c>
      <c r="I1213" s="117">
        <f>SUM(I1214:I1220)</f>
      </c>
      <c r="J1213" s="132" t="s">
        <v>4</v>
      </c>
      <c r="K1213" s="146"/>
      <c r="AI1213" s="132" t="s">
        <v>84</v>
      </c>
      <c r="AS1213" s="117">
        <f>SUM(AJ1214:AJ1220)</f>
      </c>
      <c r="AT1213" s="117">
        <f>SUM(AK1214:AK1220)</f>
      </c>
      <c r="AU1213" s="117">
        <f>SUM(AL1214:AL1220)</f>
      </c>
    </row>
    <row r="1214">
      <c r="A1214" s="9" t="s">
        <v>1984</v>
      </c>
      <c r="B1214" s="10" t="s">
        <v>84</v>
      </c>
      <c r="C1214" s="10" t="s">
        <v>1985</v>
      </c>
      <c r="D1214" s="14" t="s">
        <v>1986</v>
      </c>
      <c r="E1214" s="10"/>
      <c r="F1214" s="10" t="s">
        <v>145</v>
      </c>
      <c r="G1214" s="111" t="n">
        <v>311.5</v>
      </c>
      <c r="H1214" s="152" t="n">
        <v>0</v>
      </c>
      <c r="I1214" s="111">
        <f>G1214*H1214</f>
      </c>
      <c r="J1214" s="153" t="s">
        <v>134</v>
      </c>
      <c r="K1214" s="146"/>
      <c r="Z1214" s="111">
        <f>IF(AQ1214="5",BJ1214,0)</f>
      </c>
      <c r="AB1214" s="111">
        <f>IF(AQ1214="1",BH1214,0)</f>
      </c>
      <c r="AC1214" s="111">
        <f>IF(AQ1214="1",BI1214,0)</f>
      </c>
      <c r="AD1214" s="111">
        <f>IF(AQ1214="7",BH1214,0)</f>
      </c>
      <c r="AE1214" s="111">
        <f>IF(AQ1214="7",BI1214,0)</f>
      </c>
      <c r="AF1214" s="111">
        <f>IF(AQ1214="2",BH1214,0)</f>
      </c>
      <c r="AG1214" s="111">
        <f>IF(AQ1214="2",BI1214,0)</f>
      </c>
      <c r="AH1214" s="111">
        <f>IF(AQ1214="0",BJ1214,0)</f>
      </c>
      <c r="AI1214" s="132" t="s">
        <v>84</v>
      </c>
      <c r="AJ1214" s="111">
        <f>IF(AN1214=0,I1214,0)</f>
      </c>
      <c r="AK1214" s="111">
        <f>IF(AN1214=12,I1214,0)</f>
      </c>
      <c r="AL1214" s="111">
        <f>IF(AN1214=21,I1214,0)</f>
      </c>
      <c r="AN1214" s="111" t="n">
        <v>21</v>
      </c>
      <c r="AO1214" s="111">
        <f>H1214*0.873865672</f>
      </c>
      <c r="AP1214" s="111">
        <f>H1214*(1-0.873865672)</f>
      </c>
      <c r="AQ1214" s="153" t="s">
        <v>173</v>
      </c>
      <c r="AV1214" s="111">
        <f>AW1214+AX1214</f>
      </c>
      <c r="AW1214" s="111">
        <f>G1214*AO1214</f>
      </c>
      <c r="AX1214" s="111">
        <f>G1214*AP1214</f>
      </c>
      <c r="AY1214" s="153" t="s">
        <v>1987</v>
      </c>
      <c r="AZ1214" s="153" t="s">
        <v>1988</v>
      </c>
      <c r="BA1214" s="132" t="s">
        <v>137</v>
      </c>
      <c r="BC1214" s="111">
        <f>AW1214+AX1214</f>
      </c>
      <c r="BD1214" s="111">
        <f>H1214/(100-BE1214)*100</f>
      </c>
      <c r="BE1214" s="111" t="n">
        <v>0</v>
      </c>
      <c r="BF1214" s="111">
        <f>1214</f>
      </c>
      <c r="BH1214" s="111">
        <f>G1214*AO1214</f>
      </c>
      <c r="BI1214" s="111">
        <f>G1214*AP1214</f>
      </c>
      <c r="BJ1214" s="111">
        <f>G1214*H1214</f>
      </c>
      <c r="BK1214" s="111"/>
      <c r="BL1214" s="111" t="n">
        <v>736</v>
      </c>
      <c r="BW1214" s="111" t="n">
        <v>21</v>
      </c>
      <c r="BX1214" s="14" t="s">
        <v>1986</v>
      </c>
    </row>
    <row r="1215" customHeight="true" ht="13.5">
      <c r="A1215" s="159"/>
      <c r="C1215" s="160" t="s">
        <v>146</v>
      </c>
      <c r="D1215" s="161" t="s">
        <v>1989</v>
      </c>
      <c r="E1215" s="156"/>
      <c r="F1215" s="156"/>
      <c r="G1215" s="156"/>
      <c r="H1215" s="162"/>
      <c r="I1215" s="156"/>
      <c r="J1215" s="156"/>
      <c r="K1215" s="163"/>
    </row>
    <row r="1216">
      <c r="A1216" s="154"/>
      <c r="B1216" s="155"/>
      <c r="C1216" s="155"/>
      <c r="D1216" s="156" t="s">
        <v>892</v>
      </c>
      <c r="E1216" s="156" t="s">
        <v>1217</v>
      </c>
      <c r="F1216" s="155"/>
      <c r="G1216" s="157" t="n">
        <v>89.1</v>
      </c>
      <c r="H1216" s="158"/>
      <c r="I1216" s="155"/>
      <c r="J1216" s="155"/>
      <c r="K1216" s="146"/>
    </row>
    <row r="1217">
      <c r="A1217" s="154"/>
      <c r="B1217" s="155"/>
      <c r="C1217" s="155"/>
      <c r="D1217" s="156" t="s">
        <v>1250</v>
      </c>
      <c r="E1217" s="156" t="s">
        <v>1232</v>
      </c>
      <c r="F1217" s="155"/>
      <c r="G1217" s="157" t="n">
        <v>7.6</v>
      </c>
      <c r="H1217" s="158"/>
      <c r="I1217" s="155"/>
      <c r="J1217" s="155"/>
      <c r="K1217" s="146"/>
    </row>
    <row r="1218">
      <c r="A1218" s="154"/>
      <c r="B1218" s="155"/>
      <c r="C1218" s="155"/>
      <c r="D1218" s="156" t="s">
        <v>1251</v>
      </c>
      <c r="E1218" s="156" t="s">
        <v>1234</v>
      </c>
      <c r="F1218" s="155"/>
      <c r="G1218" s="157" t="n">
        <v>167.5</v>
      </c>
      <c r="H1218" s="158"/>
      <c r="I1218" s="155"/>
      <c r="J1218" s="155"/>
      <c r="K1218" s="146"/>
    </row>
    <row r="1219">
      <c r="A1219" s="154"/>
      <c r="B1219" s="155"/>
      <c r="C1219" s="155"/>
      <c r="D1219" s="156" t="s">
        <v>1252</v>
      </c>
      <c r="E1219" s="156" t="s">
        <v>1236</v>
      </c>
      <c r="F1219" s="155"/>
      <c r="G1219" s="157" t="n">
        <v>47.3</v>
      </c>
      <c r="H1219" s="158"/>
      <c r="I1219" s="155"/>
      <c r="J1219" s="155"/>
      <c r="K1219" s="146"/>
    </row>
    <row r="1220">
      <c r="A1220" s="9" t="s">
        <v>1990</v>
      </c>
      <c r="B1220" s="10" t="s">
        <v>84</v>
      </c>
      <c r="C1220" s="10" t="s">
        <v>1991</v>
      </c>
      <c r="D1220" s="14" t="s">
        <v>1992</v>
      </c>
      <c r="E1220" s="10"/>
      <c r="F1220" s="10" t="s">
        <v>61</v>
      </c>
      <c r="G1220" s="111" t="n">
        <v>1.4</v>
      </c>
      <c r="H1220" s="152" t="n">
        <v>0</v>
      </c>
      <c r="I1220" s="111">
        <f>G1220*H1220</f>
      </c>
      <c r="J1220" s="153" t="s">
        <v>134</v>
      </c>
      <c r="K1220" s="146"/>
      <c r="Z1220" s="111">
        <f>IF(AQ1220="5",BJ1220,0)</f>
      </c>
      <c r="AB1220" s="111">
        <f>IF(AQ1220="1",BH1220,0)</f>
      </c>
      <c r="AC1220" s="111">
        <f>IF(AQ1220="1",BI1220,0)</f>
      </c>
      <c r="AD1220" s="111">
        <f>IF(AQ1220="7",BH1220,0)</f>
      </c>
      <c r="AE1220" s="111">
        <f>IF(AQ1220="7",BI1220,0)</f>
      </c>
      <c r="AF1220" s="111">
        <f>IF(AQ1220="2",BH1220,0)</f>
      </c>
      <c r="AG1220" s="111">
        <f>IF(AQ1220="2",BI1220,0)</f>
      </c>
      <c r="AH1220" s="111">
        <f>IF(AQ1220="0",BJ1220,0)</f>
      </c>
      <c r="AI1220" s="132" t="s">
        <v>84</v>
      </c>
      <c r="AJ1220" s="111">
        <f>IF(AN1220=0,I1220,0)</f>
      </c>
      <c r="AK1220" s="111">
        <f>IF(AN1220=12,I1220,0)</f>
      </c>
      <c r="AL1220" s="111">
        <f>IF(AN1220=21,I1220,0)</f>
      </c>
      <c r="AN1220" s="111" t="n">
        <v>21</v>
      </c>
      <c r="AO1220" s="111">
        <f>H1220*0</f>
      </c>
      <c r="AP1220" s="111">
        <f>H1220*(1-0)</f>
      </c>
      <c r="AQ1220" s="153" t="s">
        <v>156</v>
      </c>
      <c r="AV1220" s="111">
        <f>AW1220+AX1220</f>
      </c>
      <c r="AW1220" s="111">
        <f>G1220*AO1220</f>
      </c>
      <c r="AX1220" s="111">
        <f>G1220*AP1220</f>
      </c>
      <c r="AY1220" s="153" t="s">
        <v>1987</v>
      </c>
      <c r="AZ1220" s="153" t="s">
        <v>1988</v>
      </c>
      <c r="BA1220" s="132" t="s">
        <v>137</v>
      </c>
      <c r="BC1220" s="111">
        <f>AW1220+AX1220</f>
      </c>
      <c r="BD1220" s="111">
        <f>H1220/(100-BE1220)*100</f>
      </c>
      <c r="BE1220" s="111" t="n">
        <v>0</v>
      </c>
      <c r="BF1220" s="111">
        <f>1220</f>
      </c>
      <c r="BH1220" s="111">
        <f>G1220*AO1220</f>
      </c>
      <c r="BI1220" s="111">
        <f>G1220*AP1220</f>
      </c>
      <c r="BJ1220" s="111">
        <f>G1220*H1220</f>
      </c>
      <c r="BK1220" s="111"/>
      <c r="BL1220" s="111" t="n">
        <v>736</v>
      </c>
      <c r="BW1220" s="111" t="n">
        <v>21</v>
      </c>
      <c r="BX1220" s="14" t="s">
        <v>1992</v>
      </c>
    </row>
    <row r="1221">
      <c r="A1221" s="147" t="s">
        <v>4</v>
      </c>
      <c r="B1221" s="148" t="s">
        <v>84</v>
      </c>
      <c r="C1221" s="148" t="s">
        <v>1993</v>
      </c>
      <c r="D1221" s="149" t="s">
        <v>1994</v>
      </c>
      <c r="E1221" s="148"/>
      <c r="F1221" s="150" t="s">
        <v>79</v>
      </c>
      <c r="G1221" s="150" t="s">
        <v>79</v>
      </c>
      <c r="H1221" s="151" t="s">
        <v>79</v>
      </c>
      <c r="I1221" s="117">
        <f>SUM(I1222:I1241)</f>
      </c>
      <c r="J1221" s="132" t="s">
        <v>4</v>
      </c>
      <c r="K1221" s="146"/>
      <c r="AI1221" s="132" t="s">
        <v>84</v>
      </c>
      <c r="AS1221" s="117">
        <f>SUM(AJ1222:AJ1241)</f>
      </c>
      <c r="AT1221" s="117">
        <f>SUM(AK1222:AK1241)</f>
      </c>
      <c r="AU1221" s="117">
        <f>SUM(AL1222:AL1241)</f>
      </c>
    </row>
    <row r="1222">
      <c r="A1222" s="9" t="s">
        <v>1995</v>
      </c>
      <c r="B1222" s="10" t="s">
        <v>84</v>
      </c>
      <c r="C1222" s="10" t="s">
        <v>1996</v>
      </c>
      <c r="D1222" s="14" t="s">
        <v>1997</v>
      </c>
      <c r="E1222" s="10"/>
      <c r="F1222" s="10" t="s">
        <v>145</v>
      </c>
      <c r="G1222" s="111" t="n">
        <v>39.018</v>
      </c>
      <c r="H1222" s="152" t="n">
        <v>0</v>
      </c>
      <c r="I1222" s="111">
        <f>G1222*H1222</f>
      </c>
      <c r="J1222" s="153" t="s">
        <v>134</v>
      </c>
      <c r="K1222" s="146"/>
      <c r="Z1222" s="111">
        <f>IF(AQ1222="5",BJ1222,0)</f>
      </c>
      <c r="AB1222" s="111">
        <f>IF(AQ1222="1",BH1222,0)</f>
      </c>
      <c r="AC1222" s="111">
        <f>IF(AQ1222="1",BI1222,0)</f>
      </c>
      <c r="AD1222" s="111">
        <f>IF(AQ1222="7",BH1222,0)</f>
      </c>
      <c r="AE1222" s="111">
        <f>IF(AQ1222="7",BI1222,0)</f>
      </c>
      <c r="AF1222" s="111">
        <f>IF(AQ1222="2",BH1222,0)</f>
      </c>
      <c r="AG1222" s="111">
        <f>IF(AQ1222="2",BI1222,0)</f>
      </c>
      <c r="AH1222" s="111">
        <f>IF(AQ1222="0",BJ1222,0)</f>
      </c>
      <c r="AI1222" s="132" t="s">
        <v>84</v>
      </c>
      <c r="AJ1222" s="111">
        <f>IF(AN1222=0,I1222,0)</f>
      </c>
      <c r="AK1222" s="111">
        <f>IF(AN1222=12,I1222,0)</f>
      </c>
      <c r="AL1222" s="111">
        <f>IF(AN1222=21,I1222,0)</f>
      </c>
      <c r="AN1222" s="111" t="n">
        <v>21</v>
      </c>
      <c r="AO1222" s="111">
        <f>H1222*0</f>
      </c>
      <c r="AP1222" s="111">
        <f>H1222*(1-0)</f>
      </c>
      <c r="AQ1222" s="153" t="s">
        <v>173</v>
      </c>
      <c r="AV1222" s="111">
        <f>AW1222+AX1222</f>
      </c>
      <c r="AW1222" s="111">
        <f>G1222*AO1222</f>
      </c>
      <c r="AX1222" s="111">
        <f>G1222*AP1222</f>
      </c>
      <c r="AY1222" s="153" t="s">
        <v>1998</v>
      </c>
      <c r="AZ1222" s="153" t="s">
        <v>1999</v>
      </c>
      <c r="BA1222" s="132" t="s">
        <v>137</v>
      </c>
      <c r="BC1222" s="111">
        <f>AW1222+AX1222</f>
      </c>
      <c r="BD1222" s="111">
        <f>H1222/(100-BE1222)*100</f>
      </c>
      <c r="BE1222" s="111" t="n">
        <v>0</v>
      </c>
      <c r="BF1222" s="111">
        <f>1222</f>
      </c>
      <c r="BH1222" s="111">
        <f>G1222*AO1222</f>
      </c>
      <c r="BI1222" s="111">
        <f>G1222*AP1222</f>
      </c>
      <c r="BJ1222" s="111">
        <f>G1222*H1222</f>
      </c>
      <c r="BK1222" s="111"/>
      <c r="BL1222" s="111" t="n">
        <v>762</v>
      </c>
      <c r="BW1222" s="111" t="n">
        <v>21</v>
      </c>
      <c r="BX1222" s="14" t="s">
        <v>1997</v>
      </c>
    </row>
    <row r="1223">
      <c r="A1223" s="154"/>
      <c r="B1223" s="155"/>
      <c r="C1223" s="155"/>
      <c r="D1223" s="156" t="s">
        <v>2000</v>
      </c>
      <c r="E1223" s="156" t="s">
        <v>679</v>
      </c>
      <c r="F1223" s="155"/>
      <c r="G1223" s="157" t="n">
        <v>3.388</v>
      </c>
      <c r="H1223" s="158"/>
      <c r="I1223" s="155"/>
      <c r="J1223" s="155"/>
      <c r="K1223" s="146"/>
    </row>
    <row r="1224">
      <c r="A1224" s="154"/>
      <c r="B1224" s="155"/>
      <c r="C1224" s="155"/>
      <c r="D1224" s="156" t="s">
        <v>2001</v>
      </c>
      <c r="E1224" s="156" t="s">
        <v>681</v>
      </c>
      <c r="F1224" s="155"/>
      <c r="G1224" s="157" t="n">
        <v>1.5825</v>
      </c>
      <c r="H1224" s="158"/>
      <c r="I1224" s="155"/>
      <c r="J1224" s="155"/>
      <c r="K1224" s="146"/>
    </row>
    <row r="1225">
      <c r="A1225" s="154"/>
      <c r="B1225" s="155"/>
      <c r="C1225" s="155"/>
      <c r="D1225" s="156" t="s">
        <v>2002</v>
      </c>
      <c r="E1225" s="156" t="s">
        <v>683</v>
      </c>
      <c r="F1225" s="155"/>
      <c r="G1225" s="157" t="n">
        <v>5.548</v>
      </c>
      <c r="H1225" s="158"/>
      <c r="I1225" s="155"/>
      <c r="J1225" s="155"/>
      <c r="K1225" s="146"/>
    </row>
    <row r="1226">
      <c r="A1226" s="154"/>
      <c r="B1226" s="155"/>
      <c r="C1226" s="155"/>
      <c r="D1226" s="156" t="s">
        <v>2003</v>
      </c>
      <c r="E1226" s="156" t="s">
        <v>685</v>
      </c>
      <c r="F1226" s="155"/>
      <c r="G1226" s="157" t="n">
        <v>14.572</v>
      </c>
      <c r="H1226" s="158"/>
      <c r="I1226" s="155"/>
      <c r="J1226" s="155"/>
      <c r="K1226" s="146"/>
    </row>
    <row r="1227">
      <c r="A1227" s="154"/>
      <c r="B1227" s="155"/>
      <c r="C1227" s="155"/>
      <c r="D1227" s="156" t="s">
        <v>2004</v>
      </c>
      <c r="E1227" s="156" t="s">
        <v>687</v>
      </c>
      <c r="F1227" s="155"/>
      <c r="G1227" s="157" t="n">
        <v>13.9275</v>
      </c>
      <c r="H1227" s="158"/>
      <c r="I1227" s="155"/>
      <c r="J1227" s="155"/>
      <c r="K1227" s="146"/>
    </row>
    <row r="1228">
      <c r="A1228" s="9" t="s">
        <v>2005</v>
      </c>
      <c r="B1228" s="10" t="s">
        <v>84</v>
      </c>
      <c r="C1228" s="10" t="s">
        <v>2006</v>
      </c>
      <c r="D1228" s="14" t="s">
        <v>2007</v>
      </c>
      <c r="E1228" s="10"/>
      <c r="F1228" s="10" t="s">
        <v>133</v>
      </c>
      <c r="G1228" s="111" t="n">
        <v>711.64</v>
      </c>
      <c r="H1228" s="152" t="n">
        <v>0</v>
      </c>
      <c r="I1228" s="111">
        <f>G1228*H1228</f>
      </c>
      <c r="J1228" s="153" t="s">
        <v>134</v>
      </c>
      <c r="K1228" s="146"/>
      <c r="Z1228" s="111">
        <f>IF(AQ1228="5",BJ1228,0)</f>
      </c>
      <c r="AB1228" s="111">
        <f>IF(AQ1228="1",BH1228,0)</f>
      </c>
      <c r="AC1228" s="111">
        <f>IF(AQ1228="1",BI1228,0)</f>
      </c>
      <c r="AD1228" s="111">
        <f>IF(AQ1228="7",BH1228,0)</f>
      </c>
      <c r="AE1228" s="111">
        <f>IF(AQ1228="7",BI1228,0)</f>
      </c>
      <c r="AF1228" s="111">
        <f>IF(AQ1228="2",BH1228,0)</f>
      </c>
      <c r="AG1228" s="111">
        <f>IF(AQ1228="2",BI1228,0)</f>
      </c>
      <c r="AH1228" s="111">
        <f>IF(AQ1228="0",BJ1228,0)</f>
      </c>
      <c r="AI1228" s="132" t="s">
        <v>84</v>
      </c>
      <c r="AJ1228" s="111">
        <f>IF(AN1228=0,I1228,0)</f>
      </c>
      <c r="AK1228" s="111">
        <f>IF(AN1228=12,I1228,0)</f>
      </c>
      <c r="AL1228" s="111">
        <f>IF(AN1228=21,I1228,0)</f>
      </c>
      <c r="AN1228" s="111" t="n">
        <v>21</v>
      </c>
      <c r="AO1228" s="111">
        <f>H1228*1</f>
      </c>
      <c r="AP1228" s="111">
        <f>H1228*(1-1)</f>
      </c>
      <c r="AQ1228" s="153" t="s">
        <v>173</v>
      </c>
      <c r="AV1228" s="111">
        <f>AW1228+AX1228</f>
      </c>
      <c r="AW1228" s="111">
        <f>G1228*AO1228</f>
      </c>
      <c r="AX1228" s="111">
        <f>G1228*AP1228</f>
      </c>
      <c r="AY1228" s="153" t="s">
        <v>1998</v>
      </c>
      <c r="AZ1228" s="153" t="s">
        <v>1999</v>
      </c>
      <c r="BA1228" s="132" t="s">
        <v>137</v>
      </c>
      <c r="BC1228" s="111">
        <f>AW1228+AX1228</f>
      </c>
      <c r="BD1228" s="111">
        <f>H1228/(100-BE1228)*100</f>
      </c>
      <c r="BE1228" s="111" t="n">
        <v>0</v>
      </c>
      <c r="BF1228" s="111">
        <f>1228</f>
      </c>
      <c r="BH1228" s="111">
        <f>G1228*AO1228</f>
      </c>
      <c r="BI1228" s="111">
        <f>G1228*AP1228</f>
      </c>
      <c r="BJ1228" s="111">
        <f>G1228*H1228</f>
      </c>
      <c r="BK1228" s="111"/>
      <c r="BL1228" s="111" t="n">
        <v>762</v>
      </c>
      <c r="BW1228" s="111" t="n">
        <v>21</v>
      </c>
      <c r="BX1228" s="14" t="s">
        <v>2007</v>
      </c>
    </row>
    <row r="1229">
      <c r="A1229" s="154"/>
      <c r="B1229" s="155"/>
      <c r="C1229" s="155"/>
      <c r="D1229" s="156" t="s">
        <v>693</v>
      </c>
      <c r="E1229" s="156" t="s">
        <v>679</v>
      </c>
      <c r="F1229" s="155"/>
      <c r="G1229" s="157" t="n">
        <v>8.47</v>
      </c>
      <c r="H1229" s="158"/>
      <c r="I1229" s="155"/>
      <c r="J1229" s="155"/>
      <c r="K1229" s="146"/>
    </row>
    <row r="1230">
      <c r="A1230" s="154"/>
      <c r="B1230" s="155"/>
      <c r="C1230" s="155"/>
      <c r="D1230" s="156" t="s">
        <v>694</v>
      </c>
      <c r="E1230" s="156" t="s">
        <v>681</v>
      </c>
      <c r="F1230" s="155"/>
      <c r="G1230" s="157" t="n">
        <v>4.22</v>
      </c>
      <c r="H1230" s="158"/>
      <c r="I1230" s="155"/>
      <c r="J1230" s="155"/>
      <c r="K1230" s="146"/>
    </row>
    <row r="1231">
      <c r="A1231" s="154"/>
      <c r="B1231" s="155"/>
      <c r="C1231" s="155"/>
      <c r="D1231" s="156" t="s">
        <v>2008</v>
      </c>
      <c r="E1231" s="156" t="s">
        <v>683</v>
      </c>
      <c r="F1231" s="155"/>
      <c r="G1231" s="157" t="n">
        <v>13.87</v>
      </c>
      <c r="H1231" s="158"/>
      <c r="I1231" s="155"/>
      <c r="J1231" s="155"/>
      <c r="K1231" s="146"/>
    </row>
    <row r="1232">
      <c r="A1232" s="154"/>
      <c r="B1232" s="155"/>
      <c r="C1232" s="155"/>
      <c r="D1232" s="156" t="s">
        <v>2009</v>
      </c>
      <c r="E1232" s="156" t="s">
        <v>685</v>
      </c>
      <c r="F1232" s="155"/>
      <c r="G1232" s="157" t="n">
        <v>36.43</v>
      </c>
      <c r="H1232" s="158"/>
      <c r="I1232" s="155"/>
      <c r="J1232" s="155"/>
      <c r="K1232" s="146"/>
    </row>
    <row r="1233">
      <c r="A1233" s="154"/>
      <c r="B1233" s="155"/>
      <c r="C1233" s="155"/>
      <c r="D1233" s="156" t="s">
        <v>2010</v>
      </c>
      <c r="E1233" s="156" t="s">
        <v>687</v>
      </c>
      <c r="F1233" s="155"/>
      <c r="G1233" s="157" t="n">
        <v>35.85</v>
      </c>
      <c r="H1233" s="158"/>
      <c r="I1233" s="155"/>
      <c r="J1233" s="155"/>
      <c r="K1233" s="146"/>
    </row>
    <row r="1234">
      <c r="A1234" s="154"/>
      <c r="B1234" s="155"/>
      <c r="C1234" s="155"/>
      <c r="D1234" s="156" t="s">
        <v>2011</v>
      </c>
      <c r="E1234" s="156" t="s">
        <v>2012</v>
      </c>
      <c r="F1234" s="155"/>
      <c r="G1234" s="157" t="n">
        <v>494.2</v>
      </c>
      <c r="H1234" s="158"/>
      <c r="I1234" s="155"/>
      <c r="J1234" s="155"/>
      <c r="K1234" s="146"/>
    </row>
    <row r="1235">
      <c r="A1235" s="154"/>
      <c r="B1235" s="155"/>
      <c r="C1235" s="155"/>
      <c r="D1235" s="156" t="s">
        <v>2013</v>
      </c>
      <c r="E1235" s="156" t="s">
        <v>1651</v>
      </c>
      <c r="F1235" s="155"/>
      <c r="G1235" s="157" t="n">
        <v>118.6</v>
      </c>
      <c r="H1235" s="158"/>
      <c r="I1235" s="155"/>
      <c r="J1235" s="155"/>
      <c r="K1235" s="146"/>
    </row>
    <row r="1236">
      <c r="A1236" s="9" t="s">
        <v>2014</v>
      </c>
      <c r="B1236" s="10" t="s">
        <v>84</v>
      </c>
      <c r="C1236" s="10" t="s">
        <v>2015</v>
      </c>
      <c r="D1236" s="14" t="s">
        <v>2016</v>
      </c>
      <c r="E1236" s="10"/>
      <c r="F1236" s="10" t="s">
        <v>145</v>
      </c>
      <c r="G1236" s="111" t="n">
        <v>42.13944</v>
      </c>
      <c r="H1236" s="152" t="n">
        <v>0</v>
      </c>
      <c r="I1236" s="111">
        <f>G1236*H1236</f>
      </c>
      <c r="J1236" s="153" t="s">
        <v>134</v>
      </c>
      <c r="K1236" s="146"/>
      <c r="Z1236" s="111">
        <f>IF(AQ1236="5",BJ1236,0)</f>
      </c>
      <c r="AB1236" s="111">
        <f>IF(AQ1236="1",BH1236,0)</f>
      </c>
      <c r="AC1236" s="111">
        <f>IF(AQ1236="1",BI1236,0)</f>
      </c>
      <c r="AD1236" s="111">
        <f>IF(AQ1236="7",BH1236,0)</f>
      </c>
      <c r="AE1236" s="111">
        <f>IF(AQ1236="7",BI1236,0)</f>
      </c>
      <c r="AF1236" s="111">
        <f>IF(AQ1236="2",BH1236,0)</f>
      </c>
      <c r="AG1236" s="111">
        <f>IF(AQ1236="2",BI1236,0)</f>
      </c>
      <c r="AH1236" s="111">
        <f>IF(AQ1236="0",BJ1236,0)</f>
      </c>
      <c r="AI1236" s="132" t="s">
        <v>84</v>
      </c>
      <c r="AJ1236" s="111">
        <f>IF(AN1236=0,I1236,0)</f>
      </c>
      <c r="AK1236" s="111">
        <f>IF(AN1236=12,I1236,0)</f>
      </c>
      <c r="AL1236" s="111">
        <f>IF(AN1236=21,I1236,0)</f>
      </c>
      <c r="AN1236" s="111" t="n">
        <v>21</v>
      </c>
      <c r="AO1236" s="111">
        <f>H1236*1</f>
      </c>
      <c r="AP1236" s="111">
        <f>H1236*(1-1)</f>
      </c>
      <c r="AQ1236" s="153" t="s">
        <v>173</v>
      </c>
      <c r="AV1236" s="111">
        <f>AW1236+AX1236</f>
      </c>
      <c r="AW1236" s="111">
        <f>G1236*AO1236</f>
      </c>
      <c r="AX1236" s="111">
        <f>G1236*AP1236</f>
      </c>
      <c r="AY1236" s="153" t="s">
        <v>1998</v>
      </c>
      <c r="AZ1236" s="153" t="s">
        <v>1999</v>
      </c>
      <c r="BA1236" s="132" t="s">
        <v>137</v>
      </c>
      <c r="BC1236" s="111">
        <f>AW1236+AX1236</f>
      </c>
      <c r="BD1236" s="111">
        <f>H1236/(100-BE1236)*100</f>
      </c>
      <c r="BE1236" s="111" t="n">
        <v>0</v>
      </c>
      <c r="BF1236" s="111">
        <f>1236</f>
      </c>
      <c r="BH1236" s="111">
        <f>G1236*AO1236</f>
      </c>
      <c r="BI1236" s="111">
        <f>G1236*AP1236</f>
      </c>
      <c r="BJ1236" s="111">
        <f>G1236*H1236</f>
      </c>
      <c r="BK1236" s="111"/>
      <c r="BL1236" s="111" t="n">
        <v>762</v>
      </c>
      <c r="BW1236" s="111" t="n">
        <v>21</v>
      </c>
      <c r="BX1236" s="14" t="s">
        <v>2016</v>
      </c>
    </row>
    <row r="1237">
      <c r="A1237" s="154"/>
      <c r="B1237" s="155"/>
      <c r="C1237" s="155"/>
      <c r="D1237" s="156" t="s">
        <v>2017</v>
      </c>
      <c r="E1237" s="156" t="s">
        <v>2018</v>
      </c>
      <c r="F1237" s="155"/>
      <c r="G1237" s="157" t="n">
        <v>39.018</v>
      </c>
      <c r="H1237" s="158"/>
      <c r="I1237" s="155"/>
      <c r="J1237" s="155"/>
      <c r="K1237" s="146"/>
    </row>
    <row r="1238">
      <c r="A1238" s="154"/>
      <c r="B1238" s="155"/>
      <c r="C1238" s="155"/>
      <c r="D1238" s="156" t="s">
        <v>2019</v>
      </c>
      <c r="E1238" s="156" t="s">
        <v>1716</v>
      </c>
      <c r="F1238" s="155"/>
      <c r="G1238" s="157" t="n">
        <v>3.12144</v>
      </c>
      <c r="H1238" s="158"/>
      <c r="I1238" s="155"/>
      <c r="J1238" s="155"/>
      <c r="K1238" s="146"/>
    </row>
    <row r="1239">
      <c r="A1239" s="9" t="s">
        <v>2020</v>
      </c>
      <c r="B1239" s="10" t="s">
        <v>84</v>
      </c>
      <c r="C1239" s="10" t="s">
        <v>2021</v>
      </c>
      <c r="D1239" s="14" t="s">
        <v>2022</v>
      </c>
      <c r="E1239" s="10"/>
      <c r="F1239" s="10" t="s">
        <v>133</v>
      </c>
      <c r="G1239" s="111" t="n">
        <v>1</v>
      </c>
      <c r="H1239" s="152" t="n">
        <v>0</v>
      </c>
      <c r="I1239" s="111">
        <f>G1239*H1239</f>
      </c>
      <c r="J1239" s="153" t="s">
        <v>134</v>
      </c>
      <c r="K1239" s="146"/>
      <c r="Z1239" s="111">
        <f>IF(AQ1239="5",BJ1239,0)</f>
      </c>
      <c r="AB1239" s="111">
        <f>IF(AQ1239="1",BH1239,0)</f>
      </c>
      <c r="AC1239" s="111">
        <f>IF(AQ1239="1",BI1239,0)</f>
      </c>
      <c r="AD1239" s="111">
        <f>IF(AQ1239="7",BH1239,0)</f>
      </c>
      <c r="AE1239" s="111">
        <f>IF(AQ1239="7",BI1239,0)</f>
      </c>
      <c r="AF1239" s="111">
        <f>IF(AQ1239="2",BH1239,0)</f>
      </c>
      <c r="AG1239" s="111">
        <f>IF(AQ1239="2",BI1239,0)</f>
      </c>
      <c r="AH1239" s="111">
        <f>IF(AQ1239="0",BJ1239,0)</f>
      </c>
      <c r="AI1239" s="132" t="s">
        <v>84</v>
      </c>
      <c r="AJ1239" s="111">
        <f>IF(AN1239=0,I1239,0)</f>
      </c>
      <c r="AK1239" s="111">
        <f>IF(AN1239=12,I1239,0)</f>
      </c>
      <c r="AL1239" s="111">
        <f>IF(AN1239=21,I1239,0)</f>
      </c>
      <c r="AN1239" s="111" t="n">
        <v>21</v>
      </c>
      <c r="AO1239" s="111">
        <f>H1239*0.139967488</f>
      </c>
      <c r="AP1239" s="111">
        <f>H1239*(1-0.139967488)</f>
      </c>
      <c r="AQ1239" s="153" t="s">
        <v>173</v>
      </c>
      <c r="AV1239" s="111">
        <f>AW1239+AX1239</f>
      </c>
      <c r="AW1239" s="111">
        <f>G1239*AO1239</f>
      </c>
      <c r="AX1239" s="111">
        <f>G1239*AP1239</f>
      </c>
      <c r="AY1239" s="153" t="s">
        <v>1998</v>
      </c>
      <c r="AZ1239" s="153" t="s">
        <v>1999</v>
      </c>
      <c r="BA1239" s="132" t="s">
        <v>137</v>
      </c>
      <c r="BC1239" s="111">
        <f>AW1239+AX1239</f>
      </c>
      <c r="BD1239" s="111">
        <f>H1239/(100-BE1239)*100</f>
      </c>
      <c r="BE1239" s="111" t="n">
        <v>0</v>
      </c>
      <c r="BF1239" s="111">
        <f>1239</f>
      </c>
      <c r="BH1239" s="111">
        <f>G1239*AO1239</f>
      </c>
      <c r="BI1239" s="111">
        <f>G1239*AP1239</f>
      </c>
      <c r="BJ1239" s="111">
        <f>G1239*H1239</f>
      </c>
      <c r="BK1239" s="111"/>
      <c r="BL1239" s="111" t="n">
        <v>762</v>
      </c>
      <c r="BW1239" s="111" t="n">
        <v>21</v>
      </c>
      <c r="BX1239" s="14" t="s">
        <v>2022</v>
      </c>
    </row>
    <row r="1240" customHeight="true" ht="13.5">
      <c r="A1240" s="159"/>
      <c r="C1240" s="160" t="s">
        <v>146</v>
      </c>
      <c r="D1240" s="161" t="s">
        <v>2023</v>
      </c>
      <c r="E1240" s="156"/>
      <c r="F1240" s="156"/>
      <c r="G1240" s="156"/>
      <c r="H1240" s="162"/>
      <c r="I1240" s="156"/>
      <c r="J1240" s="156"/>
      <c r="K1240" s="163"/>
    </row>
    <row r="1241">
      <c r="A1241" s="9" t="s">
        <v>2024</v>
      </c>
      <c r="B1241" s="10" t="s">
        <v>84</v>
      </c>
      <c r="C1241" s="10" t="s">
        <v>2025</v>
      </c>
      <c r="D1241" s="14" t="s">
        <v>2026</v>
      </c>
      <c r="E1241" s="10"/>
      <c r="F1241" s="10" t="s">
        <v>61</v>
      </c>
      <c r="G1241" s="111" t="n">
        <v>7.7</v>
      </c>
      <c r="H1241" s="152" t="n">
        <v>0</v>
      </c>
      <c r="I1241" s="111">
        <f>G1241*H1241</f>
      </c>
      <c r="J1241" s="153" t="s">
        <v>134</v>
      </c>
      <c r="K1241" s="146"/>
      <c r="Z1241" s="111">
        <f>IF(AQ1241="5",BJ1241,0)</f>
      </c>
      <c r="AB1241" s="111">
        <f>IF(AQ1241="1",BH1241,0)</f>
      </c>
      <c r="AC1241" s="111">
        <f>IF(AQ1241="1",BI1241,0)</f>
      </c>
      <c r="AD1241" s="111">
        <f>IF(AQ1241="7",BH1241,0)</f>
      </c>
      <c r="AE1241" s="111">
        <f>IF(AQ1241="7",BI1241,0)</f>
      </c>
      <c r="AF1241" s="111">
        <f>IF(AQ1241="2",BH1241,0)</f>
      </c>
      <c r="AG1241" s="111">
        <f>IF(AQ1241="2",BI1241,0)</f>
      </c>
      <c r="AH1241" s="111">
        <f>IF(AQ1241="0",BJ1241,0)</f>
      </c>
      <c r="AI1241" s="132" t="s">
        <v>84</v>
      </c>
      <c r="AJ1241" s="111">
        <f>IF(AN1241=0,I1241,0)</f>
      </c>
      <c r="AK1241" s="111">
        <f>IF(AN1241=12,I1241,0)</f>
      </c>
      <c r="AL1241" s="111">
        <f>IF(AN1241=21,I1241,0)</f>
      </c>
      <c r="AN1241" s="111" t="n">
        <v>21</v>
      </c>
      <c r="AO1241" s="111">
        <f>H1241*0</f>
      </c>
      <c r="AP1241" s="111">
        <f>H1241*(1-0)</f>
      </c>
      <c r="AQ1241" s="153" t="s">
        <v>156</v>
      </c>
      <c r="AV1241" s="111">
        <f>AW1241+AX1241</f>
      </c>
      <c r="AW1241" s="111">
        <f>G1241*AO1241</f>
      </c>
      <c r="AX1241" s="111">
        <f>G1241*AP1241</f>
      </c>
      <c r="AY1241" s="153" t="s">
        <v>1998</v>
      </c>
      <c r="AZ1241" s="153" t="s">
        <v>1999</v>
      </c>
      <c r="BA1241" s="132" t="s">
        <v>137</v>
      </c>
      <c r="BC1241" s="111">
        <f>AW1241+AX1241</f>
      </c>
      <c r="BD1241" s="111">
        <f>H1241/(100-BE1241)*100</f>
      </c>
      <c r="BE1241" s="111" t="n">
        <v>0</v>
      </c>
      <c r="BF1241" s="111">
        <f>1241</f>
      </c>
      <c r="BH1241" s="111">
        <f>G1241*AO1241</f>
      </c>
      <c r="BI1241" s="111">
        <f>G1241*AP1241</f>
      </c>
      <c r="BJ1241" s="111">
        <f>G1241*H1241</f>
      </c>
      <c r="BK1241" s="111"/>
      <c r="BL1241" s="111" t="n">
        <v>762</v>
      </c>
      <c r="BW1241" s="111" t="n">
        <v>21</v>
      </c>
      <c r="BX1241" s="14" t="s">
        <v>2026</v>
      </c>
    </row>
    <row r="1242">
      <c r="A1242" s="147" t="s">
        <v>4</v>
      </c>
      <c r="B1242" s="148" t="s">
        <v>84</v>
      </c>
      <c r="C1242" s="148" t="s">
        <v>2027</v>
      </c>
      <c r="D1242" s="149" t="s">
        <v>2028</v>
      </c>
      <c r="E1242" s="148"/>
      <c r="F1242" s="150" t="s">
        <v>79</v>
      </c>
      <c r="G1242" s="150" t="s">
        <v>79</v>
      </c>
      <c r="H1242" s="151" t="s">
        <v>79</v>
      </c>
      <c r="I1242" s="117">
        <f>SUM(I1243:I1306)</f>
      </c>
      <c r="J1242" s="132" t="s">
        <v>4</v>
      </c>
      <c r="K1242" s="146"/>
      <c r="AI1242" s="132" t="s">
        <v>84</v>
      </c>
      <c r="AS1242" s="117">
        <f>SUM(AJ1243:AJ1306)</f>
      </c>
      <c r="AT1242" s="117">
        <f>SUM(AK1243:AK1306)</f>
      </c>
      <c r="AU1242" s="117">
        <f>SUM(AL1243:AL1306)</f>
      </c>
    </row>
    <row r="1243">
      <c r="A1243" s="9" t="s">
        <v>2029</v>
      </c>
      <c r="B1243" s="10" t="s">
        <v>84</v>
      </c>
      <c r="C1243" s="10" t="s">
        <v>2030</v>
      </c>
      <c r="D1243" s="14" t="s">
        <v>2031</v>
      </c>
      <c r="E1243" s="10"/>
      <c r="F1243" s="10" t="s">
        <v>282</v>
      </c>
      <c r="G1243" s="111" t="n">
        <v>3.1</v>
      </c>
      <c r="H1243" s="152" t="n">
        <v>0</v>
      </c>
      <c r="I1243" s="111">
        <f>G1243*H1243</f>
      </c>
      <c r="J1243" s="153" t="s">
        <v>134</v>
      </c>
      <c r="K1243" s="146"/>
      <c r="Z1243" s="111">
        <f>IF(AQ1243="5",BJ1243,0)</f>
      </c>
      <c r="AB1243" s="111">
        <f>IF(AQ1243="1",BH1243,0)</f>
      </c>
      <c r="AC1243" s="111">
        <f>IF(AQ1243="1",BI1243,0)</f>
      </c>
      <c r="AD1243" s="111">
        <f>IF(AQ1243="7",BH1243,0)</f>
      </c>
      <c r="AE1243" s="111">
        <f>IF(AQ1243="7",BI1243,0)</f>
      </c>
      <c r="AF1243" s="111">
        <f>IF(AQ1243="2",BH1243,0)</f>
      </c>
      <c r="AG1243" s="111">
        <f>IF(AQ1243="2",BI1243,0)</f>
      </c>
      <c r="AH1243" s="111">
        <f>IF(AQ1243="0",BJ1243,0)</f>
      </c>
      <c r="AI1243" s="132" t="s">
        <v>84</v>
      </c>
      <c r="AJ1243" s="111">
        <f>IF(AN1243=0,I1243,0)</f>
      </c>
      <c r="AK1243" s="111">
        <f>IF(AN1243=12,I1243,0)</f>
      </c>
      <c r="AL1243" s="111">
        <f>IF(AN1243=21,I1243,0)</f>
      </c>
      <c r="AN1243" s="111" t="n">
        <v>21</v>
      </c>
      <c r="AO1243" s="111">
        <f>H1243*0.262965836</f>
      </c>
      <c r="AP1243" s="111">
        <f>H1243*(1-0.262965836)</f>
      </c>
      <c r="AQ1243" s="153" t="s">
        <v>173</v>
      </c>
      <c r="AV1243" s="111">
        <f>AW1243+AX1243</f>
      </c>
      <c r="AW1243" s="111">
        <f>G1243*AO1243</f>
      </c>
      <c r="AX1243" s="111">
        <f>G1243*AP1243</f>
      </c>
      <c r="AY1243" s="153" t="s">
        <v>2032</v>
      </c>
      <c r="AZ1243" s="153" t="s">
        <v>1999</v>
      </c>
      <c r="BA1243" s="132" t="s">
        <v>137</v>
      </c>
      <c r="BC1243" s="111">
        <f>AW1243+AX1243</f>
      </c>
      <c r="BD1243" s="111">
        <f>H1243/(100-BE1243)*100</f>
      </c>
      <c r="BE1243" s="111" t="n">
        <v>0</v>
      </c>
      <c r="BF1243" s="111">
        <f>1243</f>
      </c>
      <c r="BH1243" s="111">
        <f>G1243*AO1243</f>
      </c>
      <c r="BI1243" s="111">
        <f>G1243*AP1243</f>
      </c>
      <c r="BJ1243" s="111">
        <f>G1243*H1243</f>
      </c>
      <c r="BK1243" s="111"/>
      <c r="BL1243" s="111" t="n">
        <v>764</v>
      </c>
      <c r="BW1243" s="111" t="n">
        <v>21</v>
      </c>
      <c r="BX1243" s="14" t="s">
        <v>2031</v>
      </c>
    </row>
    <row r="1244" customHeight="true" ht="13.5">
      <c r="A1244" s="159"/>
      <c r="C1244" s="160" t="s">
        <v>146</v>
      </c>
      <c r="D1244" s="161" t="s">
        <v>2033</v>
      </c>
      <c r="E1244" s="156"/>
      <c r="F1244" s="156"/>
      <c r="G1244" s="156"/>
      <c r="H1244" s="162"/>
      <c r="I1244" s="156"/>
      <c r="J1244" s="156"/>
      <c r="K1244" s="163"/>
    </row>
    <row r="1245">
      <c r="A1245" s="154"/>
      <c r="B1245" s="155"/>
      <c r="C1245" s="155"/>
      <c r="D1245" s="156" t="s">
        <v>2034</v>
      </c>
      <c r="E1245" s="156" t="s">
        <v>2035</v>
      </c>
      <c r="F1245" s="155"/>
      <c r="G1245" s="157" t="n">
        <v>3.1</v>
      </c>
      <c r="H1245" s="158"/>
      <c r="I1245" s="155"/>
      <c r="J1245" s="155"/>
      <c r="K1245" s="146"/>
    </row>
    <row r="1246">
      <c r="A1246" s="9" t="s">
        <v>2036</v>
      </c>
      <c r="B1246" s="10" t="s">
        <v>84</v>
      </c>
      <c r="C1246" s="10" t="s">
        <v>2037</v>
      </c>
      <c r="D1246" s="14" t="s">
        <v>2038</v>
      </c>
      <c r="E1246" s="10"/>
      <c r="F1246" s="10" t="s">
        <v>282</v>
      </c>
      <c r="G1246" s="111" t="n">
        <v>28.5</v>
      </c>
      <c r="H1246" s="152" t="n">
        <v>0</v>
      </c>
      <c r="I1246" s="111">
        <f>G1246*H1246</f>
      </c>
      <c r="J1246" s="153" t="s">
        <v>134</v>
      </c>
      <c r="K1246" s="146"/>
      <c r="Z1246" s="111">
        <f>IF(AQ1246="5",BJ1246,0)</f>
      </c>
      <c r="AB1246" s="111">
        <f>IF(AQ1246="1",BH1246,0)</f>
      </c>
      <c r="AC1246" s="111">
        <f>IF(AQ1246="1",BI1246,0)</f>
      </c>
      <c r="AD1246" s="111">
        <f>IF(AQ1246="7",BH1246,0)</f>
      </c>
      <c r="AE1246" s="111">
        <f>IF(AQ1246="7",BI1246,0)</f>
      </c>
      <c r="AF1246" s="111">
        <f>IF(AQ1246="2",BH1246,0)</f>
      </c>
      <c r="AG1246" s="111">
        <f>IF(AQ1246="2",BI1246,0)</f>
      </c>
      <c r="AH1246" s="111">
        <f>IF(AQ1246="0",BJ1246,0)</f>
      </c>
      <c r="AI1246" s="132" t="s">
        <v>84</v>
      </c>
      <c r="AJ1246" s="111">
        <f>IF(AN1246=0,I1246,0)</f>
      </c>
      <c r="AK1246" s="111">
        <f>IF(AN1246=12,I1246,0)</f>
      </c>
      <c r="AL1246" s="111">
        <f>IF(AN1246=21,I1246,0)</f>
      </c>
      <c r="AN1246" s="111" t="n">
        <v>21</v>
      </c>
      <c r="AO1246" s="111">
        <f>H1246*0.306613528</f>
      </c>
      <c r="AP1246" s="111">
        <f>H1246*(1-0.306613528)</f>
      </c>
      <c r="AQ1246" s="153" t="s">
        <v>173</v>
      </c>
      <c r="AV1246" s="111">
        <f>AW1246+AX1246</f>
      </c>
      <c r="AW1246" s="111">
        <f>G1246*AO1246</f>
      </c>
      <c r="AX1246" s="111">
        <f>G1246*AP1246</f>
      </c>
      <c r="AY1246" s="153" t="s">
        <v>2032</v>
      </c>
      <c r="AZ1246" s="153" t="s">
        <v>1999</v>
      </c>
      <c r="BA1246" s="132" t="s">
        <v>137</v>
      </c>
      <c r="BC1246" s="111">
        <f>AW1246+AX1246</f>
      </c>
      <c r="BD1246" s="111">
        <f>H1246/(100-BE1246)*100</f>
      </c>
      <c r="BE1246" s="111" t="n">
        <v>0</v>
      </c>
      <c r="BF1246" s="111">
        <f>1246</f>
      </c>
      <c r="BH1246" s="111">
        <f>G1246*AO1246</f>
      </c>
      <c r="BI1246" s="111">
        <f>G1246*AP1246</f>
      </c>
      <c r="BJ1246" s="111">
        <f>G1246*H1246</f>
      </c>
      <c r="BK1246" s="111"/>
      <c r="BL1246" s="111" t="n">
        <v>764</v>
      </c>
      <c r="BW1246" s="111" t="n">
        <v>21</v>
      </c>
      <c r="BX1246" s="14" t="s">
        <v>2038</v>
      </c>
    </row>
    <row r="1247" customHeight="true" ht="13.5">
      <c r="A1247" s="159"/>
      <c r="C1247" s="160" t="s">
        <v>146</v>
      </c>
      <c r="D1247" s="161" t="s">
        <v>2033</v>
      </c>
      <c r="E1247" s="156"/>
      <c r="F1247" s="156"/>
      <c r="G1247" s="156"/>
      <c r="H1247" s="162"/>
      <c r="I1247" s="156"/>
      <c r="J1247" s="156"/>
      <c r="K1247" s="163"/>
    </row>
    <row r="1248">
      <c r="A1248" s="154"/>
      <c r="B1248" s="155"/>
      <c r="C1248" s="155"/>
      <c r="D1248" s="156" t="s">
        <v>2039</v>
      </c>
      <c r="E1248" s="156" t="s">
        <v>2040</v>
      </c>
      <c r="F1248" s="155"/>
      <c r="G1248" s="157" t="n">
        <v>5.3</v>
      </c>
      <c r="H1248" s="158"/>
      <c r="I1248" s="155"/>
      <c r="J1248" s="155"/>
      <c r="K1248" s="146"/>
    </row>
    <row r="1249">
      <c r="A1249" s="154"/>
      <c r="B1249" s="155"/>
      <c r="C1249" s="155"/>
      <c r="D1249" s="156" t="s">
        <v>2041</v>
      </c>
      <c r="E1249" s="156" t="s">
        <v>2042</v>
      </c>
      <c r="F1249" s="155"/>
      <c r="G1249" s="157" t="n">
        <v>3.2</v>
      </c>
      <c r="H1249" s="158"/>
      <c r="I1249" s="155"/>
      <c r="J1249" s="155"/>
      <c r="K1249" s="146"/>
    </row>
    <row r="1250">
      <c r="A1250" s="154"/>
      <c r="B1250" s="155"/>
      <c r="C1250" s="155"/>
      <c r="D1250" s="156" t="s">
        <v>224</v>
      </c>
      <c r="E1250" s="156" t="s">
        <v>2043</v>
      </c>
      <c r="F1250" s="155"/>
      <c r="G1250" s="157" t="n">
        <v>15</v>
      </c>
      <c r="H1250" s="158"/>
      <c r="I1250" s="155"/>
      <c r="J1250" s="155"/>
      <c r="K1250" s="146"/>
    </row>
    <row r="1251">
      <c r="A1251" s="154"/>
      <c r="B1251" s="155"/>
      <c r="C1251" s="155"/>
      <c r="D1251" s="156" t="s">
        <v>156</v>
      </c>
      <c r="E1251" s="156" t="s">
        <v>2044</v>
      </c>
      <c r="F1251" s="155"/>
      <c r="G1251" s="157" t="n">
        <v>5</v>
      </c>
      <c r="H1251" s="158"/>
      <c r="I1251" s="155"/>
      <c r="J1251" s="155"/>
      <c r="K1251" s="146"/>
    </row>
    <row r="1252">
      <c r="A1252" s="9" t="s">
        <v>2045</v>
      </c>
      <c r="B1252" s="10" t="s">
        <v>84</v>
      </c>
      <c r="C1252" s="10" t="s">
        <v>2046</v>
      </c>
      <c r="D1252" s="14" t="s">
        <v>2047</v>
      </c>
      <c r="E1252" s="10"/>
      <c r="F1252" s="10" t="s">
        <v>282</v>
      </c>
      <c r="G1252" s="111" t="n">
        <v>19</v>
      </c>
      <c r="H1252" s="152" t="n">
        <v>0</v>
      </c>
      <c r="I1252" s="111">
        <f>G1252*H1252</f>
      </c>
      <c r="J1252" s="153" t="s">
        <v>134</v>
      </c>
      <c r="K1252" s="146"/>
      <c r="Z1252" s="111">
        <f>IF(AQ1252="5",BJ1252,0)</f>
      </c>
      <c r="AB1252" s="111">
        <f>IF(AQ1252="1",BH1252,0)</f>
      </c>
      <c r="AC1252" s="111">
        <f>IF(AQ1252="1",BI1252,0)</f>
      </c>
      <c r="AD1252" s="111">
        <f>IF(AQ1252="7",BH1252,0)</f>
      </c>
      <c r="AE1252" s="111">
        <f>IF(AQ1252="7",BI1252,0)</f>
      </c>
      <c r="AF1252" s="111">
        <f>IF(AQ1252="2",BH1252,0)</f>
      </c>
      <c r="AG1252" s="111">
        <f>IF(AQ1252="2",BI1252,0)</f>
      </c>
      <c r="AH1252" s="111">
        <f>IF(AQ1252="0",BJ1252,0)</f>
      </c>
      <c r="AI1252" s="132" t="s">
        <v>84</v>
      </c>
      <c r="AJ1252" s="111">
        <f>IF(AN1252=0,I1252,0)</f>
      </c>
      <c r="AK1252" s="111">
        <f>IF(AN1252=12,I1252,0)</f>
      </c>
      <c r="AL1252" s="111">
        <f>IF(AN1252=21,I1252,0)</f>
      </c>
      <c r="AN1252" s="111" t="n">
        <v>21</v>
      </c>
      <c r="AO1252" s="111">
        <f>H1252*0.232563667</f>
      </c>
      <c r="AP1252" s="111">
        <f>H1252*(1-0.232563667)</f>
      </c>
      <c r="AQ1252" s="153" t="s">
        <v>173</v>
      </c>
      <c r="AV1252" s="111">
        <f>AW1252+AX1252</f>
      </c>
      <c r="AW1252" s="111">
        <f>G1252*AO1252</f>
      </c>
      <c r="AX1252" s="111">
        <f>G1252*AP1252</f>
      </c>
      <c r="AY1252" s="153" t="s">
        <v>2032</v>
      </c>
      <c r="AZ1252" s="153" t="s">
        <v>1999</v>
      </c>
      <c r="BA1252" s="132" t="s">
        <v>137</v>
      </c>
      <c r="BC1252" s="111">
        <f>AW1252+AX1252</f>
      </c>
      <c r="BD1252" s="111">
        <f>H1252/(100-BE1252)*100</f>
      </c>
      <c r="BE1252" s="111" t="n">
        <v>0</v>
      </c>
      <c r="BF1252" s="111">
        <f>1252</f>
      </c>
      <c r="BH1252" s="111">
        <f>G1252*AO1252</f>
      </c>
      <c r="BI1252" s="111">
        <f>G1252*AP1252</f>
      </c>
      <c r="BJ1252" s="111">
        <f>G1252*H1252</f>
      </c>
      <c r="BK1252" s="111"/>
      <c r="BL1252" s="111" t="n">
        <v>764</v>
      </c>
      <c r="BW1252" s="111" t="n">
        <v>21</v>
      </c>
      <c r="BX1252" s="14" t="s">
        <v>2047</v>
      </c>
    </row>
    <row r="1253" customHeight="true" ht="13.5">
      <c r="A1253" s="159"/>
      <c r="C1253" s="160" t="s">
        <v>146</v>
      </c>
      <c r="D1253" s="161" t="s">
        <v>2033</v>
      </c>
      <c r="E1253" s="156"/>
      <c r="F1253" s="156"/>
      <c r="G1253" s="156"/>
      <c r="H1253" s="162"/>
      <c r="I1253" s="156"/>
      <c r="J1253" s="156"/>
      <c r="K1253" s="163"/>
    </row>
    <row r="1254">
      <c r="A1254" s="154"/>
      <c r="B1254" s="155"/>
      <c r="C1254" s="155"/>
      <c r="D1254" s="156" t="s">
        <v>239</v>
      </c>
      <c r="E1254" s="156" t="s">
        <v>2048</v>
      </c>
      <c r="F1254" s="155"/>
      <c r="G1254" s="157" t="n">
        <v>19</v>
      </c>
      <c r="H1254" s="158"/>
      <c r="I1254" s="155"/>
      <c r="J1254" s="155"/>
      <c r="K1254" s="146"/>
    </row>
    <row r="1255">
      <c r="A1255" s="9" t="s">
        <v>2049</v>
      </c>
      <c r="B1255" s="10" t="s">
        <v>84</v>
      </c>
      <c r="C1255" s="10" t="s">
        <v>2050</v>
      </c>
      <c r="D1255" s="14" t="s">
        <v>2051</v>
      </c>
      <c r="E1255" s="10"/>
      <c r="F1255" s="10" t="s">
        <v>282</v>
      </c>
      <c r="G1255" s="111" t="n">
        <v>104</v>
      </c>
      <c r="H1255" s="152" t="n">
        <v>0</v>
      </c>
      <c r="I1255" s="111">
        <f>G1255*H1255</f>
      </c>
      <c r="J1255" s="153" t="s">
        <v>134</v>
      </c>
      <c r="K1255" s="146"/>
      <c r="Z1255" s="111">
        <f>IF(AQ1255="5",BJ1255,0)</f>
      </c>
      <c r="AB1255" s="111">
        <f>IF(AQ1255="1",BH1255,0)</f>
      </c>
      <c r="AC1255" s="111">
        <f>IF(AQ1255="1",BI1255,0)</f>
      </c>
      <c r="AD1255" s="111">
        <f>IF(AQ1255="7",BH1255,0)</f>
      </c>
      <c r="AE1255" s="111">
        <f>IF(AQ1255="7",BI1255,0)</f>
      </c>
      <c r="AF1255" s="111">
        <f>IF(AQ1255="2",BH1255,0)</f>
      </c>
      <c r="AG1255" s="111">
        <f>IF(AQ1255="2",BI1255,0)</f>
      </c>
      <c r="AH1255" s="111">
        <f>IF(AQ1255="0",BJ1255,0)</f>
      </c>
      <c r="AI1255" s="132" t="s">
        <v>84</v>
      </c>
      <c r="AJ1255" s="111">
        <f>IF(AN1255=0,I1255,0)</f>
      </c>
      <c r="AK1255" s="111">
        <f>IF(AN1255=12,I1255,0)</f>
      </c>
      <c r="AL1255" s="111">
        <f>IF(AN1255=21,I1255,0)</f>
      </c>
      <c r="AN1255" s="111" t="n">
        <v>21</v>
      </c>
      <c r="AO1255" s="111">
        <f>H1255*0.520152091</f>
      </c>
      <c r="AP1255" s="111">
        <f>H1255*(1-0.520152091)</f>
      </c>
      <c r="AQ1255" s="153" t="s">
        <v>173</v>
      </c>
      <c r="AV1255" s="111">
        <f>AW1255+AX1255</f>
      </c>
      <c r="AW1255" s="111">
        <f>G1255*AO1255</f>
      </c>
      <c r="AX1255" s="111">
        <f>G1255*AP1255</f>
      </c>
      <c r="AY1255" s="153" t="s">
        <v>2032</v>
      </c>
      <c r="AZ1255" s="153" t="s">
        <v>1999</v>
      </c>
      <c r="BA1255" s="132" t="s">
        <v>137</v>
      </c>
      <c r="BC1255" s="111">
        <f>AW1255+AX1255</f>
      </c>
      <c r="BD1255" s="111">
        <f>H1255/(100-BE1255)*100</f>
      </c>
      <c r="BE1255" s="111" t="n">
        <v>0</v>
      </c>
      <c r="BF1255" s="111">
        <f>1255</f>
      </c>
      <c r="BH1255" s="111">
        <f>G1255*AO1255</f>
      </c>
      <c r="BI1255" s="111">
        <f>G1255*AP1255</f>
      </c>
      <c r="BJ1255" s="111">
        <f>G1255*H1255</f>
      </c>
      <c r="BK1255" s="111"/>
      <c r="BL1255" s="111" t="n">
        <v>764</v>
      </c>
      <c r="BW1255" s="111" t="n">
        <v>21</v>
      </c>
      <c r="BX1255" s="14" t="s">
        <v>2051</v>
      </c>
    </row>
    <row r="1256" customHeight="true" ht="13.5">
      <c r="A1256" s="159"/>
      <c r="C1256" s="160" t="s">
        <v>146</v>
      </c>
      <c r="D1256" s="161" t="s">
        <v>2052</v>
      </c>
      <c r="E1256" s="156"/>
      <c r="F1256" s="156"/>
      <c r="G1256" s="156"/>
      <c r="H1256" s="162"/>
      <c r="I1256" s="156"/>
      <c r="J1256" s="156"/>
      <c r="K1256" s="163"/>
    </row>
    <row r="1257">
      <c r="A1257" s="154"/>
      <c r="B1257" s="155"/>
      <c r="C1257" s="155"/>
      <c r="D1257" s="156" t="s">
        <v>825</v>
      </c>
      <c r="E1257" s="156" t="s">
        <v>2053</v>
      </c>
      <c r="F1257" s="155"/>
      <c r="G1257" s="157" t="n">
        <v>104</v>
      </c>
      <c r="H1257" s="158"/>
      <c r="I1257" s="155"/>
      <c r="J1257" s="155"/>
      <c r="K1257" s="146"/>
    </row>
    <row r="1258">
      <c r="A1258" s="9" t="s">
        <v>2054</v>
      </c>
      <c r="B1258" s="10" t="s">
        <v>84</v>
      </c>
      <c r="C1258" s="10" t="s">
        <v>2055</v>
      </c>
      <c r="D1258" s="14" t="s">
        <v>2056</v>
      </c>
      <c r="E1258" s="10"/>
      <c r="F1258" s="10" t="s">
        <v>282</v>
      </c>
      <c r="G1258" s="111" t="n">
        <v>3</v>
      </c>
      <c r="H1258" s="152" t="n">
        <v>0</v>
      </c>
      <c r="I1258" s="111">
        <f>G1258*H1258</f>
      </c>
      <c r="J1258" s="153" t="s">
        <v>134</v>
      </c>
      <c r="K1258" s="146"/>
      <c r="Z1258" s="111">
        <f>IF(AQ1258="5",BJ1258,0)</f>
      </c>
      <c r="AB1258" s="111">
        <f>IF(AQ1258="1",BH1258,0)</f>
      </c>
      <c r="AC1258" s="111">
        <f>IF(AQ1258="1",BI1258,0)</f>
      </c>
      <c r="AD1258" s="111">
        <f>IF(AQ1258="7",BH1258,0)</f>
      </c>
      <c r="AE1258" s="111">
        <f>IF(AQ1258="7",BI1258,0)</f>
      </c>
      <c r="AF1258" s="111">
        <f>IF(AQ1258="2",BH1258,0)</f>
      </c>
      <c r="AG1258" s="111">
        <f>IF(AQ1258="2",BI1258,0)</f>
      </c>
      <c r="AH1258" s="111">
        <f>IF(AQ1258="0",BJ1258,0)</f>
      </c>
      <c r="AI1258" s="132" t="s">
        <v>84</v>
      </c>
      <c r="AJ1258" s="111">
        <f>IF(AN1258=0,I1258,0)</f>
      </c>
      <c r="AK1258" s="111">
        <f>IF(AN1258=12,I1258,0)</f>
      </c>
      <c r="AL1258" s="111">
        <f>IF(AN1258=21,I1258,0)</f>
      </c>
      <c r="AN1258" s="111" t="n">
        <v>21</v>
      </c>
      <c r="AO1258" s="111">
        <f>H1258*0.432377241</f>
      </c>
      <c r="AP1258" s="111">
        <f>H1258*(1-0.432377241)</f>
      </c>
      <c r="AQ1258" s="153" t="s">
        <v>173</v>
      </c>
      <c r="AV1258" s="111">
        <f>AW1258+AX1258</f>
      </c>
      <c r="AW1258" s="111">
        <f>G1258*AO1258</f>
      </c>
      <c r="AX1258" s="111">
        <f>G1258*AP1258</f>
      </c>
      <c r="AY1258" s="153" t="s">
        <v>2032</v>
      </c>
      <c r="AZ1258" s="153" t="s">
        <v>1999</v>
      </c>
      <c r="BA1258" s="132" t="s">
        <v>137</v>
      </c>
      <c r="BC1258" s="111">
        <f>AW1258+AX1258</f>
      </c>
      <c r="BD1258" s="111">
        <f>H1258/(100-BE1258)*100</f>
      </c>
      <c r="BE1258" s="111" t="n">
        <v>0</v>
      </c>
      <c r="BF1258" s="111">
        <f>1258</f>
      </c>
      <c r="BH1258" s="111">
        <f>G1258*AO1258</f>
      </c>
      <c r="BI1258" s="111">
        <f>G1258*AP1258</f>
      </c>
      <c r="BJ1258" s="111">
        <f>G1258*H1258</f>
      </c>
      <c r="BK1258" s="111"/>
      <c r="BL1258" s="111" t="n">
        <v>764</v>
      </c>
      <c r="BW1258" s="111" t="n">
        <v>21</v>
      </c>
      <c r="BX1258" s="14" t="s">
        <v>2056</v>
      </c>
    </row>
    <row r="1259" customHeight="true" ht="13.5">
      <c r="A1259" s="159"/>
      <c r="C1259" s="160" t="s">
        <v>146</v>
      </c>
      <c r="D1259" s="161" t="s">
        <v>2052</v>
      </c>
      <c r="E1259" s="156"/>
      <c r="F1259" s="156"/>
      <c r="G1259" s="156"/>
      <c r="H1259" s="162"/>
      <c r="I1259" s="156"/>
      <c r="J1259" s="156"/>
      <c r="K1259" s="163"/>
    </row>
    <row r="1260">
      <c r="A1260" s="154"/>
      <c r="B1260" s="155"/>
      <c r="C1260" s="155"/>
      <c r="D1260" s="156" t="s">
        <v>138</v>
      </c>
      <c r="E1260" s="156" t="s">
        <v>2057</v>
      </c>
      <c r="F1260" s="155"/>
      <c r="G1260" s="157" t="n">
        <v>3</v>
      </c>
      <c r="H1260" s="158"/>
      <c r="I1260" s="155"/>
      <c r="J1260" s="155"/>
      <c r="K1260" s="146"/>
    </row>
    <row r="1261">
      <c r="A1261" s="9" t="s">
        <v>2058</v>
      </c>
      <c r="B1261" s="10" t="s">
        <v>84</v>
      </c>
      <c r="C1261" s="10" t="s">
        <v>2059</v>
      </c>
      <c r="D1261" s="14" t="s">
        <v>2060</v>
      </c>
      <c r="E1261" s="10"/>
      <c r="F1261" s="10" t="s">
        <v>282</v>
      </c>
      <c r="G1261" s="111" t="n">
        <v>8</v>
      </c>
      <c r="H1261" s="152" t="n">
        <v>0</v>
      </c>
      <c r="I1261" s="111">
        <f>G1261*H1261</f>
      </c>
      <c r="J1261" s="153" t="s">
        <v>134</v>
      </c>
      <c r="K1261" s="146"/>
      <c r="Z1261" s="111">
        <f>IF(AQ1261="5",BJ1261,0)</f>
      </c>
      <c r="AB1261" s="111">
        <f>IF(AQ1261="1",BH1261,0)</f>
      </c>
      <c r="AC1261" s="111">
        <f>IF(AQ1261="1",BI1261,0)</f>
      </c>
      <c r="AD1261" s="111">
        <f>IF(AQ1261="7",BH1261,0)</f>
      </c>
      <c r="AE1261" s="111">
        <f>IF(AQ1261="7",BI1261,0)</f>
      </c>
      <c r="AF1261" s="111">
        <f>IF(AQ1261="2",BH1261,0)</f>
      </c>
      <c r="AG1261" s="111">
        <f>IF(AQ1261="2",BI1261,0)</f>
      </c>
      <c r="AH1261" s="111">
        <f>IF(AQ1261="0",BJ1261,0)</f>
      </c>
      <c r="AI1261" s="132" t="s">
        <v>84</v>
      </c>
      <c r="AJ1261" s="111">
        <f>IF(AN1261=0,I1261,0)</f>
      </c>
      <c r="AK1261" s="111">
        <f>IF(AN1261=12,I1261,0)</f>
      </c>
      <c r="AL1261" s="111">
        <f>IF(AN1261=21,I1261,0)</f>
      </c>
      <c r="AN1261" s="111" t="n">
        <v>21</v>
      </c>
      <c r="AO1261" s="111">
        <f>H1261*0.659733066</f>
      </c>
      <c r="AP1261" s="111">
        <f>H1261*(1-0.659733066)</f>
      </c>
      <c r="AQ1261" s="153" t="s">
        <v>173</v>
      </c>
      <c r="AV1261" s="111">
        <f>AW1261+AX1261</f>
      </c>
      <c r="AW1261" s="111">
        <f>G1261*AO1261</f>
      </c>
      <c r="AX1261" s="111">
        <f>G1261*AP1261</f>
      </c>
      <c r="AY1261" s="153" t="s">
        <v>2032</v>
      </c>
      <c r="AZ1261" s="153" t="s">
        <v>1999</v>
      </c>
      <c r="BA1261" s="132" t="s">
        <v>137</v>
      </c>
      <c r="BC1261" s="111">
        <f>AW1261+AX1261</f>
      </c>
      <c r="BD1261" s="111">
        <f>H1261/(100-BE1261)*100</f>
      </c>
      <c r="BE1261" s="111" t="n">
        <v>0</v>
      </c>
      <c r="BF1261" s="111">
        <f>1261</f>
      </c>
      <c r="BH1261" s="111">
        <f>G1261*AO1261</f>
      </c>
      <c r="BI1261" s="111">
        <f>G1261*AP1261</f>
      </c>
      <c r="BJ1261" s="111">
        <f>G1261*H1261</f>
      </c>
      <c r="BK1261" s="111"/>
      <c r="BL1261" s="111" t="n">
        <v>764</v>
      </c>
      <c r="BW1261" s="111" t="n">
        <v>21</v>
      </c>
      <c r="BX1261" s="14" t="s">
        <v>2060</v>
      </c>
    </row>
    <row r="1262" customHeight="true" ht="13.5">
      <c r="A1262" s="159"/>
      <c r="C1262" s="160" t="s">
        <v>146</v>
      </c>
      <c r="D1262" s="161" t="s">
        <v>2033</v>
      </c>
      <c r="E1262" s="156"/>
      <c r="F1262" s="156"/>
      <c r="G1262" s="156"/>
      <c r="H1262" s="162"/>
      <c r="I1262" s="156"/>
      <c r="J1262" s="156"/>
      <c r="K1262" s="163"/>
    </row>
    <row r="1263">
      <c r="A1263" s="154"/>
      <c r="B1263" s="155"/>
      <c r="C1263" s="155"/>
      <c r="D1263" s="156" t="s">
        <v>176</v>
      </c>
      <c r="E1263" s="156" t="s">
        <v>2061</v>
      </c>
      <c r="F1263" s="155"/>
      <c r="G1263" s="157" t="n">
        <v>8</v>
      </c>
      <c r="H1263" s="158"/>
      <c r="I1263" s="155"/>
      <c r="J1263" s="155"/>
      <c r="K1263" s="146"/>
    </row>
    <row r="1264">
      <c r="A1264" s="9" t="s">
        <v>2062</v>
      </c>
      <c r="B1264" s="10" t="s">
        <v>84</v>
      </c>
      <c r="C1264" s="10" t="s">
        <v>2063</v>
      </c>
      <c r="D1264" s="14" t="s">
        <v>2064</v>
      </c>
      <c r="E1264" s="10"/>
      <c r="F1264" s="10" t="s">
        <v>282</v>
      </c>
      <c r="G1264" s="111" t="n">
        <v>10</v>
      </c>
      <c r="H1264" s="152" t="n">
        <v>0</v>
      </c>
      <c r="I1264" s="111">
        <f>G1264*H1264</f>
      </c>
      <c r="J1264" s="153" t="s">
        <v>134</v>
      </c>
      <c r="K1264" s="146"/>
      <c r="Z1264" s="111">
        <f>IF(AQ1264="5",BJ1264,0)</f>
      </c>
      <c r="AB1264" s="111">
        <f>IF(AQ1264="1",BH1264,0)</f>
      </c>
      <c r="AC1264" s="111">
        <f>IF(AQ1264="1",BI1264,0)</f>
      </c>
      <c r="AD1264" s="111">
        <f>IF(AQ1264="7",BH1264,0)</f>
      </c>
      <c r="AE1264" s="111">
        <f>IF(AQ1264="7",BI1264,0)</f>
      </c>
      <c r="AF1264" s="111">
        <f>IF(AQ1264="2",BH1264,0)</f>
      </c>
      <c r="AG1264" s="111">
        <f>IF(AQ1264="2",BI1264,0)</f>
      </c>
      <c r="AH1264" s="111">
        <f>IF(AQ1264="0",BJ1264,0)</f>
      </c>
      <c r="AI1264" s="132" t="s">
        <v>84</v>
      </c>
      <c r="AJ1264" s="111">
        <f>IF(AN1264=0,I1264,0)</f>
      </c>
      <c r="AK1264" s="111">
        <f>IF(AN1264=12,I1264,0)</f>
      </c>
      <c r="AL1264" s="111">
        <f>IF(AN1264=21,I1264,0)</f>
      </c>
      <c r="AN1264" s="111" t="n">
        <v>21</v>
      </c>
      <c r="AO1264" s="111">
        <f>H1264*0.632285714</f>
      </c>
      <c r="AP1264" s="111">
        <f>H1264*(1-0.632285714)</f>
      </c>
      <c r="AQ1264" s="153" t="s">
        <v>173</v>
      </c>
      <c r="AV1264" s="111">
        <f>AW1264+AX1264</f>
      </c>
      <c r="AW1264" s="111">
        <f>G1264*AO1264</f>
      </c>
      <c r="AX1264" s="111">
        <f>G1264*AP1264</f>
      </c>
      <c r="AY1264" s="153" t="s">
        <v>2032</v>
      </c>
      <c r="AZ1264" s="153" t="s">
        <v>1999</v>
      </c>
      <c r="BA1264" s="132" t="s">
        <v>137</v>
      </c>
      <c r="BC1264" s="111">
        <f>AW1264+AX1264</f>
      </c>
      <c r="BD1264" s="111">
        <f>H1264/(100-BE1264)*100</f>
      </c>
      <c r="BE1264" s="111" t="n">
        <v>0</v>
      </c>
      <c r="BF1264" s="111">
        <f>1264</f>
      </c>
      <c r="BH1264" s="111">
        <f>G1264*AO1264</f>
      </c>
      <c r="BI1264" s="111">
        <f>G1264*AP1264</f>
      </c>
      <c r="BJ1264" s="111">
        <f>G1264*H1264</f>
      </c>
      <c r="BK1264" s="111"/>
      <c r="BL1264" s="111" t="n">
        <v>764</v>
      </c>
      <c r="BW1264" s="111" t="n">
        <v>21</v>
      </c>
      <c r="BX1264" s="14" t="s">
        <v>2064</v>
      </c>
    </row>
    <row r="1265" customHeight="true" ht="13.5">
      <c r="A1265" s="159"/>
      <c r="C1265" s="160" t="s">
        <v>146</v>
      </c>
      <c r="D1265" s="161" t="s">
        <v>2033</v>
      </c>
      <c r="E1265" s="156"/>
      <c r="F1265" s="156"/>
      <c r="G1265" s="156"/>
      <c r="H1265" s="162"/>
      <c r="I1265" s="156"/>
      <c r="J1265" s="156"/>
      <c r="K1265" s="163"/>
    </row>
    <row r="1266">
      <c r="A1266" s="154"/>
      <c r="B1266" s="155"/>
      <c r="C1266" s="155"/>
      <c r="D1266" s="156" t="s">
        <v>186</v>
      </c>
      <c r="E1266" s="156" t="s">
        <v>2065</v>
      </c>
      <c r="F1266" s="155"/>
      <c r="G1266" s="157" t="n">
        <v>10</v>
      </c>
      <c r="H1266" s="158"/>
      <c r="I1266" s="155"/>
      <c r="J1266" s="155"/>
      <c r="K1266" s="146"/>
    </row>
    <row r="1267">
      <c r="A1267" s="9" t="s">
        <v>2066</v>
      </c>
      <c r="B1267" s="10" t="s">
        <v>84</v>
      </c>
      <c r="C1267" s="10" t="s">
        <v>2067</v>
      </c>
      <c r="D1267" s="14" t="s">
        <v>2068</v>
      </c>
      <c r="E1267" s="10"/>
      <c r="F1267" s="10" t="s">
        <v>282</v>
      </c>
      <c r="G1267" s="111" t="n">
        <v>4</v>
      </c>
      <c r="H1267" s="152" t="n">
        <v>0</v>
      </c>
      <c r="I1267" s="111">
        <f>G1267*H1267</f>
      </c>
      <c r="J1267" s="153" t="s">
        <v>134</v>
      </c>
      <c r="K1267" s="146"/>
      <c r="Z1267" s="111">
        <f>IF(AQ1267="5",BJ1267,0)</f>
      </c>
      <c r="AB1267" s="111">
        <f>IF(AQ1267="1",BH1267,0)</f>
      </c>
      <c r="AC1267" s="111">
        <f>IF(AQ1267="1",BI1267,0)</f>
      </c>
      <c r="AD1267" s="111">
        <f>IF(AQ1267="7",BH1267,0)</f>
      </c>
      <c r="AE1267" s="111">
        <f>IF(AQ1267="7",BI1267,0)</f>
      </c>
      <c r="AF1267" s="111">
        <f>IF(AQ1267="2",BH1267,0)</f>
      </c>
      <c r="AG1267" s="111">
        <f>IF(AQ1267="2",BI1267,0)</f>
      </c>
      <c r="AH1267" s="111">
        <f>IF(AQ1267="0",BJ1267,0)</f>
      </c>
      <c r="AI1267" s="132" t="s">
        <v>84</v>
      </c>
      <c r="AJ1267" s="111">
        <f>IF(AN1267=0,I1267,0)</f>
      </c>
      <c r="AK1267" s="111">
        <f>IF(AN1267=12,I1267,0)</f>
      </c>
      <c r="AL1267" s="111">
        <f>IF(AN1267=21,I1267,0)</f>
      </c>
      <c r="AN1267" s="111" t="n">
        <v>21</v>
      </c>
      <c r="AO1267" s="111">
        <f>H1267*0.029949477</f>
      </c>
      <c r="AP1267" s="111">
        <f>H1267*(1-0.029949477)</f>
      </c>
      <c r="AQ1267" s="153" t="s">
        <v>173</v>
      </c>
      <c r="AV1267" s="111">
        <f>AW1267+AX1267</f>
      </c>
      <c r="AW1267" s="111">
        <f>G1267*AO1267</f>
      </c>
      <c r="AX1267" s="111">
        <f>G1267*AP1267</f>
      </c>
      <c r="AY1267" s="153" t="s">
        <v>2032</v>
      </c>
      <c r="AZ1267" s="153" t="s">
        <v>1999</v>
      </c>
      <c r="BA1267" s="132" t="s">
        <v>137</v>
      </c>
      <c r="BC1267" s="111">
        <f>AW1267+AX1267</f>
      </c>
      <c r="BD1267" s="111">
        <f>H1267/(100-BE1267)*100</f>
      </c>
      <c r="BE1267" s="111" t="n">
        <v>0</v>
      </c>
      <c r="BF1267" s="111">
        <f>1267</f>
      </c>
      <c r="BH1267" s="111">
        <f>G1267*AO1267</f>
      </c>
      <c r="BI1267" s="111">
        <f>G1267*AP1267</f>
      </c>
      <c r="BJ1267" s="111">
        <f>G1267*H1267</f>
      </c>
      <c r="BK1267" s="111"/>
      <c r="BL1267" s="111" t="n">
        <v>764</v>
      </c>
      <c r="BW1267" s="111" t="n">
        <v>21</v>
      </c>
      <c r="BX1267" s="14" t="s">
        <v>2068</v>
      </c>
    </row>
    <row r="1268">
      <c r="A1268" s="154"/>
      <c r="B1268" s="155"/>
      <c r="C1268" s="155"/>
      <c r="D1268" s="156" t="s">
        <v>149</v>
      </c>
      <c r="E1268" s="156" t="s">
        <v>2069</v>
      </c>
      <c r="F1268" s="155"/>
      <c r="G1268" s="157" t="n">
        <v>4</v>
      </c>
      <c r="H1268" s="158"/>
      <c r="I1268" s="155"/>
      <c r="J1268" s="155"/>
      <c r="K1268" s="146"/>
    </row>
    <row r="1269">
      <c r="A1269" s="9" t="s">
        <v>2070</v>
      </c>
      <c r="B1269" s="10" t="s">
        <v>84</v>
      </c>
      <c r="C1269" s="10" t="s">
        <v>2071</v>
      </c>
      <c r="D1269" s="14" t="s">
        <v>2072</v>
      </c>
      <c r="E1269" s="10"/>
      <c r="F1269" s="10" t="s">
        <v>133</v>
      </c>
      <c r="G1269" s="111" t="n">
        <v>1</v>
      </c>
      <c r="H1269" s="152" t="n">
        <v>0</v>
      </c>
      <c r="I1269" s="111">
        <f>G1269*H1269</f>
      </c>
      <c r="J1269" s="153" t="s">
        <v>134</v>
      </c>
      <c r="K1269" s="146"/>
      <c r="Z1269" s="111">
        <f>IF(AQ1269="5",BJ1269,0)</f>
      </c>
      <c r="AB1269" s="111">
        <f>IF(AQ1269="1",BH1269,0)</f>
      </c>
      <c r="AC1269" s="111">
        <f>IF(AQ1269="1",BI1269,0)</f>
      </c>
      <c r="AD1269" s="111">
        <f>IF(AQ1269="7",BH1269,0)</f>
      </c>
      <c r="AE1269" s="111">
        <f>IF(AQ1269="7",BI1269,0)</f>
      </c>
      <c r="AF1269" s="111">
        <f>IF(AQ1269="2",BH1269,0)</f>
      </c>
      <c r="AG1269" s="111">
        <f>IF(AQ1269="2",BI1269,0)</f>
      </c>
      <c r="AH1269" s="111">
        <f>IF(AQ1269="0",BJ1269,0)</f>
      </c>
      <c r="AI1269" s="132" t="s">
        <v>84</v>
      </c>
      <c r="AJ1269" s="111">
        <f>IF(AN1269=0,I1269,0)</f>
      </c>
      <c r="AK1269" s="111">
        <f>IF(AN1269=12,I1269,0)</f>
      </c>
      <c r="AL1269" s="111">
        <f>IF(AN1269=21,I1269,0)</f>
      </c>
      <c r="AN1269" s="111" t="n">
        <v>21</v>
      </c>
      <c r="AO1269" s="111">
        <f>H1269*0.029949477</f>
      </c>
      <c r="AP1269" s="111">
        <f>H1269*(1-0.029949477)</f>
      </c>
      <c r="AQ1269" s="153" t="s">
        <v>173</v>
      </c>
      <c r="AV1269" s="111">
        <f>AW1269+AX1269</f>
      </c>
      <c r="AW1269" s="111">
        <f>G1269*AO1269</f>
      </c>
      <c r="AX1269" s="111">
        <f>G1269*AP1269</f>
      </c>
      <c r="AY1269" s="153" t="s">
        <v>2032</v>
      </c>
      <c r="AZ1269" s="153" t="s">
        <v>1999</v>
      </c>
      <c r="BA1269" s="132" t="s">
        <v>137</v>
      </c>
      <c r="BC1269" s="111">
        <f>AW1269+AX1269</f>
      </c>
      <c r="BD1269" s="111">
        <f>H1269/(100-BE1269)*100</f>
      </c>
      <c r="BE1269" s="111" t="n">
        <v>0</v>
      </c>
      <c r="BF1269" s="111">
        <f>1269</f>
      </c>
      <c r="BH1269" s="111">
        <f>G1269*AO1269</f>
      </c>
      <c r="BI1269" s="111">
        <f>G1269*AP1269</f>
      </c>
      <c r="BJ1269" s="111">
        <f>G1269*H1269</f>
      </c>
      <c r="BK1269" s="111"/>
      <c r="BL1269" s="111" t="n">
        <v>764</v>
      </c>
      <c r="BW1269" s="111" t="n">
        <v>21</v>
      </c>
      <c r="BX1269" s="14" t="s">
        <v>2072</v>
      </c>
    </row>
    <row r="1270">
      <c r="A1270" s="154"/>
      <c r="B1270" s="155"/>
      <c r="C1270" s="155"/>
      <c r="D1270" s="156" t="s">
        <v>130</v>
      </c>
      <c r="E1270" s="156" t="s">
        <v>2069</v>
      </c>
      <c r="F1270" s="155"/>
      <c r="G1270" s="157" t="n">
        <v>1</v>
      </c>
      <c r="H1270" s="158"/>
      <c r="I1270" s="155"/>
      <c r="J1270" s="155"/>
      <c r="K1270" s="146"/>
    </row>
    <row r="1271">
      <c r="A1271" s="9" t="s">
        <v>2073</v>
      </c>
      <c r="B1271" s="10" t="s">
        <v>84</v>
      </c>
      <c r="C1271" s="10" t="s">
        <v>2074</v>
      </c>
      <c r="D1271" s="14" t="s">
        <v>2075</v>
      </c>
      <c r="E1271" s="10"/>
      <c r="F1271" s="10" t="s">
        <v>133</v>
      </c>
      <c r="G1271" s="111" t="n">
        <v>2</v>
      </c>
      <c r="H1271" s="152" t="n">
        <v>0</v>
      </c>
      <c r="I1271" s="111">
        <f>G1271*H1271</f>
      </c>
      <c r="J1271" s="153" t="s">
        <v>134</v>
      </c>
      <c r="K1271" s="146"/>
      <c r="Z1271" s="111">
        <f>IF(AQ1271="5",BJ1271,0)</f>
      </c>
      <c r="AB1271" s="111">
        <f>IF(AQ1271="1",BH1271,0)</f>
      </c>
      <c r="AC1271" s="111">
        <f>IF(AQ1271="1",BI1271,0)</f>
      </c>
      <c r="AD1271" s="111">
        <f>IF(AQ1271="7",BH1271,0)</f>
      </c>
      <c r="AE1271" s="111">
        <f>IF(AQ1271="7",BI1271,0)</f>
      </c>
      <c r="AF1271" s="111">
        <f>IF(AQ1271="2",BH1271,0)</f>
      </c>
      <c r="AG1271" s="111">
        <f>IF(AQ1271="2",BI1271,0)</f>
      </c>
      <c r="AH1271" s="111">
        <f>IF(AQ1271="0",BJ1271,0)</f>
      </c>
      <c r="AI1271" s="132" t="s">
        <v>84</v>
      </c>
      <c r="AJ1271" s="111">
        <f>IF(AN1271=0,I1271,0)</f>
      </c>
      <c r="AK1271" s="111">
        <f>IF(AN1271=12,I1271,0)</f>
      </c>
      <c r="AL1271" s="111">
        <f>IF(AN1271=21,I1271,0)</f>
      </c>
      <c r="AN1271" s="111" t="n">
        <v>21</v>
      </c>
      <c r="AO1271" s="111">
        <f>H1271*0.031043284</f>
      </c>
      <c r="AP1271" s="111">
        <f>H1271*(1-0.031043284)</f>
      </c>
      <c r="AQ1271" s="153" t="s">
        <v>173</v>
      </c>
      <c r="AV1271" s="111">
        <f>AW1271+AX1271</f>
      </c>
      <c r="AW1271" s="111">
        <f>G1271*AO1271</f>
      </c>
      <c r="AX1271" s="111">
        <f>G1271*AP1271</f>
      </c>
      <c r="AY1271" s="153" t="s">
        <v>2032</v>
      </c>
      <c r="AZ1271" s="153" t="s">
        <v>1999</v>
      </c>
      <c r="BA1271" s="132" t="s">
        <v>137</v>
      </c>
      <c r="BC1271" s="111">
        <f>AW1271+AX1271</f>
      </c>
      <c r="BD1271" s="111">
        <f>H1271/(100-BE1271)*100</f>
      </c>
      <c r="BE1271" s="111" t="n">
        <v>0</v>
      </c>
      <c r="BF1271" s="111">
        <f>1271</f>
      </c>
      <c r="BH1271" s="111">
        <f>G1271*AO1271</f>
      </c>
      <c r="BI1271" s="111">
        <f>G1271*AP1271</f>
      </c>
      <c r="BJ1271" s="111">
        <f>G1271*H1271</f>
      </c>
      <c r="BK1271" s="111"/>
      <c r="BL1271" s="111" t="n">
        <v>764</v>
      </c>
      <c r="BW1271" s="111" t="n">
        <v>21</v>
      </c>
      <c r="BX1271" s="14" t="s">
        <v>2075</v>
      </c>
    </row>
    <row r="1272">
      <c r="A1272" s="154"/>
      <c r="B1272" s="155"/>
      <c r="C1272" s="155"/>
      <c r="D1272" s="156" t="s">
        <v>140</v>
      </c>
      <c r="E1272" s="156" t="s">
        <v>2069</v>
      </c>
      <c r="F1272" s="155"/>
      <c r="G1272" s="157" t="n">
        <v>2</v>
      </c>
      <c r="H1272" s="158"/>
      <c r="I1272" s="155"/>
      <c r="J1272" s="155"/>
      <c r="K1272" s="146"/>
    </row>
    <row r="1273">
      <c r="A1273" s="9" t="s">
        <v>2076</v>
      </c>
      <c r="B1273" s="10" t="s">
        <v>84</v>
      </c>
      <c r="C1273" s="10" t="s">
        <v>2077</v>
      </c>
      <c r="D1273" s="14" t="s">
        <v>2078</v>
      </c>
      <c r="E1273" s="10"/>
      <c r="F1273" s="10" t="s">
        <v>282</v>
      </c>
      <c r="G1273" s="111" t="n">
        <v>4</v>
      </c>
      <c r="H1273" s="152" t="n">
        <v>0</v>
      </c>
      <c r="I1273" s="111">
        <f>G1273*H1273</f>
      </c>
      <c r="J1273" s="153" t="s">
        <v>134</v>
      </c>
      <c r="K1273" s="146"/>
      <c r="Z1273" s="111">
        <f>IF(AQ1273="5",BJ1273,0)</f>
      </c>
      <c r="AB1273" s="111">
        <f>IF(AQ1273="1",BH1273,0)</f>
      </c>
      <c r="AC1273" s="111">
        <f>IF(AQ1273="1",BI1273,0)</f>
      </c>
      <c r="AD1273" s="111">
        <f>IF(AQ1273="7",BH1273,0)</f>
      </c>
      <c r="AE1273" s="111">
        <f>IF(AQ1273="7",BI1273,0)</f>
      </c>
      <c r="AF1273" s="111">
        <f>IF(AQ1273="2",BH1273,0)</f>
      </c>
      <c r="AG1273" s="111">
        <f>IF(AQ1273="2",BI1273,0)</f>
      </c>
      <c r="AH1273" s="111">
        <f>IF(AQ1273="0",BJ1273,0)</f>
      </c>
      <c r="AI1273" s="132" t="s">
        <v>84</v>
      </c>
      <c r="AJ1273" s="111">
        <f>IF(AN1273=0,I1273,0)</f>
      </c>
      <c r="AK1273" s="111">
        <f>IF(AN1273=12,I1273,0)</f>
      </c>
      <c r="AL1273" s="111">
        <f>IF(AN1273=21,I1273,0)</f>
      </c>
      <c r="AN1273" s="111" t="n">
        <v>21</v>
      </c>
      <c r="AO1273" s="111">
        <f>H1273*0.37096343</f>
      </c>
      <c r="AP1273" s="111">
        <f>H1273*(1-0.37096343)</f>
      </c>
      <c r="AQ1273" s="153" t="s">
        <v>173</v>
      </c>
      <c r="AV1273" s="111">
        <f>AW1273+AX1273</f>
      </c>
      <c r="AW1273" s="111">
        <f>G1273*AO1273</f>
      </c>
      <c r="AX1273" s="111">
        <f>G1273*AP1273</f>
      </c>
      <c r="AY1273" s="153" t="s">
        <v>2032</v>
      </c>
      <c r="AZ1273" s="153" t="s">
        <v>1999</v>
      </c>
      <c r="BA1273" s="132" t="s">
        <v>137</v>
      </c>
      <c r="BC1273" s="111">
        <f>AW1273+AX1273</f>
      </c>
      <c r="BD1273" s="111">
        <f>H1273/(100-BE1273)*100</f>
      </c>
      <c r="BE1273" s="111" t="n">
        <v>0</v>
      </c>
      <c r="BF1273" s="111">
        <f>1273</f>
      </c>
      <c r="BH1273" s="111">
        <f>G1273*AO1273</f>
      </c>
      <c r="BI1273" s="111">
        <f>G1273*AP1273</f>
      </c>
      <c r="BJ1273" s="111">
        <f>G1273*H1273</f>
      </c>
      <c r="BK1273" s="111"/>
      <c r="BL1273" s="111" t="n">
        <v>764</v>
      </c>
      <c r="BW1273" s="111" t="n">
        <v>21</v>
      </c>
      <c r="BX1273" s="14" t="s">
        <v>2078</v>
      </c>
    </row>
    <row r="1274" customHeight="true" ht="13.5">
      <c r="A1274" s="159"/>
      <c r="C1274" s="160" t="s">
        <v>146</v>
      </c>
      <c r="D1274" s="161" t="s">
        <v>2079</v>
      </c>
      <c r="E1274" s="156"/>
      <c r="F1274" s="156"/>
      <c r="G1274" s="156"/>
      <c r="H1274" s="162"/>
      <c r="I1274" s="156"/>
      <c r="J1274" s="156"/>
      <c r="K1274" s="163"/>
    </row>
    <row r="1275">
      <c r="A1275" s="154"/>
      <c r="B1275" s="155"/>
      <c r="C1275" s="155"/>
      <c r="D1275" s="156" t="s">
        <v>149</v>
      </c>
      <c r="E1275" s="156" t="s">
        <v>2080</v>
      </c>
      <c r="F1275" s="155"/>
      <c r="G1275" s="157" t="n">
        <v>4</v>
      </c>
      <c r="H1275" s="158"/>
      <c r="I1275" s="155"/>
      <c r="J1275" s="155"/>
      <c r="K1275" s="146"/>
    </row>
    <row r="1276">
      <c r="A1276" s="9" t="s">
        <v>2081</v>
      </c>
      <c r="B1276" s="10" t="s">
        <v>84</v>
      </c>
      <c r="C1276" s="10" t="s">
        <v>2082</v>
      </c>
      <c r="D1276" s="14" t="s">
        <v>2083</v>
      </c>
      <c r="E1276" s="10"/>
      <c r="F1276" s="10" t="s">
        <v>282</v>
      </c>
      <c r="G1276" s="111" t="n">
        <v>66.4</v>
      </c>
      <c r="H1276" s="152" t="n">
        <v>0</v>
      </c>
      <c r="I1276" s="111">
        <f>G1276*H1276</f>
      </c>
      <c r="J1276" s="153" t="s">
        <v>134</v>
      </c>
      <c r="K1276" s="146"/>
      <c r="Z1276" s="111">
        <f>IF(AQ1276="5",BJ1276,0)</f>
      </c>
      <c r="AB1276" s="111">
        <f>IF(AQ1276="1",BH1276,0)</f>
      </c>
      <c r="AC1276" s="111">
        <f>IF(AQ1276="1",BI1276,0)</f>
      </c>
      <c r="AD1276" s="111">
        <f>IF(AQ1276="7",BH1276,0)</f>
      </c>
      <c r="AE1276" s="111">
        <f>IF(AQ1276="7",BI1276,0)</f>
      </c>
      <c r="AF1276" s="111">
        <f>IF(AQ1276="2",BH1276,0)</f>
      </c>
      <c r="AG1276" s="111">
        <f>IF(AQ1276="2",BI1276,0)</f>
      </c>
      <c r="AH1276" s="111">
        <f>IF(AQ1276="0",BJ1276,0)</f>
      </c>
      <c r="AI1276" s="132" t="s">
        <v>84</v>
      </c>
      <c r="AJ1276" s="111">
        <f>IF(AN1276=0,I1276,0)</f>
      </c>
      <c r="AK1276" s="111">
        <f>IF(AN1276=12,I1276,0)</f>
      </c>
      <c r="AL1276" s="111">
        <f>IF(AN1276=21,I1276,0)</f>
      </c>
      <c r="AN1276" s="111" t="n">
        <v>21</v>
      </c>
      <c r="AO1276" s="111">
        <f>H1276*0.355427342</f>
      </c>
      <c r="AP1276" s="111">
        <f>H1276*(1-0.355427342)</f>
      </c>
      <c r="AQ1276" s="153" t="s">
        <v>173</v>
      </c>
      <c r="AV1276" s="111">
        <f>AW1276+AX1276</f>
      </c>
      <c r="AW1276" s="111">
        <f>G1276*AO1276</f>
      </c>
      <c r="AX1276" s="111">
        <f>G1276*AP1276</f>
      </c>
      <c r="AY1276" s="153" t="s">
        <v>2032</v>
      </c>
      <c r="AZ1276" s="153" t="s">
        <v>1999</v>
      </c>
      <c r="BA1276" s="132" t="s">
        <v>137</v>
      </c>
      <c r="BC1276" s="111">
        <f>AW1276+AX1276</f>
      </c>
      <c r="BD1276" s="111">
        <f>H1276/(100-BE1276)*100</f>
      </c>
      <c r="BE1276" s="111" t="n">
        <v>0</v>
      </c>
      <c r="BF1276" s="111">
        <f>1276</f>
      </c>
      <c r="BH1276" s="111">
        <f>G1276*AO1276</f>
      </c>
      <c r="BI1276" s="111">
        <f>G1276*AP1276</f>
      </c>
      <c r="BJ1276" s="111">
        <f>G1276*H1276</f>
      </c>
      <c r="BK1276" s="111"/>
      <c r="BL1276" s="111" t="n">
        <v>764</v>
      </c>
      <c r="BW1276" s="111" t="n">
        <v>21</v>
      </c>
      <c r="BX1276" s="14" t="s">
        <v>2083</v>
      </c>
    </row>
    <row r="1277" customHeight="true" ht="13.5">
      <c r="A1277" s="159"/>
      <c r="C1277" s="160" t="s">
        <v>146</v>
      </c>
      <c r="D1277" s="161" t="s">
        <v>2084</v>
      </c>
      <c r="E1277" s="156"/>
      <c r="F1277" s="156"/>
      <c r="G1277" s="156"/>
      <c r="H1277" s="162"/>
      <c r="I1277" s="156"/>
      <c r="J1277" s="156"/>
      <c r="K1277" s="163"/>
    </row>
    <row r="1278">
      <c r="A1278" s="154"/>
      <c r="B1278" s="155"/>
      <c r="C1278" s="155"/>
      <c r="D1278" s="156" t="s">
        <v>2085</v>
      </c>
      <c r="E1278" s="156" t="s">
        <v>2086</v>
      </c>
      <c r="F1278" s="155"/>
      <c r="G1278" s="157" t="n">
        <v>66.4</v>
      </c>
      <c r="H1278" s="158"/>
      <c r="I1278" s="155"/>
      <c r="J1278" s="155"/>
      <c r="K1278" s="146"/>
    </row>
    <row r="1279">
      <c r="A1279" s="9" t="s">
        <v>2087</v>
      </c>
      <c r="B1279" s="10" t="s">
        <v>84</v>
      </c>
      <c r="C1279" s="10" t="s">
        <v>2088</v>
      </c>
      <c r="D1279" s="14" t="s">
        <v>2089</v>
      </c>
      <c r="E1279" s="10"/>
      <c r="F1279" s="10" t="s">
        <v>282</v>
      </c>
      <c r="G1279" s="111" t="n">
        <v>119.435</v>
      </c>
      <c r="H1279" s="152" t="n">
        <v>0</v>
      </c>
      <c r="I1279" s="111">
        <f>G1279*H1279</f>
      </c>
      <c r="J1279" s="153" t="s">
        <v>134</v>
      </c>
      <c r="K1279" s="146"/>
      <c r="Z1279" s="111">
        <f>IF(AQ1279="5",BJ1279,0)</f>
      </c>
      <c r="AB1279" s="111">
        <f>IF(AQ1279="1",BH1279,0)</f>
      </c>
      <c r="AC1279" s="111">
        <f>IF(AQ1279="1",BI1279,0)</f>
      </c>
      <c r="AD1279" s="111">
        <f>IF(AQ1279="7",BH1279,0)</f>
      </c>
      <c r="AE1279" s="111">
        <f>IF(AQ1279="7",BI1279,0)</f>
      </c>
      <c r="AF1279" s="111">
        <f>IF(AQ1279="2",BH1279,0)</f>
      </c>
      <c r="AG1279" s="111">
        <f>IF(AQ1279="2",BI1279,0)</f>
      </c>
      <c r="AH1279" s="111">
        <f>IF(AQ1279="0",BJ1279,0)</f>
      </c>
      <c r="AI1279" s="132" t="s">
        <v>84</v>
      </c>
      <c r="AJ1279" s="111">
        <f>IF(AN1279=0,I1279,0)</f>
      </c>
      <c r="AK1279" s="111">
        <f>IF(AN1279=12,I1279,0)</f>
      </c>
      <c r="AL1279" s="111">
        <f>IF(AN1279=21,I1279,0)</f>
      </c>
      <c r="AN1279" s="111" t="n">
        <v>21</v>
      </c>
      <c r="AO1279" s="111">
        <f>H1279*0.3124</f>
      </c>
      <c r="AP1279" s="111">
        <f>H1279*(1-0.3124)</f>
      </c>
      <c r="AQ1279" s="153" t="s">
        <v>173</v>
      </c>
      <c r="AV1279" s="111">
        <f>AW1279+AX1279</f>
      </c>
      <c r="AW1279" s="111">
        <f>G1279*AO1279</f>
      </c>
      <c r="AX1279" s="111">
        <f>G1279*AP1279</f>
      </c>
      <c r="AY1279" s="153" t="s">
        <v>2032</v>
      </c>
      <c r="AZ1279" s="153" t="s">
        <v>1999</v>
      </c>
      <c r="BA1279" s="132" t="s">
        <v>137</v>
      </c>
      <c r="BC1279" s="111">
        <f>AW1279+AX1279</f>
      </c>
      <c r="BD1279" s="111">
        <f>H1279/(100-BE1279)*100</f>
      </c>
      <c r="BE1279" s="111" t="n">
        <v>0</v>
      </c>
      <c r="BF1279" s="111">
        <f>1279</f>
      </c>
      <c r="BH1279" s="111">
        <f>G1279*AO1279</f>
      </c>
      <c r="BI1279" s="111">
        <f>G1279*AP1279</f>
      </c>
      <c r="BJ1279" s="111">
        <f>G1279*H1279</f>
      </c>
      <c r="BK1279" s="111"/>
      <c r="BL1279" s="111" t="n">
        <v>764</v>
      </c>
      <c r="BW1279" s="111" t="n">
        <v>21</v>
      </c>
      <c r="BX1279" s="14" t="s">
        <v>2089</v>
      </c>
    </row>
    <row r="1280" customHeight="true" ht="13.5">
      <c r="A1280" s="159"/>
      <c r="C1280" s="160" t="s">
        <v>146</v>
      </c>
      <c r="D1280" s="161" t="s">
        <v>2033</v>
      </c>
      <c r="E1280" s="156"/>
      <c r="F1280" s="156"/>
      <c r="G1280" s="156"/>
      <c r="H1280" s="162"/>
      <c r="I1280" s="156"/>
      <c r="J1280" s="156"/>
      <c r="K1280" s="163"/>
    </row>
    <row r="1281">
      <c r="A1281" s="154"/>
      <c r="B1281" s="155"/>
      <c r="C1281" s="155"/>
      <c r="D1281" s="156" t="s">
        <v>2090</v>
      </c>
      <c r="E1281" s="156" t="s">
        <v>2091</v>
      </c>
      <c r="F1281" s="155"/>
      <c r="G1281" s="157" t="n">
        <v>64.84</v>
      </c>
      <c r="H1281" s="158"/>
      <c r="I1281" s="155"/>
      <c r="J1281" s="155"/>
      <c r="K1281" s="146"/>
    </row>
    <row r="1282">
      <c r="A1282" s="154"/>
      <c r="B1282" s="155"/>
      <c r="C1282" s="155"/>
      <c r="D1282" s="156" t="s">
        <v>2092</v>
      </c>
      <c r="E1282" s="156" t="s">
        <v>2093</v>
      </c>
      <c r="F1282" s="155"/>
      <c r="G1282" s="157" t="n">
        <v>7.68</v>
      </c>
      <c r="H1282" s="158"/>
      <c r="I1282" s="155"/>
      <c r="J1282" s="155"/>
      <c r="K1282" s="146"/>
    </row>
    <row r="1283">
      <c r="A1283" s="154"/>
      <c r="B1283" s="155"/>
      <c r="C1283" s="155"/>
      <c r="D1283" s="156" t="s">
        <v>2094</v>
      </c>
      <c r="E1283" s="156" t="s">
        <v>2095</v>
      </c>
      <c r="F1283" s="155"/>
      <c r="G1283" s="157" t="n">
        <v>28.295</v>
      </c>
      <c r="H1283" s="158"/>
      <c r="I1283" s="155"/>
      <c r="J1283" s="155"/>
      <c r="K1283" s="146"/>
    </row>
    <row r="1284">
      <c r="A1284" s="154"/>
      <c r="B1284" s="155"/>
      <c r="C1284" s="155"/>
      <c r="D1284" s="156" t="s">
        <v>2096</v>
      </c>
      <c r="E1284" s="156" t="s">
        <v>2097</v>
      </c>
      <c r="F1284" s="155"/>
      <c r="G1284" s="157" t="n">
        <v>18.62</v>
      </c>
      <c r="H1284" s="158"/>
      <c r="I1284" s="155"/>
      <c r="J1284" s="155"/>
      <c r="K1284" s="146"/>
    </row>
    <row r="1285">
      <c r="A1285" s="9" t="s">
        <v>2098</v>
      </c>
      <c r="B1285" s="10" t="s">
        <v>84</v>
      </c>
      <c r="C1285" s="10" t="s">
        <v>1740</v>
      </c>
      <c r="D1285" s="14" t="s">
        <v>2099</v>
      </c>
      <c r="E1285" s="10"/>
      <c r="F1285" s="10" t="s">
        <v>133</v>
      </c>
      <c r="G1285" s="111" t="n">
        <v>2</v>
      </c>
      <c r="H1285" s="152" t="n">
        <v>0</v>
      </c>
      <c r="I1285" s="111">
        <f>G1285*H1285</f>
      </c>
      <c r="J1285" s="153" t="s">
        <v>134</v>
      </c>
      <c r="K1285" s="146"/>
      <c r="Z1285" s="111">
        <f>IF(AQ1285="5",BJ1285,0)</f>
      </c>
      <c r="AB1285" s="111">
        <f>IF(AQ1285="1",BH1285,0)</f>
      </c>
      <c r="AC1285" s="111">
        <f>IF(AQ1285="1",BI1285,0)</f>
      </c>
      <c r="AD1285" s="111">
        <f>IF(AQ1285="7",BH1285,0)</f>
      </c>
      <c r="AE1285" s="111">
        <f>IF(AQ1285="7",BI1285,0)</f>
      </c>
      <c r="AF1285" s="111">
        <f>IF(AQ1285="2",BH1285,0)</f>
      </c>
      <c r="AG1285" s="111">
        <f>IF(AQ1285="2",BI1285,0)</f>
      </c>
      <c r="AH1285" s="111">
        <f>IF(AQ1285="0",BJ1285,0)</f>
      </c>
      <c r="AI1285" s="132" t="s">
        <v>84</v>
      </c>
      <c r="AJ1285" s="111">
        <f>IF(AN1285=0,I1285,0)</f>
      </c>
      <c r="AK1285" s="111">
        <f>IF(AN1285=12,I1285,0)</f>
      </c>
      <c r="AL1285" s="111">
        <f>IF(AN1285=21,I1285,0)</f>
      </c>
      <c r="AN1285" s="111" t="n">
        <v>21</v>
      </c>
      <c r="AO1285" s="111">
        <f>H1285*0.771839135</f>
      </c>
      <c r="AP1285" s="111">
        <f>H1285*(1-0.771839135)</f>
      </c>
      <c r="AQ1285" s="153" t="s">
        <v>173</v>
      </c>
      <c r="AV1285" s="111">
        <f>AW1285+AX1285</f>
      </c>
      <c r="AW1285" s="111">
        <f>G1285*AO1285</f>
      </c>
      <c r="AX1285" s="111">
        <f>G1285*AP1285</f>
      </c>
      <c r="AY1285" s="153" t="s">
        <v>2032</v>
      </c>
      <c r="AZ1285" s="153" t="s">
        <v>1999</v>
      </c>
      <c r="BA1285" s="132" t="s">
        <v>137</v>
      </c>
      <c r="BC1285" s="111">
        <f>AW1285+AX1285</f>
      </c>
      <c r="BD1285" s="111">
        <f>H1285/(100-BE1285)*100</f>
      </c>
      <c r="BE1285" s="111" t="n">
        <v>0</v>
      </c>
      <c r="BF1285" s="111">
        <f>1285</f>
      </c>
      <c r="BH1285" s="111">
        <f>G1285*AO1285</f>
      </c>
      <c r="BI1285" s="111">
        <f>G1285*AP1285</f>
      </c>
      <c r="BJ1285" s="111">
        <f>G1285*H1285</f>
      </c>
      <c r="BK1285" s="111"/>
      <c r="BL1285" s="111" t="n">
        <v>764</v>
      </c>
      <c r="BW1285" s="111" t="n">
        <v>21</v>
      </c>
      <c r="BX1285" s="14" t="s">
        <v>2099</v>
      </c>
    </row>
    <row r="1286" customHeight="true" ht="13.5">
      <c r="A1286" s="159"/>
      <c r="C1286" s="160" t="s">
        <v>146</v>
      </c>
      <c r="D1286" s="161" t="s">
        <v>2100</v>
      </c>
      <c r="E1286" s="156"/>
      <c r="F1286" s="156"/>
      <c r="G1286" s="156"/>
      <c r="H1286" s="162"/>
      <c r="I1286" s="156"/>
      <c r="J1286" s="156"/>
      <c r="K1286" s="163"/>
    </row>
    <row r="1287">
      <c r="A1287" s="154"/>
      <c r="B1287" s="155"/>
      <c r="C1287" s="155"/>
      <c r="D1287" s="156" t="s">
        <v>130</v>
      </c>
      <c r="E1287" s="156" t="s">
        <v>1748</v>
      </c>
      <c r="F1287" s="155"/>
      <c r="G1287" s="157" t="n">
        <v>1</v>
      </c>
      <c r="H1287" s="158"/>
      <c r="I1287" s="155"/>
      <c r="J1287" s="155"/>
      <c r="K1287" s="146"/>
    </row>
    <row r="1288">
      <c r="A1288" s="154"/>
      <c r="B1288" s="155"/>
      <c r="C1288" s="155"/>
      <c r="D1288" s="156" t="s">
        <v>130</v>
      </c>
      <c r="E1288" s="156" t="s">
        <v>1749</v>
      </c>
      <c r="F1288" s="155"/>
      <c r="G1288" s="157" t="n">
        <v>1</v>
      </c>
      <c r="H1288" s="158"/>
      <c r="I1288" s="155"/>
      <c r="J1288" s="155"/>
      <c r="K1288" s="146"/>
    </row>
    <row r="1289">
      <c r="A1289" s="9" t="s">
        <v>2101</v>
      </c>
      <c r="B1289" s="10" t="s">
        <v>84</v>
      </c>
      <c r="C1289" s="10" t="s">
        <v>2102</v>
      </c>
      <c r="D1289" s="14" t="s">
        <v>2103</v>
      </c>
      <c r="E1289" s="10"/>
      <c r="F1289" s="10" t="s">
        <v>282</v>
      </c>
      <c r="G1289" s="111" t="n">
        <v>4</v>
      </c>
      <c r="H1289" s="152" t="n">
        <v>0</v>
      </c>
      <c r="I1289" s="111">
        <f>G1289*H1289</f>
      </c>
      <c r="J1289" s="153" t="s">
        <v>134</v>
      </c>
      <c r="K1289" s="146"/>
      <c r="Z1289" s="111">
        <f>IF(AQ1289="5",BJ1289,0)</f>
      </c>
      <c r="AB1289" s="111">
        <f>IF(AQ1289="1",BH1289,0)</f>
      </c>
      <c r="AC1289" s="111">
        <f>IF(AQ1289="1",BI1289,0)</f>
      </c>
      <c r="AD1289" s="111">
        <f>IF(AQ1289="7",BH1289,0)</f>
      </c>
      <c r="AE1289" s="111">
        <f>IF(AQ1289="7",BI1289,0)</f>
      </c>
      <c r="AF1289" s="111">
        <f>IF(AQ1289="2",BH1289,0)</f>
      </c>
      <c r="AG1289" s="111">
        <f>IF(AQ1289="2",BI1289,0)</f>
      </c>
      <c r="AH1289" s="111">
        <f>IF(AQ1289="0",BJ1289,0)</f>
      </c>
      <c r="AI1289" s="132" t="s">
        <v>84</v>
      </c>
      <c r="AJ1289" s="111">
        <f>IF(AN1289=0,I1289,0)</f>
      </c>
      <c r="AK1289" s="111">
        <f>IF(AN1289=12,I1289,0)</f>
      </c>
      <c r="AL1289" s="111">
        <f>IF(AN1289=21,I1289,0)</f>
      </c>
      <c r="AN1289" s="111" t="n">
        <v>21</v>
      </c>
      <c r="AO1289" s="111">
        <f>H1289*0.638176895</f>
      </c>
      <c r="AP1289" s="111">
        <f>H1289*(1-0.638176895)</f>
      </c>
      <c r="AQ1289" s="153" t="s">
        <v>173</v>
      </c>
      <c r="AV1289" s="111">
        <f>AW1289+AX1289</f>
      </c>
      <c r="AW1289" s="111">
        <f>G1289*AO1289</f>
      </c>
      <c r="AX1289" s="111">
        <f>G1289*AP1289</f>
      </c>
      <c r="AY1289" s="153" t="s">
        <v>2032</v>
      </c>
      <c r="AZ1289" s="153" t="s">
        <v>1999</v>
      </c>
      <c r="BA1289" s="132" t="s">
        <v>137</v>
      </c>
      <c r="BC1289" s="111">
        <f>AW1289+AX1289</f>
      </c>
      <c r="BD1289" s="111">
        <f>H1289/(100-BE1289)*100</f>
      </c>
      <c r="BE1289" s="111" t="n">
        <v>0</v>
      </c>
      <c r="BF1289" s="111">
        <f>1289</f>
      </c>
      <c r="BH1289" s="111">
        <f>G1289*AO1289</f>
      </c>
      <c r="BI1289" s="111">
        <f>G1289*AP1289</f>
      </c>
      <c r="BJ1289" s="111">
        <f>G1289*H1289</f>
      </c>
      <c r="BK1289" s="111"/>
      <c r="BL1289" s="111" t="n">
        <v>764</v>
      </c>
      <c r="BW1289" s="111" t="n">
        <v>21</v>
      </c>
      <c r="BX1289" s="14" t="s">
        <v>2103</v>
      </c>
    </row>
    <row r="1290" customHeight="true" ht="13.5">
      <c r="A1290" s="159"/>
      <c r="C1290" s="160" t="s">
        <v>146</v>
      </c>
      <c r="D1290" s="161" t="s">
        <v>2033</v>
      </c>
      <c r="E1290" s="156"/>
      <c r="F1290" s="156"/>
      <c r="G1290" s="156"/>
      <c r="H1290" s="162"/>
      <c r="I1290" s="156"/>
      <c r="J1290" s="156"/>
      <c r="K1290" s="163"/>
    </row>
    <row r="1291">
      <c r="A1291" s="154"/>
      <c r="B1291" s="155"/>
      <c r="C1291" s="155"/>
      <c r="D1291" s="156" t="s">
        <v>149</v>
      </c>
      <c r="E1291" s="156" t="s">
        <v>2104</v>
      </c>
      <c r="F1291" s="155"/>
      <c r="G1291" s="157" t="n">
        <v>4</v>
      </c>
      <c r="H1291" s="158"/>
      <c r="I1291" s="155"/>
      <c r="J1291" s="155"/>
      <c r="K1291" s="146"/>
    </row>
    <row r="1292">
      <c r="A1292" s="9" t="s">
        <v>2105</v>
      </c>
      <c r="B1292" s="10" t="s">
        <v>84</v>
      </c>
      <c r="C1292" s="10" t="s">
        <v>2106</v>
      </c>
      <c r="D1292" s="14" t="s">
        <v>2107</v>
      </c>
      <c r="E1292" s="10"/>
      <c r="F1292" s="10" t="s">
        <v>282</v>
      </c>
      <c r="G1292" s="111" t="n">
        <v>21.7</v>
      </c>
      <c r="H1292" s="152" t="n">
        <v>0</v>
      </c>
      <c r="I1292" s="111">
        <f>G1292*H1292</f>
      </c>
      <c r="J1292" s="153" t="s">
        <v>134</v>
      </c>
      <c r="K1292" s="146"/>
      <c r="Z1292" s="111">
        <f>IF(AQ1292="5",BJ1292,0)</f>
      </c>
      <c r="AB1292" s="111">
        <f>IF(AQ1292="1",BH1292,0)</f>
      </c>
      <c r="AC1292" s="111">
        <f>IF(AQ1292="1",BI1292,0)</f>
      </c>
      <c r="AD1292" s="111">
        <f>IF(AQ1292="7",BH1292,0)</f>
      </c>
      <c r="AE1292" s="111">
        <f>IF(AQ1292="7",BI1292,0)</f>
      </c>
      <c r="AF1292" s="111">
        <f>IF(AQ1292="2",BH1292,0)</f>
      </c>
      <c r="AG1292" s="111">
        <f>IF(AQ1292="2",BI1292,0)</f>
      </c>
      <c r="AH1292" s="111">
        <f>IF(AQ1292="0",BJ1292,0)</f>
      </c>
      <c r="AI1292" s="132" t="s">
        <v>84</v>
      </c>
      <c r="AJ1292" s="111">
        <f>IF(AN1292=0,I1292,0)</f>
      </c>
      <c r="AK1292" s="111">
        <f>IF(AN1292=12,I1292,0)</f>
      </c>
      <c r="AL1292" s="111">
        <f>IF(AN1292=21,I1292,0)</f>
      </c>
      <c r="AN1292" s="111" t="n">
        <v>21</v>
      </c>
      <c r="AO1292" s="111">
        <f>H1292*0.489880026</f>
      </c>
      <c r="AP1292" s="111">
        <f>H1292*(1-0.489880026)</f>
      </c>
      <c r="AQ1292" s="153" t="s">
        <v>173</v>
      </c>
      <c r="AV1292" s="111">
        <f>AW1292+AX1292</f>
      </c>
      <c r="AW1292" s="111">
        <f>G1292*AO1292</f>
      </c>
      <c r="AX1292" s="111">
        <f>G1292*AP1292</f>
      </c>
      <c r="AY1292" s="153" t="s">
        <v>2032</v>
      </c>
      <c r="AZ1292" s="153" t="s">
        <v>1999</v>
      </c>
      <c r="BA1292" s="132" t="s">
        <v>137</v>
      </c>
      <c r="BC1292" s="111">
        <f>AW1292+AX1292</f>
      </c>
      <c r="BD1292" s="111">
        <f>H1292/(100-BE1292)*100</f>
      </c>
      <c r="BE1292" s="111" t="n">
        <v>0</v>
      </c>
      <c r="BF1292" s="111">
        <f>1292</f>
      </c>
      <c r="BH1292" s="111">
        <f>G1292*AO1292</f>
      </c>
      <c r="BI1292" s="111">
        <f>G1292*AP1292</f>
      </c>
      <c r="BJ1292" s="111">
        <f>G1292*H1292</f>
      </c>
      <c r="BK1292" s="111"/>
      <c r="BL1292" s="111" t="n">
        <v>764</v>
      </c>
      <c r="BW1292" s="111" t="n">
        <v>21</v>
      </c>
      <c r="BX1292" s="14" t="s">
        <v>2107</v>
      </c>
    </row>
    <row r="1293" customHeight="true" ht="13.5">
      <c r="A1293" s="159"/>
      <c r="C1293" s="160" t="s">
        <v>146</v>
      </c>
      <c r="D1293" s="161" t="s">
        <v>2108</v>
      </c>
      <c r="E1293" s="156"/>
      <c r="F1293" s="156"/>
      <c r="G1293" s="156"/>
      <c r="H1293" s="162"/>
      <c r="I1293" s="156"/>
      <c r="J1293" s="156"/>
      <c r="K1293" s="163"/>
    </row>
    <row r="1294">
      <c r="A1294" s="154"/>
      <c r="B1294" s="155"/>
      <c r="C1294" s="155"/>
      <c r="D1294" s="156" t="s">
        <v>2109</v>
      </c>
      <c r="E1294" s="156" t="s">
        <v>1075</v>
      </c>
      <c r="F1294" s="155"/>
      <c r="G1294" s="157" t="n">
        <v>21.7</v>
      </c>
      <c r="H1294" s="158"/>
      <c r="I1294" s="155"/>
      <c r="J1294" s="155"/>
      <c r="K1294" s="146"/>
    </row>
    <row r="1295">
      <c r="A1295" s="9" t="s">
        <v>2110</v>
      </c>
      <c r="B1295" s="10" t="s">
        <v>84</v>
      </c>
      <c r="C1295" s="10" t="s">
        <v>2111</v>
      </c>
      <c r="D1295" s="14" t="s">
        <v>2112</v>
      </c>
      <c r="E1295" s="10"/>
      <c r="F1295" s="10" t="s">
        <v>145</v>
      </c>
      <c r="G1295" s="111" t="n">
        <v>10.77745</v>
      </c>
      <c r="H1295" s="152" t="n">
        <v>0</v>
      </c>
      <c r="I1295" s="111">
        <f>G1295*H1295</f>
      </c>
      <c r="J1295" s="153" t="s">
        <v>134</v>
      </c>
      <c r="K1295" s="146"/>
      <c r="Z1295" s="111">
        <f>IF(AQ1295="5",BJ1295,0)</f>
      </c>
      <c r="AB1295" s="111">
        <f>IF(AQ1295="1",BH1295,0)</f>
      </c>
      <c r="AC1295" s="111">
        <f>IF(AQ1295="1",BI1295,0)</f>
      </c>
      <c r="AD1295" s="111">
        <f>IF(AQ1295="7",BH1295,0)</f>
      </c>
      <c r="AE1295" s="111">
        <f>IF(AQ1295="7",BI1295,0)</f>
      </c>
      <c r="AF1295" s="111">
        <f>IF(AQ1295="2",BH1295,0)</f>
      </c>
      <c r="AG1295" s="111">
        <f>IF(AQ1295="2",BI1295,0)</f>
      </c>
      <c r="AH1295" s="111">
        <f>IF(AQ1295="0",BJ1295,0)</f>
      </c>
      <c r="AI1295" s="132" t="s">
        <v>84</v>
      </c>
      <c r="AJ1295" s="111">
        <f>IF(AN1295=0,I1295,0)</f>
      </c>
      <c r="AK1295" s="111">
        <f>IF(AN1295=12,I1295,0)</f>
      </c>
      <c r="AL1295" s="111">
        <f>IF(AN1295=21,I1295,0)</f>
      </c>
      <c r="AN1295" s="111" t="n">
        <v>21</v>
      </c>
      <c r="AO1295" s="111">
        <f>H1295*0</f>
      </c>
      <c r="AP1295" s="111">
        <f>H1295*(1-0)</f>
      </c>
      <c r="AQ1295" s="153" t="s">
        <v>173</v>
      </c>
      <c r="AV1295" s="111">
        <f>AW1295+AX1295</f>
      </c>
      <c r="AW1295" s="111">
        <f>G1295*AO1295</f>
      </c>
      <c r="AX1295" s="111">
        <f>G1295*AP1295</f>
      </c>
      <c r="AY1295" s="153" t="s">
        <v>2032</v>
      </c>
      <c r="AZ1295" s="153" t="s">
        <v>1999</v>
      </c>
      <c r="BA1295" s="132" t="s">
        <v>137</v>
      </c>
      <c r="BC1295" s="111">
        <f>AW1295+AX1295</f>
      </c>
      <c r="BD1295" s="111">
        <f>H1295/(100-BE1295)*100</f>
      </c>
      <c r="BE1295" s="111" t="n">
        <v>0</v>
      </c>
      <c r="BF1295" s="111">
        <f>1295</f>
      </c>
      <c r="BH1295" s="111">
        <f>G1295*AO1295</f>
      </c>
      <c r="BI1295" s="111">
        <f>G1295*AP1295</f>
      </c>
      <c r="BJ1295" s="111">
        <f>G1295*H1295</f>
      </c>
      <c r="BK1295" s="111"/>
      <c r="BL1295" s="111" t="n">
        <v>764</v>
      </c>
      <c r="BW1295" s="111" t="n">
        <v>21</v>
      </c>
      <c r="BX1295" s="14" t="s">
        <v>2112</v>
      </c>
    </row>
    <row r="1296">
      <c r="A1296" s="154"/>
      <c r="B1296" s="155"/>
      <c r="C1296" s="155"/>
      <c r="D1296" s="156" t="s">
        <v>2113</v>
      </c>
      <c r="E1296" s="156" t="s">
        <v>2114</v>
      </c>
      <c r="F1296" s="155"/>
      <c r="G1296" s="157" t="n">
        <v>10.77745</v>
      </c>
      <c r="H1296" s="158"/>
      <c r="I1296" s="155"/>
      <c r="J1296" s="155"/>
      <c r="K1296" s="146"/>
    </row>
    <row r="1297">
      <c r="A1297" s="9" t="s">
        <v>2115</v>
      </c>
      <c r="B1297" s="10" t="s">
        <v>84</v>
      </c>
      <c r="C1297" s="10" t="s">
        <v>2116</v>
      </c>
      <c r="D1297" s="14" t="s">
        <v>2117</v>
      </c>
      <c r="E1297" s="10"/>
      <c r="F1297" s="10" t="s">
        <v>282</v>
      </c>
      <c r="G1297" s="111" t="n">
        <v>4.91</v>
      </c>
      <c r="H1297" s="152" t="n">
        <v>0</v>
      </c>
      <c r="I1297" s="111">
        <f>G1297*H1297</f>
      </c>
      <c r="J1297" s="153" t="s">
        <v>134</v>
      </c>
      <c r="K1297" s="146"/>
      <c r="Z1297" s="111">
        <f>IF(AQ1297="5",BJ1297,0)</f>
      </c>
      <c r="AB1297" s="111">
        <f>IF(AQ1297="1",BH1297,0)</f>
      </c>
      <c r="AC1297" s="111">
        <f>IF(AQ1297="1",BI1297,0)</f>
      </c>
      <c r="AD1297" s="111">
        <f>IF(AQ1297="7",BH1297,0)</f>
      </c>
      <c r="AE1297" s="111">
        <f>IF(AQ1297="7",BI1297,0)</f>
      </c>
      <c r="AF1297" s="111">
        <f>IF(AQ1297="2",BH1297,0)</f>
      </c>
      <c r="AG1297" s="111">
        <f>IF(AQ1297="2",BI1297,0)</f>
      </c>
      <c r="AH1297" s="111">
        <f>IF(AQ1297="0",BJ1297,0)</f>
      </c>
      <c r="AI1297" s="132" t="s">
        <v>84</v>
      </c>
      <c r="AJ1297" s="111">
        <f>IF(AN1297=0,I1297,0)</f>
      </c>
      <c r="AK1297" s="111">
        <f>IF(AN1297=12,I1297,0)</f>
      </c>
      <c r="AL1297" s="111">
        <f>IF(AN1297=21,I1297,0)</f>
      </c>
      <c r="AN1297" s="111" t="n">
        <v>21</v>
      </c>
      <c r="AO1297" s="111">
        <f>H1297*0</f>
      </c>
      <c r="AP1297" s="111">
        <f>H1297*(1-0)</f>
      </c>
      <c r="AQ1297" s="153" t="s">
        <v>173</v>
      </c>
      <c r="AV1297" s="111">
        <f>AW1297+AX1297</f>
      </c>
      <c r="AW1297" s="111">
        <f>G1297*AO1297</f>
      </c>
      <c r="AX1297" s="111">
        <f>G1297*AP1297</f>
      </c>
      <c r="AY1297" s="153" t="s">
        <v>2032</v>
      </c>
      <c r="AZ1297" s="153" t="s">
        <v>1999</v>
      </c>
      <c r="BA1297" s="132" t="s">
        <v>137</v>
      </c>
      <c r="BC1297" s="111">
        <f>AW1297+AX1297</f>
      </c>
      <c r="BD1297" s="111">
        <f>H1297/(100-BE1297)*100</f>
      </c>
      <c r="BE1297" s="111" t="n">
        <v>0</v>
      </c>
      <c r="BF1297" s="111">
        <f>1297</f>
      </c>
      <c r="BH1297" s="111">
        <f>G1297*AO1297</f>
      </c>
      <c r="BI1297" s="111">
        <f>G1297*AP1297</f>
      </c>
      <c r="BJ1297" s="111">
        <f>G1297*H1297</f>
      </c>
      <c r="BK1297" s="111"/>
      <c r="BL1297" s="111" t="n">
        <v>764</v>
      </c>
      <c r="BW1297" s="111" t="n">
        <v>21</v>
      </c>
      <c r="BX1297" s="14" t="s">
        <v>2117</v>
      </c>
    </row>
    <row r="1298">
      <c r="A1298" s="154"/>
      <c r="B1298" s="155"/>
      <c r="C1298" s="155"/>
      <c r="D1298" s="156" t="s">
        <v>2118</v>
      </c>
      <c r="E1298" s="156" t="s">
        <v>2119</v>
      </c>
      <c r="F1298" s="155"/>
      <c r="G1298" s="157" t="n">
        <v>4.91</v>
      </c>
      <c r="H1298" s="158"/>
      <c r="I1298" s="155"/>
      <c r="J1298" s="155"/>
      <c r="K1298" s="146"/>
    </row>
    <row r="1299">
      <c r="A1299" s="9" t="s">
        <v>2120</v>
      </c>
      <c r="B1299" s="10" t="s">
        <v>84</v>
      </c>
      <c r="C1299" s="10" t="s">
        <v>2121</v>
      </c>
      <c r="D1299" s="14" t="s">
        <v>2122</v>
      </c>
      <c r="E1299" s="10"/>
      <c r="F1299" s="10" t="s">
        <v>133</v>
      </c>
      <c r="G1299" s="111" t="n">
        <v>6</v>
      </c>
      <c r="H1299" s="152" t="n">
        <v>0</v>
      </c>
      <c r="I1299" s="111">
        <f>G1299*H1299</f>
      </c>
      <c r="J1299" s="153" t="s">
        <v>134</v>
      </c>
      <c r="K1299" s="146"/>
      <c r="Z1299" s="111">
        <f>IF(AQ1299="5",BJ1299,0)</f>
      </c>
      <c r="AB1299" s="111">
        <f>IF(AQ1299="1",BH1299,0)</f>
      </c>
      <c r="AC1299" s="111">
        <f>IF(AQ1299="1",BI1299,0)</f>
      </c>
      <c r="AD1299" s="111">
        <f>IF(AQ1299="7",BH1299,0)</f>
      </c>
      <c r="AE1299" s="111">
        <f>IF(AQ1299="7",BI1299,0)</f>
      </c>
      <c r="AF1299" s="111">
        <f>IF(AQ1299="2",BH1299,0)</f>
      </c>
      <c r="AG1299" s="111">
        <f>IF(AQ1299="2",BI1299,0)</f>
      </c>
      <c r="AH1299" s="111">
        <f>IF(AQ1299="0",BJ1299,0)</f>
      </c>
      <c r="AI1299" s="132" t="s">
        <v>84</v>
      </c>
      <c r="AJ1299" s="111">
        <f>IF(AN1299=0,I1299,0)</f>
      </c>
      <c r="AK1299" s="111">
        <f>IF(AN1299=12,I1299,0)</f>
      </c>
      <c r="AL1299" s="111">
        <f>IF(AN1299=21,I1299,0)</f>
      </c>
      <c r="AN1299" s="111" t="n">
        <v>21</v>
      </c>
      <c r="AO1299" s="111">
        <f>H1299*0</f>
      </c>
      <c r="AP1299" s="111">
        <f>H1299*(1-0)</f>
      </c>
      <c r="AQ1299" s="153" t="s">
        <v>173</v>
      </c>
      <c r="AV1299" s="111">
        <f>AW1299+AX1299</f>
      </c>
      <c r="AW1299" s="111">
        <f>G1299*AO1299</f>
      </c>
      <c r="AX1299" s="111">
        <f>G1299*AP1299</f>
      </c>
      <c r="AY1299" s="153" t="s">
        <v>2032</v>
      </c>
      <c r="AZ1299" s="153" t="s">
        <v>1999</v>
      </c>
      <c r="BA1299" s="132" t="s">
        <v>137</v>
      </c>
      <c r="BC1299" s="111">
        <f>AW1299+AX1299</f>
      </c>
      <c r="BD1299" s="111">
        <f>H1299/(100-BE1299)*100</f>
      </c>
      <c r="BE1299" s="111" t="n">
        <v>0</v>
      </c>
      <c r="BF1299" s="111">
        <f>1299</f>
      </c>
      <c r="BH1299" s="111">
        <f>G1299*AO1299</f>
      </c>
      <c r="BI1299" s="111">
        <f>G1299*AP1299</f>
      </c>
      <c r="BJ1299" s="111">
        <f>G1299*H1299</f>
      </c>
      <c r="BK1299" s="111"/>
      <c r="BL1299" s="111" t="n">
        <v>764</v>
      </c>
      <c r="BW1299" s="111" t="n">
        <v>21</v>
      </c>
      <c r="BX1299" s="14" t="s">
        <v>2122</v>
      </c>
    </row>
    <row r="1300">
      <c r="A1300" s="154"/>
      <c r="B1300" s="155"/>
      <c r="C1300" s="155"/>
      <c r="D1300" s="156" t="s">
        <v>165</v>
      </c>
      <c r="E1300" s="156" t="s">
        <v>2119</v>
      </c>
      <c r="F1300" s="155"/>
      <c r="G1300" s="157" t="n">
        <v>6</v>
      </c>
      <c r="H1300" s="158"/>
      <c r="I1300" s="155"/>
      <c r="J1300" s="155"/>
      <c r="K1300" s="146"/>
    </row>
    <row r="1301">
      <c r="A1301" s="9" t="s">
        <v>2123</v>
      </c>
      <c r="B1301" s="10" t="s">
        <v>84</v>
      </c>
      <c r="C1301" s="10" t="s">
        <v>2124</v>
      </c>
      <c r="D1301" s="14" t="s">
        <v>2125</v>
      </c>
      <c r="E1301" s="10"/>
      <c r="F1301" s="10" t="s">
        <v>282</v>
      </c>
      <c r="G1301" s="111" t="n">
        <v>4.4</v>
      </c>
      <c r="H1301" s="152" t="n">
        <v>0</v>
      </c>
      <c r="I1301" s="111">
        <f>G1301*H1301</f>
      </c>
      <c r="J1301" s="153" t="s">
        <v>134</v>
      </c>
      <c r="K1301" s="146"/>
      <c r="Z1301" s="111">
        <f>IF(AQ1301="5",BJ1301,0)</f>
      </c>
      <c r="AB1301" s="111">
        <f>IF(AQ1301="1",BH1301,0)</f>
      </c>
      <c r="AC1301" s="111">
        <f>IF(AQ1301="1",BI1301,0)</f>
      </c>
      <c r="AD1301" s="111">
        <f>IF(AQ1301="7",BH1301,0)</f>
      </c>
      <c r="AE1301" s="111">
        <f>IF(AQ1301="7",BI1301,0)</f>
      </c>
      <c r="AF1301" s="111">
        <f>IF(AQ1301="2",BH1301,0)</f>
      </c>
      <c r="AG1301" s="111">
        <f>IF(AQ1301="2",BI1301,0)</f>
      </c>
      <c r="AH1301" s="111">
        <f>IF(AQ1301="0",BJ1301,0)</f>
      </c>
      <c r="AI1301" s="132" t="s">
        <v>84</v>
      </c>
      <c r="AJ1301" s="111">
        <f>IF(AN1301=0,I1301,0)</f>
      </c>
      <c r="AK1301" s="111">
        <f>IF(AN1301=12,I1301,0)</f>
      </c>
      <c r="AL1301" s="111">
        <f>IF(AN1301=21,I1301,0)</f>
      </c>
      <c r="AN1301" s="111" t="n">
        <v>21</v>
      </c>
      <c r="AO1301" s="111">
        <f>H1301*0</f>
      </c>
      <c r="AP1301" s="111">
        <f>H1301*(1-0)</f>
      </c>
      <c r="AQ1301" s="153" t="s">
        <v>173</v>
      </c>
      <c r="AV1301" s="111">
        <f>AW1301+AX1301</f>
      </c>
      <c r="AW1301" s="111">
        <f>G1301*AO1301</f>
      </c>
      <c r="AX1301" s="111">
        <f>G1301*AP1301</f>
      </c>
      <c r="AY1301" s="153" t="s">
        <v>2032</v>
      </c>
      <c r="AZ1301" s="153" t="s">
        <v>1999</v>
      </c>
      <c r="BA1301" s="132" t="s">
        <v>137</v>
      </c>
      <c r="BC1301" s="111">
        <f>AW1301+AX1301</f>
      </c>
      <c r="BD1301" s="111">
        <f>H1301/(100-BE1301)*100</f>
      </c>
      <c r="BE1301" s="111" t="n">
        <v>0</v>
      </c>
      <c r="BF1301" s="111">
        <f>1301</f>
      </c>
      <c r="BH1301" s="111">
        <f>G1301*AO1301</f>
      </c>
      <c r="BI1301" s="111">
        <f>G1301*AP1301</f>
      </c>
      <c r="BJ1301" s="111">
        <f>G1301*H1301</f>
      </c>
      <c r="BK1301" s="111"/>
      <c r="BL1301" s="111" t="n">
        <v>764</v>
      </c>
      <c r="BW1301" s="111" t="n">
        <v>21</v>
      </c>
      <c r="BX1301" s="14" t="s">
        <v>2125</v>
      </c>
    </row>
    <row r="1302">
      <c r="A1302" s="154"/>
      <c r="B1302" s="155"/>
      <c r="C1302" s="155"/>
      <c r="D1302" s="156" t="s">
        <v>2126</v>
      </c>
      <c r="E1302" s="156" t="s">
        <v>2127</v>
      </c>
      <c r="F1302" s="155"/>
      <c r="G1302" s="157" t="n">
        <v>4.4</v>
      </c>
      <c r="H1302" s="158"/>
      <c r="I1302" s="155"/>
      <c r="J1302" s="155"/>
      <c r="K1302" s="146"/>
    </row>
    <row r="1303">
      <c r="A1303" s="9" t="s">
        <v>2128</v>
      </c>
      <c r="B1303" s="10" t="s">
        <v>84</v>
      </c>
      <c r="C1303" s="10" t="s">
        <v>2129</v>
      </c>
      <c r="D1303" s="14" t="s">
        <v>2130</v>
      </c>
      <c r="E1303" s="10"/>
      <c r="F1303" s="10" t="s">
        <v>282</v>
      </c>
      <c r="G1303" s="111" t="n">
        <v>6</v>
      </c>
      <c r="H1303" s="152" t="n">
        <v>0</v>
      </c>
      <c r="I1303" s="111">
        <f>G1303*H1303</f>
      </c>
      <c r="J1303" s="153" t="s">
        <v>134</v>
      </c>
      <c r="K1303" s="146"/>
      <c r="Z1303" s="111">
        <f>IF(AQ1303="5",BJ1303,0)</f>
      </c>
      <c r="AB1303" s="111">
        <f>IF(AQ1303="1",BH1303,0)</f>
      </c>
      <c r="AC1303" s="111">
        <f>IF(AQ1303="1",BI1303,0)</f>
      </c>
      <c r="AD1303" s="111">
        <f>IF(AQ1303="7",BH1303,0)</f>
      </c>
      <c r="AE1303" s="111">
        <f>IF(AQ1303="7",BI1303,0)</f>
      </c>
      <c r="AF1303" s="111">
        <f>IF(AQ1303="2",BH1303,0)</f>
      </c>
      <c r="AG1303" s="111">
        <f>IF(AQ1303="2",BI1303,0)</f>
      </c>
      <c r="AH1303" s="111">
        <f>IF(AQ1303="0",BJ1303,0)</f>
      </c>
      <c r="AI1303" s="132" t="s">
        <v>84</v>
      </c>
      <c r="AJ1303" s="111">
        <f>IF(AN1303=0,I1303,0)</f>
      </c>
      <c r="AK1303" s="111">
        <f>IF(AN1303=12,I1303,0)</f>
      </c>
      <c r="AL1303" s="111">
        <f>IF(AN1303=21,I1303,0)</f>
      </c>
      <c r="AN1303" s="111" t="n">
        <v>21</v>
      </c>
      <c r="AO1303" s="111">
        <f>H1303*0</f>
      </c>
      <c r="AP1303" s="111">
        <f>H1303*(1-0)</f>
      </c>
      <c r="AQ1303" s="153" t="s">
        <v>173</v>
      </c>
      <c r="AV1303" s="111">
        <f>AW1303+AX1303</f>
      </c>
      <c r="AW1303" s="111">
        <f>G1303*AO1303</f>
      </c>
      <c r="AX1303" s="111">
        <f>G1303*AP1303</f>
      </c>
      <c r="AY1303" s="153" t="s">
        <v>2032</v>
      </c>
      <c r="AZ1303" s="153" t="s">
        <v>1999</v>
      </c>
      <c r="BA1303" s="132" t="s">
        <v>137</v>
      </c>
      <c r="BC1303" s="111">
        <f>AW1303+AX1303</f>
      </c>
      <c r="BD1303" s="111">
        <f>H1303/(100-BE1303)*100</f>
      </c>
      <c r="BE1303" s="111" t="n">
        <v>0</v>
      </c>
      <c r="BF1303" s="111">
        <f>1303</f>
      </c>
      <c r="BH1303" s="111">
        <f>G1303*AO1303</f>
      </c>
      <c r="BI1303" s="111">
        <f>G1303*AP1303</f>
      </c>
      <c r="BJ1303" s="111">
        <f>G1303*H1303</f>
      </c>
      <c r="BK1303" s="111"/>
      <c r="BL1303" s="111" t="n">
        <v>764</v>
      </c>
      <c r="BW1303" s="111" t="n">
        <v>21</v>
      </c>
      <c r="BX1303" s="14" t="s">
        <v>2130</v>
      </c>
    </row>
    <row r="1304">
      <c r="A1304" s="154"/>
      <c r="B1304" s="155"/>
      <c r="C1304" s="155"/>
      <c r="D1304" s="156" t="s">
        <v>165</v>
      </c>
      <c r="E1304" s="156" t="s">
        <v>2131</v>
      </c>
      <c r="F1304" s="155"/>
      <c r="G1304" s="157" t="n">
        <v>6</v>
      </c>
      <c r="H1304" s="158"/>
      <c r="I1304" s="155"/>
      <c r="J1304" s="155"/>
      <c r="K1304" s="146"/>
    </row>
    <row r="1305">
      <c r="A1305" s="9" t="s">
        <v>2132</v>
      </c>
      <c r="B1305" s="10" t="s">
        <v>84</v>
      </c>
      <c r="C1305" s="10" t="s">
        <v>2133</v>
      </c>
      <c r="D1305" s="14" t="s">
        <v>2134</v>
      </c>
      <c r="E1305" s="10"/>
      <c r="F1305" s="10" t="s">
        <v>61</v>
      </c>
      <c r="G1305" s="111" t="n">
        <v>2.35</v>
      </c>
      <c r="H1305" s="152" t="n">
        <v>0</v>
      </c>
      <c r="I1305" s="111">
        <f>G1305*H1305</f>
      </c>
      <c r="J1305" s="153" t="s">
        <v>134</v>
      </c>
      <c r="K1305" s="146"/>
      <c r="Z1305" s="111">
        <f>IF(AQ1305="5",BJ1305,0)</f>
      </c>
      <c r="AB1305" s="111">
        <f>IF(AQ1305="1",BH1305,0)</f>
      </c>
      <c r="AC1305" s="111">
        <f>IF(AQ1305="1",BI1305,0)</f>
      </c>
      <c r="AD1305" s="111">
        <f>IF(AQ1305="7",BH1305,0)</f>
      </c>
      <c r="AE1305" s="111">
        <f>IF(AQ1305="7",BI1305,0)</f>
      </c>
      <c r="AF1305" s="111">
        <f>IF(AQ1305="2",BH1305,0)</f>
      </c>
      <c r="AG1305" s="111">
        <f>IF(AQ1305="2",BI1305,0)</f>
      </c>
      <c r="AH1305" s="111">
        <f>IF(AQ1305="0",BJ1305,0)</f>
      </c>
      <c r="AI1305" s="132" t="s">
        <v>84</v>
      </c>
      <c r="AJ1305" s="111">
        <f>IF(AN1305=0,I1305,0)</f>
      </c>
      <c r="AK1305" s="111">
        <f>IF(AN1305=12,I1305,0)</f>
      </c>
      <c r="AL1305" s="111">
        <f>IF(AN1305=21,I1305,0)</f>
      </c>
      <c r="AN1305" s="111" t="n">
        <v>21</v>
      </c>
      <c r="AO1305" s="111">
        <f>H1305*0</f>
      </c>
      <c r="AP1305" s="111">
        <f>H1305*(1-0)</f>
      </c>
      <c r="AQ1305" s="153" t="s">
        <v>156</v>
      </c>
      <c r="AV1305" s="111">
        <f>AW1305+AX1305</f>
      </c>
      <c r="AW1305" s="111">
        <f>G1305*AO1305</f>
      </c>
      <c r="AX1305" s="111">
        <f>G1305*AP1305</f>
      </c>
      <c r="AY1305" s="153" t="s">
        <v>2032</v>
      </c>
      <c r="AZ1305" s="153" t="s">
        <v>1999</v>
      </c>
      <c r="BA1305" s="132" t="s">
        <v>137</v>
      </c>
      <c r="BC1305" s="111">
        <f>AW1305+AX1305</f>
      </c>
      <c r="BD1305" s="111">
        <f>H1305/(100-BE1305)*100</f>
      </c>
      <c r="BE1305" s="111" t="n">
        <v>0</v>
      </c>
      <c r="BF1305" s="111">
        <f>1305</f>
      </c>
      <c r="BH1305" s="111">
        <f>G1305*AO1305</f>
      </c>
      <c r="BI1305" s="111">
        <f>G1305*AP1305</f>
      </c>
      <c r="BJ1305" s="111">
        <f>G1305*H1305</f>
      </c>
      <c r="BK1305" s="111"/>
      <c r="BL1305" s="111" t="n">
        <v>764</v>
      </c>
      <c r="BW1305" s="111" t="n">
        <v>21</v>
      </c>
      <c r="BX1305" s="14" t="s">
        <v>2134</v>
      </c>
    </row>
    <row r="1306">
      <c r="A1306" s="9" t="s">
        <v>2135</v>
      </c>
      <c r="B1306" s="10" t="s">
        <v>84</v>
      </c>
      <c r="C1306" s="10" t="s">
        <v>2136</v>
      </c>
      <c r="D1306" s="14" t="s">
        <v>2137</v>
      </c>
      <c r="E1306" s="10"/>
      <c r="F1306" s="10" t="s">
        <v>61</v>
      </c>
      <c r="G1306" s="111" t="n">
        <v>2.3</v>
      </c>
      <c r="H1306" s="152" t="n">
        <v>0</v>
      </c>
      <c r="I1306" s="111">
        <f>G1306*H1306</f>
      </c>
      <c r="J1306" s="153" t="s">
        <v>134</v>
      </c>
      <c r="K1306" s="146"/>
      <c r="Z1306" s="111">
        <f>IF(AQ1306="5",BJ1306,0)</f>
      </c>
      <c r="AB1306" s="111">
        <f>IF(AQ1306="1",BH1306,0)</f>
      </c>
      <c r="AC1306" s="111">
        <f>IF(AQ1306="1",BI1306,0)</f>
      </c>
      <c r="AD1306" s="111">
        <f>IF(AQ1306="7",BH1306,0)</f>
      </c>
      <c r="AE1306" s="111">
        <f>IF(AQ1306="7",BI1306,0)</f>
      </c>
      <c r="AF1306" s="111">
        <f>IF(AQ1306="2",BH1306,0)</f>
      </c>
      <c r="AG1306" s="111">
        <f>IF(AQ1306="2",BI1306,0)</f>
      </c>
      <c r="AH1306" s="111">
        <f>IF(AQ1306="0",BJ1306,0)</f>
      </c>
      <c r="AI1306" s="132" t="s">
        <v>84</v>
      </c>
      <c r="AJ1306" s="111">
        <f>IF(AN1306=0,I1306,0)</f>
      </c>
      <c r="AK1306" s="111">
        <f>IF(AN1306=12,I1306,0)</f>
      </c>
      <c r="AL1306" s="111">
        <f>IF(AN1306=21,I1306,0)</f>
      </c>
      <c r="AN1306" s="111" t="n">
        <v>21</v>
      </c>
      <c r="AO1306" s="111">
        <f>H1306*0</f>
      </c>
      <c r="AP1306" s="111">
        <f>H1306*(1-0)</f>
      </c>
      <c r="AQ1306" s="153" t="s">
        <v>156</v>
      </c>
      <c r="AV1306" s="111">
        <f>AW1306+AX1306</f>
      </c>
      <c r="AW1306" s="111">
        <f>G1306*AO1306</f>
      </c>
      <c r="AX1306" s="111">
        <f>G1306*AP1306</f>
      </c>
      <c r="AY1306" s="153" t="s">
        <v>2032</v>
      </c>
      <c r="AZ1306" s="153" t="s">
        <v>1999</v>
      </c>
      <c r="BA1306" s="132" t="s">
        <v>137</v>
      </c>
      <c r="BC1306" s="111">
        <f>AW1306+AX1306</f>
      </c>
      <c r="BD1306" s="111">
        <f>H1306/(100-BE1306)*100</f>
      </c>
      <c r="BE1306" s="111" t="n">
        <v>0</v>
      </c>
      <c r="BF1306" s="111">
        <f>1306</f>
      </c>
      <c r="BH1306" s="111">
        <f>G1306*AO1306</f>
      </c>
      <c r="BI1306" s="111">
        <f>G1306*AP1306</f>
      </c>
      <c r="BJ1306" s="111">
        <f>G1306*H1306</f>
      </c>
      <c r="BK1306" s="111"/>
      <c r="BL1306" s="111" t="n">
        <v>764</v>
      </c>
      <c r="BW1306" s="111" t="n">
        <v>21</v>
      </c>
      <c r="BX1306" s="14" t="s">
        <v>2137</v>
      </c>
    </row>
    <row r="1307">
      <c r="A1307" s="147" t="s">
        <v>4</v>
      </c>
      <c r="B1307" s="148" t="s">
        <v>84</v>
      </c>
      <c r="C1307" s="148" t="s">
        <v>2138</v>
      </c>
      <c r="D1307" s="149" t="s">
        <v>2139</v>
      </c>
      <c r="E1307" s="148"/>
      <c r="F1307" s="150" t="s">
        <v>79</v>
      </c>
      <c r="G1307" s="150" t="s">
        <v>79</v>
      </c>
      <c r="H1307" s="151" t="s">
        <v>79</v>
      </c>
      <c r="I1307" s="117">
        <f>SUM(I1308:I1387)</f>
      </c>
      <c r="J1307" s="132" t="s">
        <v>4</v>
      </c>
      <c r="K1307" s="146"/>
      <c r="AI1307" s="132" t="s">
        <v>84</v>
      </c>
      <c r="AS1307" s="117">
        <f>SUM(AJ1308:AJ1387)</f>
      </c>
      <c r="AT1307" s="117">
        <f>SUM(AK1308:AK1387)</f>
      </c>
      <c r="AU1307" s="117">
        <f>SUM(AL1308:AL1387)</f>
      </c>
    </row>
    <row r="1308">
      <c r="A1308" s="9" t="s">
        <v>2140</v>
      </c>
      <c r="B1308" s="10" t="s">
        <v>84</v>
      </c>
      <c r="C1308" s="10" t="s">
        <v>2141</v>
      </c>
      <c r="D1308" s="14" t="s">
        <v>2142</v>
      </c>
      <c r="E1308" s="10"/>
      <c r="F1308" s="10" t="s">
        <v>145</v>
      </c>
      <c r="G1308" s="111" t="n">
        <v>1</v>
      </c>
      <c r="H1308" s="152" t="n">
        <v>0</v>
      </c>
      <c r="I1308" s="111">
        <f>G1308*H1308</f>
      </c>
      <c r="J1308" s="153" t="s">
        <v>134</v>
      </c>
      <c r="K1308" s="146"/>
      <c r="Z1308" s="111">
        <f>IF(AQ1308="5",BJ1308,0)</f>
      </c>
      <c r="AB1308" s="111">
        <f>IF(AQ1308="1",BH1308,0)</f>
      </c>
      <c r="AC1308" s="111">
        <f>IF(AQ1308="1",BI1308,0)</f>
      </c>
      <c r="AD1308" s="111">
        <f>IF(AQ1308="7",BH1308,0)</f>
      </c>
      <c r="AE1308" s="111">
        <f>IF(AQ1308="7",BI1308,0)</f>
      </c>
      <c r="AF1308" s="111">
        <f>IF(AQ1308="2",BH1308,0)</f>
      </c>
      <c r="AG1308" s="111">
        <f>IF(AQ1308="2",BI1308,0)</f>
      </c>
      <c r="AH1308" s="111">
        <f>IF(AQ1308="0",BJ1308,0)</f>
      </c>
      <c r="AI1308" s="132" t="s">
        <v>84</v>
      </c>
      <c r="AJ1308" s="111">
        <f>IF(AN1308=0,I1308,0)</f>
      </c>
      <c r="AK1308" s="111">
        <f>IF(AN1308=12,I1308,0)</f>
      </c>
      <c r="AL1308" s="111">
        <f>IF(AN1308=21,I1308,0)</f>
      </c>
      <c r="AN1308" s="111" t="n">
        <v>21</v>
      </c>
      <c r="AO1308" s="111">
        <f>H1308*0.263227723</f>
      </c>
      <c r="AP1308" s="111">
        <f>H1308*(1-0.263227723)</f>
      </c>
      <c r="AQ1308" s="153" t="s">
        <v>173</v>
      </c>
      <c r="AV1308" s="111">
        <f>AW1308+AX1308</f>
      </c>
      <c r="AW1308" s="111">
        <f>G1308*AO1308</f>
      </c>
      <c r="AX1308" s="111">
        <f>G1308*AP1308</f>
      </c>
      <c r="AY1308" s="153" t="s">
        <v>2143</v>
      </c>
      <c r="AZ1308" s="153" t="s">
        <v>1999</v>
      </c>
      <c r="BA1308" s="132" t="s">
        <v>137</v>
      </c>
      <c r="BC1308" s="111">
        <f>AW1308+AX1308</f>
      </c>
      <c r="BD1308" s="111">
        <f>H1308/(100-BE1308)*100</f>
      </c>
      <c r="BE1308" s="111" t="n">
        <v>0</v>
      </c>
      <c r="BF1308" s="111">
        <f>1308</f>
      </c>
      <c r="BH1308" s="111">
        <f>G1308*AO1308</f>
      </c>
      <c r="BI1308" s="111">
        <f>G1308*AP1308</f>
      </c>
      <c r="BJ1308" s="111">
        <f>G1308*H1308</f>
      </c>
      <c r="BK1308" s="111"/>
      <c r="BL1308" s="111" t="n">
        <v>766</v>
      </c>
      <c r="BW1308" s="111" t="n">
        <v>21</v>
      </c>
      <c r="BX1308" s="14" t="s">
        <v>2142</v>
      </c>
    </row>
    <row r="1309">
      <c r="A1309" s="9" t="s">
        <v>2144</v>
      </c>
      <c r="B1309" s="10" t="s">
        <v>84</v>
      </c>
      <c r="C1309" s="10" t="s">
        <v>2145</v>
      </c>
      <c r="D1309" s="14" t="s">
        <v>2146</v>
      </c>
      <c r="E1309" s="10"/>
      <c r="F1309" s="10" t="s">
        <v>133</v>
      </c>
      <c r="G1309" s="111" t="n">
        <v>9</v>
      </c>
      <c r="H1309" s="152" t="n">
        <v>0</v>
      </c>
      <c r="I1309" s="111">
        <f>G1309*H1309</f>
      </c>
      <c r="J1309" s="153" t="s">
        <v>134</v>
      </c>
      <c r="K1309" s="146"/>
      <c r="Z1309" s="111">
        <f>IF(AQ1309="5",BJ1309,0)</f>
      </c>
      <c r="AB1309" s="111">
        <f>IF(AQ1309="1",BH1309,0)</f>
      </c>
      <c r="AC1309" s="111">
        <f>IF(AQ1309="1",BI1309,0)</f>
      </c>
      <c r="AD1309" s="111">
        <f>IF(AQ1309="7",BH1309,0)</f>
      </c>
      <c r="AE1309" s="111">
        <f>IF(AQ1309="7",BI1309,0)</f>
      </c>
      <c r="AF1309" s="111">
        <f>IF(AQ1309="2",BH1309,0)</f>
      </c>
      <c r="AG1309" s="111">
        <f>IF(AQ1309="2",BI1309,0)</f>
      </c>
      <c r="AH1309" s="111">
        <f>IF(AQ1309="0",BJ1309,0)</f>
      </c>
      <c r="AI1309" s="132" t="s">
        <v>84</v>
      </c>
      <c r="AJ1309" s="111">
        <f>IF(AN1309=0,I1309,0)</f>
      </c>
      <c r="AK1309" s="111">
        <f>IF(AN1309=12,I1309,0)</f>
      </c>
      <c r="AL1309" s="111">
        <f>IF(AN1309=21,I1309,0)</f>
      </c>
      <c r="AN1309" s="111" t="n">
        <v>21</v>
      </c>
      <c r="AO1309" s="111">
        <f>H1309*0</f>
      </c>
      <c r="AP1309" s="111">
        <f>H1309*(1-0)</f>
      </c>
      <c r="AQ1309" s="153" t="s">
        <v>173</v>
      </c>
      <c r="AV1309" s="111">
        <f>AW1309+AX1309</f>
      </c>
      <c r="AW1309" s="111">
        <f>G1309*AO1309</f>
      </c>
      <c r="AX1309" s="111">
        <f>G1309*AP1309</f>
      </c>
      <c r="AY1309" s="153" t="s">
        <v>2143</v>
      </c>
      <c r="AZ1309" s="153" t="s">
        <v>1999</v>
      </c>
      <c r="BA1309" s="132" t="s">
        <v>137</v>
      </c>
      <c r="BC1309" s="111">
        <f>AW1309+AX1309</f>
      </c>
      <c r="BD1309" s="111">
        <f>H1309/(100-BE1309)*100</f>
      </c>
      <c r="BE1309" s="111" t="n">
        <v>0</v>
      </c>
      <c r="BF1309" s="111">
        <f>1309</f>
      </c>
      <c r="BH1309" s="111">
        <f>G1309*AO1309</f>
      </c>
      <c r="BI1309" s="111">
        <f>G1309*AP1309</f>
      </c>
      <c r="BJ1309" s="111">
        <f>G1309*H1309</f>
      </c>
      <c r="BK1309" s="111"/>
      <c r="BL1309" s="111" t="n">
        <v>766</v>
      </c>
      <c r="BW1309" s="111" t="n">
        <v>21</v>
      </c>
      <c r="BX1309" s="14" t="s">
        <v>2146</v>
      </c>
    </row>
    <row r="1310">
      <c r="A1310" s="154"/>
      <c r="B1310" s="155"/>
      <c r="C1310" s="155"/>
      <c r="D1310" s="156" t="s">
        <v>2147</v>
      </c>
      <c r="E1310" s="156" t="s">
        <v>2148</v>
      </c>
      <c r="F1310" s="155"/>
      <c r="G1310" s="157" t="n">
        <v>9</v>
      </c>
      <c r="H1310" s="158"/>
      <c r="I1310" s="155"/>
      <c r="J1310" s="155"/>
      <c r="K1310" s="146"/>
    </row>
    <row r="1311">
      <c r="A1311" s="9" t="s">
        <v>2149</v>
      </c>
      <c r="B1311" s="10" t="s">
        <v>84</v>
      </c>
      <c r="C1311" s="10" t="s">
        <v>2150</v>
      </c>
      <c r="D1311" s="14" t="s">
        <v>2151</v>
      </c>
      <c r="E1311" s="10"/>
      <c r="F1311" s="10" t="s">
        <v>133</v>
      </c>
      <c r="G1311" s="111" t="n">
        <v>4</v>
      </c>
      <c r="H1311" s="152" t="n">
        <v>0</v>
      </c>
      <c r="I1311" s="111">
        <f>G1311*H1311</f>
      </c>
      <c r="J1311" s="153" t="s">
        <v>134</v>
      </c>
      <c r="K1311" s="146"/>
      <c r="Z1311" s="111">
        <f>IF(AQ1311="5",BJ1311,0)</f>
      </c>
      <c r="AB1311" s="111">
        <f>IF(AQ1311="1",BH1311,0)</f>
      </c>
      <c r="AC1311" s="111">
        <f>IF(AQ1311="1",BI1311,0)</f>
      </c>
      <c r="AD1311" s="111">
        <f>IF(AQ1311="7",BH1311,0)</f>
      </c>
      <c r="AE1311" s="111">
        <f>IF(AQ1311="7",BI1311,0)</f>
      </c>
      <c r="AF1311" s="111">
        <f>IF(AQ1311="2",BH1311,0)</f>
      </c>
      <c r="AG1311" s="111">
        <f>IF(AQ1311="2",BI1311,0)</f>
      </c>
      <c r="AH1311" s="111">
        <f>IF(AQ1311="0",BJ1311,0)</f>
      </c>
      <c r="AI1311" s="132" t="s">
        <v>84</v>
      </c>
      <c r="AJ1311" s="111">
        <f>IF(AN1311=0,I1311,0)</f>
      </c>
      <c r="AK1311" s="111">
        <f>IF(AN1311=12,I1311,0)</f>
      </c>
      <c r="AL1311" s="111">
        <f>IF(AN1311=21,I1311,0)</f>
      </c>
      <c r="AN1311" s="111" t="n">
        <v>21</v>
      </c>
      <c r="AO1311" s="111">
        <f>H1311*1</f>
      </c>
      <c r="AP1311" s="111">
        <f>H1311*(1-1)</f>
      </c>
      <c r="AQ1311" s="153" t="s">
        <v>173</v>
      </c>
      <c r="AV1311" s="111">
        <f>AW1311+AX1311</f>
      </c>
      <c r="AW1311" s="111">
        <f>G1311*AO1311</f>
      </c>
      <c r="AX1311" s="111">
        <f>G1311*AP1311</f>
      </c>
      <c r="AY1311" s="153" t="s">
        <v>2143</v>
      </c>
      <c r="AZ1311" s="153" t="s">
        <v>1999</v>
      </c>
      <c r="BA1311" s="132" t="s">
        <v>137</v>
      </c>
      <c r="BC1311" s="111">
        <f>AW1311+AX1311</f>
      </c>
      <c r="BD1311" s="111">
        <f>H1311/(100-BE1311)*100</f>
      </c>
      <c r="BE1311" s="111" t="n">
        <v>0</v>
      </c>
      <c r="BF1311" s="111">
        <f>1311</f>
      </c>
      <c r="BH1311" s="111">
        <f>G1311*AO1311</f>
      </c>
      <c r="BI1311" s="111">
        <f>G1311*AP1311</f>
      </c>
      <c r="BJ1311" s="111">
        <f>G1311*H1311</f>
      </c>
      <c r="BK1311" s="111"/>
      <c r="BL1311" s="111" t="n">
        <v>766</v>
      </c>
      <c r="BW1311" s="111" t="n">
        <v>21</v>
      </c>
      <c r="BX1311" s="14" t="s">
        <v>2151</v>
      </c>
    </row>
    <row r="1312">
      <c r="A1312" s="154"/>
      <c r="B1312" s="155"/>
      <c r="C1312" s="155"/>
      <c r="D1312" s="156" t="s">
        <v>149</v>
      </c>
      <c r="E1312" s="156" t="s">
        <v>2152</v>
      </c>
      <c r="F1312" s="155"/>
      <c r="G1312" s="157" t="n">
        <v>4</v>
      </c>
      <c r="H1312" s="158"/>
      <c r="I1312" s="155"/>
      <c r="J1312" s="155"/>
      <c r="K1312" s="146"/>
    </row>
    <row r="1313">
      <c r="A1313" s="154"/>
      <c r="B1313" s="155"/>
      <c r="C1313" s="155"/>
      <c r="D1313" s="156" t="s">
        <v>4</v>
      </c>
      <c r="E1313" s="156" t="s">
        <v>2153</v>
      </c>
      <c r="F1313" s="155"/>
      <c r="G1313" s="157" t="n">
        <v>0</v>
      </c>
      <c r="H1313" s="158"/>
      <c r="I1313" s="155"/>
      <c r="J1313" s="155"/>
      <c r="K1313" s="146"/>
    </row>
    <row r="1314">
      <c r="A1314" s="9" t="s">
        <v>2154</v>
      </c>
      <c r="B1314" s="10" t="s">
        <v>84</v>
      </c>
      <c r="C1314" s="10" t="s">
        <v>2155</v>
      </c>
      <c r="D1314" s="14" t="s">
        <v>2156</v>
      </c>
      <c r="E1314" s="10"/>
      <c r="F1314" s="10" t="s">
        <v>133</v>
      </c>
      <c r="G1314" s="111" t="n">
        <v>5</v>
      </c>
      <c r="H1314" s="152" t="n">
        <v>0</v>
      </c>
      <c r="I1314" s="111">
        <f>G1314*H1314</f>
      </c>
      <c r="J1314" s="153" t="s">
        <v>134</v>
      </c>
      <c r="K1314" s="146"/>
      <c r="Z1314" s="111">
        <f>IF(AQ1314="5",BJ1314,0)</f>
      </c>
      <c r="AB1314" s="111">
        <f>IF(AQ1314="1",BH1314,0)</f>
      </c>
      <c r="AC1314" s="111">
        <f>IF(AQ1314="1",BI1314,0)</f>
      </c>
      <c r="AD1314" s="111">
        <f>IF(AQ1314="7",BH1314,0)</f>
      </c>
      <c r="AE1314" s="111">
        <f>IF(AQ1314="7",BI1314,0)</f>
      </c>
      <c r="AF1314" s="111">
        <f>IF(AQ1314="2",BH1314,0)</f>
      </c>
      <c r="AG1314" s="111">
        <f>IF(AQ1314="2",BI1314,0)</f>
      </c>
      <c r="AH1314" s="111">
        <f>IF(AQ1314="0",BJ1314,0)</f>
      </c>
      <c r="AI1314" s="132" t="s">
        <v>84</v>
      </c>
      <c r="AJ1314" s="111">
        <f>IF(AN1314=0,I1314,0)</f>
      </c>
      <c r="AK1314" s="111">
        <f>IF(AN1314=12,I1314,0)</f>
      </c>
      <c r="AL1314" s="111">
        <f>IF(AN1314=21,I1314,0)</f>
      </c>
      <c r="AN1314" s="111" t="n">
        <v>21</v>
      </c>
      <c r="AO1314" s="111">
        <f>H1314*1</f>
      </c>
      <c r="AP1314" s="111">
        <f>H1314*(1-1)</f>
      </c>
      <c r="AQ1314" s="153" t="s">
        <v>173</v>
      </c>
      <c r="AV1314" s="111">
        <f>AW1314+AX1314</f>
      </c>
      <c r="AW1314" s="111">
        <f>G1314*AO1314</f>
      </c>
      <c r="AX1314" s="111">
        <f>G1314*AP1314</f>
      </c>
      <c r="AY1314" s="153" t="s">
        <v>2143</v>
      </c>
      <c r="AZ1314" s="153" t="s">
        <v>1999</v>
      </c>
      <c r="BA1314" s="132" t="s">
        <v>137</v>
      </c>
      <c r="BC1314" s="111">
        <f>AW1314+AX1314</f>
      </c>
      <c r="BD1314" s="111">
        <f>H1314/(100-BE1314)*100</f>
      </c>
      <c r="BE1314" s="111" t="n">
        <v>0</v>
      </c>
      <c r="BF1314" s="111">
        <f>1314</f>
      </c>
      <c r="BH1314" s="111">
        <f>G1314*AO1314</f>
      </c>
      <c r="BI1314" s="111">
        <f>G1314*AP1314</f>
      </c>
      <c r="BJ1314" s="111">
        <f>G1314*H1314</f>
      </c>
      <c r="BK1314" s="111"/>
      <c r="BL1314" s="111" t="n">
        <v>766</v>
      </c>
      <c r="BW1314" s="111" t="n">
        <v>21</v>
      </c>
      <c r="BX1314" s="14" t="s">
        <v>2156</v>
      </c>
    </row>
    <row r="1315">
      <c r="A1315" s="154"/>
      <c r="B1315" s="155"/>
      <c r="C1315" s="155"/>
      <c r="D1315" s="156" t="s">
        <v>156</v>
      </c>
      <c r="E1315" s="156" t="s">
        <v>2157</v>
      </c>
      <c r="F1315" s="155"/>
      <c r="G1315" s="157" t="n">
        <v>5</v>
      </c>
      <c r="H1315" s="158"/>
      <c r="I1315" s="155"/>
      <c r="J1315" s="155"/>
      <c r="K1315" s="146"/>
    </row>
    <row r="1316">
      <c r="A1316" s="9" t="s">
        <v>2158</v>
      </c>
      <c r="B1316" s="10" t="s">
        <v>84</v>
      </c>
      <c r="C1316" s="10" t="s">
        <v>2159</v>
      </c>
      <c r="D1316" s="14" t="s">
        <v>2160</v>
      </c>
      <c r="E1316" s="10"/>
      <c r="F1316" s="10" t="s">
        <v>133</v>
      </c>
      <c r="G1316" s="111" t="n">
        <v>3</v>
      </c>
      <c r="H1316" s="152" t="n">
        <v>0</v>
      </c>
      <c r="I1316" s="111">
        <f>G1316*H1316</f>
      </c>
      <c r="J1316" s="153" t="s">
        <v>134</v>
      </c>
      <c r="K1316" s="146"/>
      <c r="Z1316" s="111">
        <f>IF(AQ1316="5",BJ1316,0)</f>
      </c>
      <c r="AB1316" s="111">
        <f>IF(AQ1316="1",BH1316,0)</f>
      </c>
      <c r="AC1316" s="111">
        <f>IF(AQ1316="1",BI1316,0)</f>
      </c>
      <c r="AD1316" s="111">
        <f>IF(AQ1316="7",BH1316,0)</f>
      </c>
      <c r="AE1316" s="111">
        <f>IF(AQ1316="7",BI1316,0)</f>
      </c>
      <c r="AF1316" s="111">
        <f>IF(AQ1316="2",BH1316,0)</f>
      </c>
      <c r="AG1316" s="111">
        <f>IF(AQ1316="2",BI1316,0)</f>
      </c>
      <c r="AH1316" s="111">
        <f>IF(AQ1316="0",BJ1316,0)</f>
      </c>
      <c r="AI1316" s="132" t="s">
        <v>84</v>
      </c>
      <c r="AJ1316" s="111">
        <f>IF(AN1316=0,I1316,0)</f>
      </c>
      <c r="AK1316" s="111">
        <f>IF(AN1316=12,I1316,0)</f>
      </c>
      <c r="AL1316" s="111">
        <f>IF(AN1316=21,I1316,0)</f>
      </c>
      <c r="AN1316" s="111" t="n">
        <v>21</v>
      </c>
      <c r="AO1316" s="111">
        <f>H1316*0</f>
      </c>
      <c r="AP1316" s="111">
        <f>H1316*(1-0)</f>
      </c>
      <c r="AQ1316" s="153" t="s">
        <v>173</v>
      </c>
      <c r="AV1316" s="111">
        <f>AW1316+AX1316</f>
      </c>
      <c r="AW1316" s="111">
        <f>G1316*AO1316</f>
      </c>
      <c r="AX1316" s="111">
        <f>G1316*AP1316</f>
      </c>
      <c r="AY1316" s="153" t="s">
        <v>2143</v>
      </c>
      <c r="AZ1316" s="153" t="s">
        <v>1999</v>
      </c>
      <c r="BA1316" s="132" t="s">
        <v>137</v>
      </c>
      <c r="BC1316" s="111">
        <f>AW1316+AX1316</f>
      </c>
      <c r="BD1316" s="111">
        <f>H1316/(100-BE1316)*100</f>
      </c>
      <c r="BE1316" s="111" t="n">
        <v>0</v>
      </c>
      <c r="BF1316" s="111">
        <f>1316</f>
      </c>
      <c r="BH1316" s="111">
        <f>G1316*AO1316</f>
      </c>
      <c r="BI1316" s="111">
        <f>G1316*AP1316</f>
      </c>
      <c r="BJ1316" s="111">
        <f>G1316*H1316</f>
      </c>
      <c r="BK1316" s="111"/>
      <c r="BL1316" s="111" t="n">
        <v>766</v>
      </c>
      <c r="BW1316" s="111" t="n">
        <v>21</v>
      </c>
      <c r="BX1316" s="14" t="s">
        <v>2160</v>
      </c>
    </row>
    <row r="1317">
      <c r="A1317" s="154"/>
      <c r="B1317" s="155"/>
      <c r="C1317" s="155"/>
      <c r="D1317" s="156" t="s">
        <v>522</v>
      </c>
      <c r="E1317" s="156" t="s">
        <v>1311</v>
      </c>
      <c r="F1317" s="155"/>
      <c r="G1317" s="157" t="n">
        <v>3</v>
      </c>
      <c r="H1317" s="158"/>
      <c r="I1317" s="155"/>
      <c r="J1317" s="155"/>
      <c r="K1317" s="146"/>
    </row>
    <row r="1318">
      <c r="A1318" s="9" t="s">
        <v>2161</v>
      </c>
      <c r="B1318" s="10" t="s">
        <v>84</v>
      </c>
      <c r="C1318" s="10" t="s">
        <v>2162</v>
      </c>
      <c r="D1318" s="14" t="s">
        <v>2163</v>
      </c>
      <c r="E1318" s="10"/>
      <c r="F1318" s="10" t="s">
        <v>133</v>
      </c>
      <c r="G1318" s="111" t="n">
        <v>1</v>
      </c>
      <c r="H1318" s="152" t="n">
        <v>0</v>
      </c>
      <c r="I1318" s="111">
        <f>G1318*H1318</f>
      </c>
      <c r="J1318" s="153" t="s">
        <v>134</v>
      </c>
      <c r="K1318" s="146"/>
      <c r="Z1318" s="111">
        <f>IF(AQ1318="5",BJ1318,0)</f>
      </c>
      <c r="AB1318" s="111">
        <f>IF(AQ1318="1",BH1318,0)</f>
      </c>
      <c r="AC1318" s="111">
        <f>IF(AQ1318="1",BI1318,0)</f>
      </c>
      <c r="AD1318" s="111">
        <f>IF(AQ1318="7",BH1318,0)</f>
      </c>
      <c r="AE1318" s="111">
        <f>IF(AQ1318="7",BI1318,0)</f>
      </c>
      <c r="AF1318" s="111">
        <f>IF(AQ1318="2",BH1318,0)</f>
      </c>
      <c r="AG1318" s="111">
        <f>IF(AQ1318="2",BI1318,0)</f>
      </c>
      <c r="AH1318" s="111">
        <f>IF(AQ1318="0",BJ1318,0)</f>
      </c>
      <c r="AI1318" s="132" t="s">
        <v>84</v>
      </c>
      <c r="AJ1318" s="111">
        <f>IF(AN1318=0,I1318,0)</f>
      </c>
      <c r="AK1318" s="111">
        <f>IF(AN1318=12,I1318,0)</f>
      </c>
      <c r="AL1318" s="111">
        <f>IF(AN1318=21,I1318,0)</f>
      </c>
      <c r="AN1318" s="111" t="n">
        <v>21</v>
      </c>
      <c r="AO1318" s="111">
        <f>H1318*1</f>
      </c>
      <c r="AP1318" s="111">
        <f>H1318*(1-1)</f>
      </c>
      <c r="AQ1318" s="153" t="s">
        <v>173</v>
      </c>
      <c r="AV1318" s="111">
        <f>AW1318+AX1318</f>
      </c>
      <c r="AW1318" s="111">
        <f>G1318*AO1318</f>
      </c>
      <c r="AX1318" s="111">
        <f>G1318*AP1318</f>
      </c>
      <c r="AY1318" s="153" t="s">
        <v>2143</v>
      </c>
      <c r="AZ1318" s="153" t="s">
        <v>1999</v>
      </c>
      <c r="BA1318" s="132" t="s">
        <v>137</v>
      </c>
      <c r="BC1318" s="111">
        <f>AW1318+AX1318</f>
      </c>
      <c r="BD1318" s="111">
        <f>H1318/(100-BE1318)*100</f>
      </c>
      <c r="BE1318" s="111" t="n">
        <v>0</v>
      </c>
      <c r="BF1318" s="111">
        <f>1318</f>
      </c>
      <c r="BH1318" s="111">
        <f>G1318*AO1318</f>
      </c>
      <c r="BI1318" s="111">
        <f>G1318*AP1318</f>
      </c>
      <c r="BJ1318" s="111">
        <f>G1318*H1318</f>
      </c>
      <c r="BK1318" s="111"/>
      <c r="BL1318" s="111" t="n">
        <v>766</v>
      </c>
      <c r="BW1318" s="111" t="n">
        <v>21</v>
      </c>
      <c r="BX1318" s="14" t="s">
        <v>2163</v>
      </c>
    </row>
    <row r="1319">
      <c r="A1319" s="154"/>
      <c r="B1319" s="155"/>
      <c r="C1319" s="155"/>
      <c r="D1319" s="156" t="s">
        <v>130</v>
      </c>
      <c r="E1319" s="156" t="s">
        <v>2164</v>
      </c>
      <c r="F1319" s="155"/>
      <c r="G1319" s="157" t="n">
        <v>1</v>
      </c>
      <c r="H1319" s="158"/>
      <c r="I1319" s="155"/>
      <c r="J1319" s="155"/>
      <c r="K1319" s="146"/>
    </row>
    <row r="1320">
      <c r="A1320" s="154"/>
      <c r="B1320" s="155"/>
      <c r="C1320" s="155"/>
      <c r="D1320" s="156" t="s">
        <v>4</v>
      </c>
      <c r="E1320" s="156" t="s">
        <v>2165</v>
      </c>
      <c r="F1320" s="155"/>
      <c r="G1320" s="157" t="n">
        <v>0</v>
      </c>
      <c r="H1320" s="158"/>
      <c r="I1320" s="155"/>
      <c r="J1320" s="155"/>
      <c r="K1320" s="146"/>
    </row>
    <row r="1321">
      <c r="A1321" s="9" t="s">
        <v>2166</v>
      </c>
      <c r="B1321" s="10" t="s">
        <v>84</v>
      </c>
      <c r="C1321" s="10" t="s">
        <v>2167</v>
      </c>
      <c r="D1321" s="14" t="s">
        <v>2163</v>
      </c>
      <c r="E1321" s="10"/>
      <c r="F1321" s="10" t="s">
        <v>133</v>
      </c>
      <c r="G1321" s="111" t="n">
        <v>1</v>
      </c>
      <c r="H1321" s="152" t="n">
        <v>0</v>
      </c>
      <c r="I1321" s="111">
        <f>G1321*H1321</f>
      </c>
      <c r="J1321" s="153" t="s">
        <v>134</v>
      </c>
      <c r="K1321" s="146"/>
      <c r="Z1321" s="111">
        <f>IF(AQ1321="5",BJ1321,0)</f>
      </c>
      <c r="AB1321" s="111">
        <f>IF(AQ1321="1",BH1321,0)</f>
      </c>
      <c r="AC1321" s="111">
        <f>IF(AQ1321="1",BI1321,0)</f>
      </c>
      <c r="AD1321" s="111">
        <f>IF(AQ1321="7",BH1321,0)</f>
      </c>
      <c r="AE1321" s="111">
        <f>IF(AQ1321="7",BI1321,0)</f>
      </c>
      <c r="AF1321" s="111">
        <f>IF(AQ1321="2",BH1321,0)</f>
      </c>
      <c r="AG1321" s="111">
        <f>IF(AQ1321="2",BI1321,0)</f>
      </c>
      <c r="AH1321" s="111">
        <f>IF(AQ1321="0",BJ1321,0)</f>
      </c>
      <c r="AI1321" s="132" t="s">
        <v>84</v>
      </c>
      <c r="AJ1321" s="111">
        <f>IF(AN1321=0,I1321,0)</f>
      </c>
      <c r="AK1321" s="111">
        <f>IF(AN1321=12,I1321,0)</f>
      </c>
      <c r="AL1321" s="111">
        <f>IF(AN1321=21,I1321,0)</f>
      </c>
      <c r="AN1321" s="111" t="n">
        <v>21</v>
      </c>
      <c r="AO1321" s="111">
        <f>H1321*1</f>
      </c>
      <c r="AP1321" s="111">
        <f>H1321*(1-1)</f>
      </c>
      <c r="AQ1321" s="153" t="s">
        <v>173</v>
      </c>
      <c r="AV1321" s="111">
        <f>AW1321+AX1321</f>
      </c>
      <c r="AW1321" s="111">
        <f>G1321*AO1321</f>
      </c>
      <c r="AX1321" s="111">
        <f>G1321*AP1321</f>
      </c>
      <c r="AY1321" s="153" t="s">
        <v>2143</v>
      </c>
      <c r="AZ1321" s="153" t="s">
        <v>1999</v>
      </c>
      <c r="BA1321" s="132" t="s">
        <v>137</v>
      </c>
      <c r="BC1321" s="111">
        <f>AW1321+AX1321</f>
      </c>
      <c r="BD1321" s="111">
        <f>H1321/(100-BE1321)*100</f>
      </c>
      <c r="BE1321" s="111" t="n">
        <v>0</v>
      </c>
      <c r="BF1321" s="111">
        <f>1321</f>
      </c>
      <c r="BH1321" s="111">
        <f>G1321*AO1321</f>
      </c>
      <c r="BI1321" s="111">
        <f>G1321*AP1321</f>
      </c>
      <c r="BJ1321" s="111">
        <f>G1321*H1321</f>
      </c>
      <c r="BK1321" s="111"/>
      <c r="BL1321" s="111" t="n">
        <v>766</v>
      </c>
      <c r="BW1321" s="111" t="n">
        <v>21</v>
      </c>
      <c r="BX1321" s="14" t="s">
        <v>2163</v>
      </c>
    </row>
    <row r="1322">
      <c r="A1322" s="154"/>
      <c r="B1322" s="155"/>
      <c r="C1322" s="155"/>
      <c r="D1322" s="156" t="s">
        <v>130</v>
      </c>
      <c r="E1322" s="156" t="s">
        <v>2168</v>
      </c>
      <c r="F1322" s="155"/>
      <c r="G1322" s="157" t="n">
        <v>1</v>
      </c>
      <c r="H1322" s="158"/>
      <c r="I1322" s="155"/>
      <c r="J1322" s="155"/>
      <c r="K1322" s="146"/>
    </row>
    <row r="1323">
      <c r="A1323" s="154"/>
      <c r="B1323" s="155"/>
      <c r="C1323" s="155"/>
      <c r="D1323" s="156" t="s">
        <v>4</v>
      </c>
      <c r="E1323" s="156" t="s">
        <v>2169</v>
      </c>
      <c r="F1323" s="155"/>
      <c r="G1323" s="157" t="n">
        <v>0</v>
      </c>
      <c r="H1323" s="158"/>
      <c r="I1323" s="155"/>
      <c r="J1323" s="155"/>
      <c r="K1323" s="146"/>
    </row>
    <row r="1324">
      <c r="A1324" s="9" t="s">
        <v>2170</v>
      </c>
      <c r="B1324" s="10" t="s">
        <v>84</v>
      </c>
      <c r="C1324" s="10" t="s">
        <v>2171</v>
      </c>
      <c r="D1324" s="14" t="s">
        <v>2163</v>
      </c>
      <c r="E1324" s="10"/>
      <c r="F1324" s="10" t="s">
        <v>133</v>
      </c>
      <c r="G1324" s="111" t="n">
        <v>1</v>
      </c>
      <c r="H1324" s="152" t="n">
        <v>0</v>
      </c>
      <c r="I1324" s="111">
        <f>G1324*H1324</f>
      </c>
      <c r="J1324" s="153" t="s">
        <v>134</v>
      </c>
      <c r="K1324" s="146"/>
      <c r="Z1324" s="111">
        <f>IF(AQ1324="5",BJ1324,0)</f>
      </c>
      <c r="AB1324" s="111">
        <f>IF(AQ1324="1",BH1324,0)</f>
      </c>
      <c r="AC1324" s="111">
        <f>IF(AQ1324="1",BI1324,0)</f>
      </c>
      <c r="AD1324" s="111">
        <f>IF(AQ1324="7",BH1324,0)</f>
      </c>
      <c r="AE1324" s="111">
        <f>IF(AQ1324="7",BI1324,0)</f>
      </c>
      <c r="AF1324" s="111">
        <f>IF(AQ1324="2",BH1324,0)</f>
      </c>
      <c r="AG1324" s="111">
        <f>IF(AQ1324="2",BI1324,0)</f>
      </c>
      <c r="AH1324" s="111">
        <f>IF(AQ1324="0",BJ1324,0)</f>
      </c>
      <c r="AI1324" s="132" t="s">
        <v>84</v>
      </c>
      <c r="AJ1324" s="111">
        <f>IF(AN1324=0,I1324,0)</f>
      </c>
      <c r="AK1324" s="111">
        <f>IF(AN1324=12,I1324,0)</f>
      </c>
      <c r="AL1324" s="111">
        <f>IF(AN1324=21,I1324,0)</f>
      </c>
      <c r="AN1324" s="111" t="n">
        <v>21</v>
      </c>
      <c r="AO1324" s="111">
        <f>H1324*1</f>
      </c>
      <c r="AP1324" s="111">
        <f>H1324*(1-1)</f>
      </c>
      <c r="AQ1324" s="153" t="s">
        <v>173</v>
      </c>
      <c r="AV1324" s="111">
        <f>AW1324+AX1324</f>
      </c>
      <c r="AW1324" s="111">
        <f>G1324*AO1324</f>
      </c>
      <c r="AX1324" s="111">
        <f>G1324*AP1324</f>
      </c>
      <c r="AY1324" s="153" t="s">
        <v>2143</v>
      </c>
      <c r="AZ1324" s="153" t="s">
        <v>1999</v>
      </c>
      <c r="BA1324" s="132" t="s">
        <v>137</v>
      </c>
      <c r="BC1324" s="111">
        <f>AW1324+AX1324</f>
      </c>
      <c r="BD1324" s="111">
        <f>H1324/(100-BE1324)*100</f>
      </c>
      <c r="BE1324" s="111" t="n">
        <v>0</v>
      </c>
      <c r="BF1324" s="111">
        <f>1324</f>
      </c>
      <c r="BH1324" s="111">
        <f>G1324*AO1324</f>
      </c>
      <c r="BI1324" s="111">
        <f>G1324*AP1324</f>
      </c>
      <c r="BJ1324" s="111">
        <f>G1324*H1324</f>
      </c>
      <c r="BK1324" s="111"/>
      <c r="BL1324" s="111" t="n">
        <v>766</v>
      </c>
      <c r="BW1324" s="111" t="n">
        <v>21</v>
      </c>
      <c r="BX1324" s="14" t="s">
        <v>2163</v>
      </c>
    </row>
    <row r="1325">
      <c r="A1325" s="154"/>
      <c r="B1325" s="155"/>
      <c r="C1325" s="155"/>
      <c r="D1325" s="156" t="s">
        <v>130</v>
      </c>
      <c r="E1325" s="156" t="s">
        <v>2172</v>
      </c>
      <c r="F1325" s="155"/>
      <c r="G1325" s="157" t="n">
        <v>1</v>
      </c>
      <c r="H1325" s="158"/>
      <c r="I1325" s="155"/>
      <c r="J1325" s="155"/>
      <c r="K1325" s="146"/>
    </row>
    <row r="1326">
      <c r="A1326" s="154"/>
      <c r="B1326" s="155"/>
      <c r="C1326" s="155"/>
      <c r="D1326" s="156" t="s">
        <v>4</v>
      </c>
      <c r="E1326" s="156" t="s">
        <v>2169</v>
      </c>
      <c r="F1326" s="155"/>
      <c r="G1326" s="157" t="n">
        <v>0</v>
      </c>
      <c r="H1326" s="158"/>
      <c r="I1326" s="155"/>
      <c r="J1326" s="155"/>
      <c r="K1326" s="146"/>
    </row>
    <row r="1327">
      <c r="A1327" s="9" t="s">
        <v>2173</v>
      </c>
      <c r="B1327" s="10" t="s">
        <v>84</v>
      </c>
      <c r="C1327" s="10" t="s">
        <v>2174</v>
      </c>
      <c r="D1327" s="14" t="s">
        <v>2175</v>
      </c>
      <c r="E1327" s="10"/>
      <c r="F1327" s="10" t="s">
        <v>133</v>
      </c>
      <c r="G1327" s="111" t="n">
        <v>1</v>
      </c>
      <c r="H1327" s="152" t="n">
        <v>0</v>
      </c>
      <c r="I1327" s="111">
        <f>G1327*H1327</f>
      </c>
      <c r="J1327" s="153" t="s">
        <v>134</v>
      </c>
      <c r="K1327" s="146"/>
      <c r="Z1327" s="111">
        <f>IF(AQ1327="5",BJ1327,0)</f>
      </c>
      <c r="AB1327" s="111">
        <f>IF(AQ1327="1",BH1327,0)</f>
      </c>
      <c r="AC1327" s="111">
        <f>IF(AQ1327="1",BI1327,0)</f>
      </c>
      <c r="AD1327" s="111">
        <f>IF(AQ1327="7",BH1327,0)</f>
      </c>
      <c r="AE1327" s="111">
        <f>IF(AQ1327="7",BI1327,0)</f>
      </c>
      <c r="AF1327" s="111">
        <f>IF(AQ1327="2",BH1327,0)</f>
      </c>
      <c r="AG1327" s="111">
        <f>IF(AQ1327="2",BI1327,0)</f>
      </c>
      <c r="AH1327" s="111">
        <f>IF(AQ1327="0",BJ1327,0)</f>
      </c>
      <c r="AI1327" s="132" t="s">
        <v>84</v>
      </c>
      <c r="AJ1327" s="111">
        <f>IF(AN1327=0,I1327,0)</f>
      </c>
      <c r="AK1327" s="111">
        <f>IF(AN1327=12,I1327,0)</f>
      </c>
      <c r="AL1327" s="111">
        <f>IF(AN1327=21,I1327,0)</f>
      </c>
      <c r="AN1327" s="111" t="n">
        <v>21</v>
      </c>
      <c r="AO1327" s="111">
        <f>H1327*0</f>
      </c>
      <c r="AP1327" s="111">
        <f>H1327*(1-0)</f>
      </c>
      <c r="AQ1327" s="153" t="s">
        <v>173</v>
      </c>
      <c r="AV1327" s="111">
        <f>AW1327+AX1327</f>
      </c>
      <c r="AW1327" s="111">
        <f>G1327*AO1327</f>
      </c>
      <c r="AX1327" s="111">
        <f>G1327*AP1327</f>
      </c>
      <c r="AY1327" s="153" t="s">
        <v>2143</v>
      </c>
      <c r="AZ1327" s="153" t="s">
        <v>1999</v>
      </c>
      <c r="BA1327" s="132" t="s">
        <v>137</v>
      </c>
      <c r="BC1327" s="111">
        <f>AW1327+AX1327</f>
      </c>
      <c r="BD1327" s="111">
        <f>H1327/(100-BE1327)*100</f>
      </c>
      <c r="BE1327" s="111" t="n">
        <v>0</v>
      </c>
      <c r="BF1327" s="111">
        <f>1327</f>
      </c>
      <c r="BH1327" s="111">
        <f>G1327*AO1327</f>
      </c>
      <c r="BI1327" s="111">
        <f>G1327*AP1327</f>
      </c>
      <c r="BJ1327" s="111">
        <f>G1327*H1327</f>
      </c>
      <c r="BK1327" s="111"/>
      <c r="BL1327" s="111" t="n">
        <v>766</v>
      </c>
      <c r="BW1327" s="111" t="n">
        <v>21</v>
      </c>
      <c r="BX1327" s="14" t="s">
        <v>2175</v>
      </c>
    </row>
    <row r="1328">
      <c r="A1328" s="154"/>
      <c r="B1328" s="155"/>
      <c r="C1328" s="155"/>
      <c r="D1328" s="156" t="s">
        <v>130</v>
      </c>
      <c r="E1328" s="156" t="s">
        <v>1315</v>
      </c>
      <c r="F1328" s="155"/>
      <c r="G1328" s="157" t="n">
        <v>1</v>
      </c>
      <c r="H1328" s="158"/>
      <c r="I1328" s="155"/>
      <c r="J1328" s="155"/>
      <c r="K1328" s="146"/>
    </row>
    <row r="1329">
      <c r="A1329" s="9" t="s">
        <v>2176</v>
      </c>
      <c r="B1329" s="10" t="s">
        <v>84</v>
      </c>
      <c r="C1329" s="10" t="s">
        <v>2177</v>
      </c>
      <c r="D1329" s="14" t="s">
        <v>2178</v>
      </c>
      <c r="E1329" s="10"/>
      <c r="F1329" s="10" t="s">
        <v>133</v>
      </c>
      <c r="G1329" s="111" t="n">
        <v>1</v>
      </c>
      <c r="H1329" s="152" t="n">
        <v>0</v>
      </c>
      <c r="I1329" s="111">
        <f>G1329*H1329</f>
      </c>
      <c r="J1329" s="153" t="s">
        <v>134</v>
      </c>
      <c r="K1329" s="146"/>
      <c r="Z1329" s="111">
        <f>IF(AQ1329="5",BJ1329,0)</f>
      </c>
      <c r="AB1329" s="111">
        <f>IF(AQ1329="1",BH1329,0)</f>
      </c>
      <c r="AC1329" s="111">
        <f>IF(AQ1329="1",BI1329,0)</f>
      </c>
      <c r="AD1329" s="111">
        <f>IF(AQ1329="7",BH1329,0)</f>
      </c>
      <c r="AE1329" s="111">
        <f>IF(AQ1329="7",BI1329,0)</f>
      </c>
      <c r="AF1329" s="111">
        <f>IF(AQ1329="2",BH1329,0)</f>
      </c>
      <c r="AG1329" s="111">
        <f>IF(AQ1329="2",BI1329,0)</f>
      </c>
      <c r="AH1329" s="111">
        <f>IF(AQ1329="0",BJ1329,0)</f>
      </c>
      <c r="AI1329" s="132" t="s">
        <v>84</v>
      </c>
      <c r="AJ1329" s="111">
        <f>IF(AN1329=0,I1329,0)</f>
      </c>
      <c r="AK1329" s="111">
        <f>IF(AN1329=12,I1329,0)</f>
      </c>
      <c r="AL1329" s="111">
        <f>IF(AN1329=21,I1329,0)</f>
      </c>
      <c r="AN1329" s="111" t="n">
        <v>21</v>
      </c>
      <c r="AO1329" s="111">
        <f>H1329*1</f>
      </c>
      <c r="AP1329" s="111">
        <f>H1329*(1-1)</f>
      </c>
      <c r="AQ1329" s="153" t="s">
        <v>173</v>
      </c>
      <c r="AV1329" s="111">
        <f>AW1329+AX1329</f>
      </c>
      <c r="AW1329" s="111">
        <f>G1329*AO1329</f>
      </c>
      <c r="AX1329" s="111">
        <f>G1329*AP1329</f>
      </c>
      <c r="AY1329" s="153" t="s">
        <v>2143</v>
      </c>
      <c r="AZ1329" s="153" t="s">
        <v>1999</v>
      </c>
      <c r="BA1329" s="132" t="s">
        <v>137</v>
      </c>
      <c r="BC1329" s="111">
        <f>AW1329+AX1329</f>
      </c>
      <c r="BD1329" s="111">
        <f>H1329/(100-BE1329)*100</f>
      </c>
      <c r="BE1329" s="111" t="n">
        <v>0</v>
      </c>
      <c r="BF1329" s="111">
        <f>1329</f>
      </c>
      <c r="BH1329" s="111">
        <f>G1329*AO1329</f>
      </c>
      <c r="BI1329" s="111">
        <f>G1329*AP1329</f>
      </c>
      <c r="BJ1329" s="111">
        <f>G1329*H1329</f>
      </c>
      <c r="BK1329" s="111"/>
      <c r="BL1329" s="111" t="n">
        <v>766</v>
      </c>
      <c r="BW1329" s="111" t="n">
        <v>21</v>
      </c>
      <c r="BX1329" s="14" t="s">
        <v>2178</v>
      </c>
    </row>
    <row r="1330">
      <c r="A1330" s="154"/>
      <c r="B1330" s="155"/>
      <c r="C1330" s="155"/>
      <c r="D1330" s="156" t="s">
        <v>130</v>
      </c>
      <c r="E1330" s="156" t="s">
        <v>2179</v>
      </c>
      <c r="F1330" s="155"/>
      <c r="G1330" s="157" t="n">
        <v>1</v>
      </c>
      <c r="H1330" s="158"/>
      <c r="I1330" s="155"/>
      <c r="J1330" s="155"/>
      <c r="K1330" s="146"/>
    </row>
    <row r="1331">
      <c r="A1331" s="154"/>
      <c r="B1331" s="155"/>
      <c r="C1331" s="155"/>
      <c r="D1331" s="156" t="s">
        <v>4</v>
      </c>
      <c r="E1331" s="156" t="s">
        <v>2180</v>
      </c>
      <c r="F1331" s="155"/>
      <c r="G1331" s="157" t="n">
        <v>0</v>
      </c>
      <c r="H1331" s="158"/>
      <c r="I1331" s="155"/>
      <c r="J1331" s="155"/>
      <c r="K1331" s="146"/>
    </row>
    <row r="1332">
      <c r="A1332" s="9" t="s">
        <v>2181</v>
      </c>
      <c r="B1332" s="10" t="s">
        <v>84</v>
      </c>
      <c r="C1332" s="10" t="s">
        <v>2182</v>
      </c>
      <c r="D1332" s="14" t="s">
        <v>2183</v>
      </c>
      <c r="E1332" s="10"/>
      <c r="F1332" s="10" t="s">
        <v>133</v>
      </c>
      <c r="G1332" s="111" t="n">
        <v>1</v>
      </c>
      <c r="H1332" s="152" t="n">
        <v>0</v>
      </c>
      <c r="I1332" s="111">
        <f>G1332*H1332</f>
      </c>
      <c r="J1332" s="153" t="s">
        <v>134</v>
      </c>
      <c r="K1332" s="146"/>
      <c r="Z1332" s="111">
        <f>IF(AQ1332="5",BJ1332,0)</f>
      </c>
      <c r="AB1332" s="111">
        <f>IF(AQ1332="1",BH1332,0)</f>
      </c>
      <c r="AC1332" s="111">
        <f>IF(AQ1332="1",BI1332,0)</f>
      </c>
      <c r="AD1332" s="111">
        <f>IF(AQ1332="7",BH1332,0)</f>
      </c>
      <c r="AE1332" s="111">
        <f>IF(AQ1332="7",BI1332,0)</f>
      </c>
      <c r="AF1332" s="111">
        <f>IF(AQ1332="2",BH1332,0)</f>
      </c>
      <c r="AG1332" s="111">
        <f>IF(AQ1332="2",BI1332,0)</f>
      </c>
      <c r="AH1332" s="111">
        <f>IF(AQ1332="0",BJ1332,0)</f>
      </c>
      <c r="AI1332" s="132" t="s">
        <v>84</v>
      </c>
      <c r="AJ1332" s="111">
        <f>IF(AN1332=0,I1332,0)</f>
      </c>
      <c r="AK1332" s="111">
        <f>IF(AN1332=12,I1332,0)</f>
      </c>
      <c r="AL1332" s="111">
        <f>IF(AN1332=21,I1332,0)</f>
      </c>
      <c r="AN1332" s="111" t="n">
        <v>21</v>
      </c>
      <c r="AO1332" s="111">
        <f>H1332*0</f>
      </c>
      <c r="AP1332" s="111">
        <f>H1332*(1-0)</f>
      </c>
      <c r="AQ1332" s="153" t="s">
        <v>173</v>
      </c>
      <c r="AV1332" s="111">
        <f>AW1332+AX1332</f>
      </c>
      <c r="AW1332" s="111">
        <f>G1332*AO1332</f>
      </c>
      <c r="AX1332" s="111">
        <f>G1332*AP1332</f>
      </c>
      <c r="AY1332" s="153" t="s">
        <v>2143</v>
      </c>
      <c r="AZ1332" s="153" t="s">
        <v>1999</v>
      </c>
      <c r="BA1332" s="132" t="s">
        <v>137</v>
      </c>
      <c r="BC1332" s="111">
        <f>AW1332+AX1332</f>
      </c>
      <c r="BD1332" s="111">
        <f>H1332/(100-BE1332)*100</f>
      </c>
      <c r="BE1332" s="111" t="n">
        <v>0</v>
      </c>
      <c r="BF1332" s="111">
        <f>1332</f>
      </c>
      <c r="BH1332" s="111">
        <f>G1332*AO1332</f>
      </c>
      <c r="BI1332" s="111">
        <f>G1332*AP1332</f>
      </c>
      <c r="BJ1332" s="111">
        <f>G1332*H1332</f>
      </c>
      <c r="BK1332" s="111"/>
      <c r="BL1332" s="111" t="n">
        <v>766</v>
      </c>
      <c r="BW1332" s="111" t="n">
        <v>21</v>
      </c>
      <c r="BX1332" s="14" t="s">
        <v>2183</v>
      </c>
    </row>
    <row r="1333">
      <c r="A1333" s="154"/>
      <c r="B1333" s="155"/>
      <c r="C1333" s="155"/>
      <c r="D1333" s="156" t="s">
        <v>130</v>
      </c>
      <c r="E1333" s="156" t="s">
        <v>1319</v>
      </c>
      <c r="F1333" s="155"/>
      <c r="G1333" s="157" t="n">
        <v>1</v>
      </c>
      <c r="H1333" s="158"/>
      <c r="I1333" s="155"/>
      <c r="J1333" s="155"/>
      <c r="K1333" s="146"/>
    </row>
    <row r="1334">
      <c r="A1334" s="9" t="s">
        <v>2184</v>
      </c>
      <c r="B1334" s="10" t="s">
        <v>84</v>
      </c>
      <c r="C1334" s="10" t="s">
        <v>2185</v>
      </c>
      <c r="D1334" s="14" t="s">
        <v>2186</v>
      </c>
      <c r="E1334" s="10"/>
      <c r="F1334" s="10" t="s">
        <v>133</v>
      </c>
      <c r="G1334" s="111" t="n">
        <v>1</v>
      </c>
      <c r="H1334" s="152" t="n">
        <v>0</v>
      </c>
      <c r="I1334" s="111">
        <f>G1334*H1334</f>
      </c>
      <c r="J1334" s="153" t="s">
        <v>134</v>
      </c>
      <c r="K1334" s="146"/>
      <c r="Z1334" s="111">
        <f>IF(AQ1334="5",BJ1334,0)</f>
      </c>
      <c r="AB1334" s="111">
        <f>IF(AQ1334="1",BH1334,0)</f>
      </c>
      <c r="AC1334" s="111">
        <f>IF(AQ1334="1",BI1334,0)</f>
      </c>
      <c r="AD1334" s="111">
        <f>IF(AQ1334="7",BH1334,0)</f>
      </c>
      <c r="AE1334" s="111">
        <f>IF(AQ1334="7",BI1334,0)</f>
      </c>
      <c r="AF1334" s="111">
        <f>IF(AQ1334="2",BH1334,0)</f>
      </c>
      <c r="AG1334" s="111">
        <f>IF(AQ1334="2",BI1334,0)</f>
      </c>
      <c r="AH1334" s="111">
        <f>IF(AQ1334="0",BJ1334,0)</f>
      </c>
      <c r="AI1334" s="132" t="s">
        <v>84</v>
      </c>
      <c r="AJ1334" s="111">
        <f>IF(AN1334=0,I1334,0)</f>
      </c>
      <c r="AK1334" s="111">
        <f>IF(AN1334=12,I1334,0)</f>
      </c>
      <c r="AL1334" s="111">
        <f>IF(AN1334=21,I1334,0)</f>
      </c>
      <c r="AN1334" s="111" t="n">
        <v>21</v>
      </c>
      <c r="AO1334" s="111">
        <f>H1334*1</f>
      </c>
      <c r="AP1334" s="111">
        <f>H1334*(1-1)</f>
      </c>
      <c r="AQ1334" s="153" t="s">
        <v>173</v>
      </c>
      <c r="AV1334" s="111">
        <f>AW1334+AX1334</f>
      </c>
      <c r="AW1334" s="111">
        <f>G1334*AO1334</f>
      </c>
      <c r="AX1334" s="111">
        <f>G1334*AP1334</f>
      </c>
      <c r="AY1334" s="153" t="s">
        <v>2143</v>
      </c>
      <c r="AZ1334" s="153" t="s">
        <v>1999</v>
      </c>
      <c r="BA1334" s="132" t="s">
        <v>137</v>
      </c>
      <c r="BC1334" s="111">
        <f>AW1334+AX1334</f>
      </c>
      <c r="BD1334" s="111">
        <f>H1334/(100-BE1334)*100</f>
      </c>
      <c r="BE1334" s="111" t="n">
        <v>0</v>
      </c>
      <c r="BF1334" s="111">
        <f>1334</f>
      </c>
      <c r="BH1334" s="111">
        <f>G1334*AO1334</f>
      </c>
      <c r="BI1334" s="111">
        <f>G1334*AP1334</f>
      </c>
      <c r="BJ1334" s="111">
        <f>G1334*H1334</f>
      </c>
      <c r="BK1334" s="111"/>
      <c r="BL1334" s="111" t="n">
        <v>766</v>
      </c>
      <c r="BW1334" s="111" t="n">
        <v>21</v>
      </c>
      <c r="BX1334" s="14" t="s">
        <v>2186</v>
      </c>
    </row>
    <row r="1335">
      <c r="A1335" s="154"/>
      <c r="B1335" s="155"/>
      <c r="C1335" s="155"/>
      <c r="D1335" s="156" t="s">
        <v>130</v>
      </c>
      <c r="E1335" s="156" t="s">
        <v>2187</v>
      </c>
      <c r="F1335" s="155"/>
      <c r="G1335" s="157" t="n">
        <v>1</v>
      </c>
      <c r="H1335" s="158"/>
      <c r="I1335" s="155"/>
      <c r="J1335" s="155"/>
      <c r="K1335" s="146"/>
    </row>
    <row r="1336">
      <c r="A1336" s="154"/>
      <c r="B1336" s="155"/>
      <c r="C1336" s="155"/>
      <c r="D1336" s="156" t="s">
        <v>4</v>
      </c>
      <c r="E1336" s="156" t="s">
        <v>2180</v>
      </c>
      <c r="F1336" s="155"/>
      <c r="G1336" s="157" t="n">
        <v>0</v>
      </c>
      <c r="H1336" s="158"/>
      <c r="I1336" s="155"/>
      <c r="J1336" s="155"/>
      <c r="K1336" s="146"/>
    </row>
    <row r="1337">
      <c r="A1337" s="9" t="s">
        <v>2188</v>
      </c>
      <c r="B1337" s="10" t="s">
        <v>84</v>
      </c>
      <c r="C1337" s="10" t="s">
        <v>2189</v>
      </c>
      <c r="D1337" s="14" t="s">
        <v>2190</v>
      </c>
      <c r="E1337" s="10"/>
      <c r="F1337" s="10" t="s">
        <v>133</v>
      </c>
      <c r="G1337" s="111" t="n">
        <v>14</v>
      </c>
      <c r="H1337" s="152" t="n">
        <v>0</v>
      </c>
      <c r="I1337" s="111">
        <f>G1337*H1337</f>
      </c>
      <c r="J1337" s="153" t="s">
        <v>134</v>
      </c>
      <c r="K1337" s="146"/>
      <c r="Z1337" s="111">
        <f>IF(AQ1337="5",BJ1337,0)</f>
      </c>
      <c r="AB1337" s="111">
        <f>IF(AQ1337="1",BH1337,0)</f>
      </c>
      <c r="AC1337" s="111">
        <f>IF(AQ1337="1",BI1337,0)</f>
      </c>
      <c r="AD1337" s="111">
        <f>IF(AQ1337="7",BH1337,0)</f>
      </c>
      <c r="AE1337" s="111">
        <f>IF(AQ1337="7",BI1337,0)</f>
      </c>
      <c r="AF1337" s="111">
        <f>IF(AQ1337="2",BH1337,0)</f>
      </c>
      <c r="AG1337" s="111">
        <f>IF(AQ1337="2",BI1337,0)</f>
      </c>
      <c r="AH1337" s="111">
        <f>IF(AQ1337="0",BJ1337,0)</f>
      </c>
      <c r="AI1337" s="132" t="s">
        <v>84</v>
      </c>
      <c r="AJ1337" s="111">
        <f>IF(AN1337=0,I1337,0)</f>
      </c>
      <c r="AK1337" s="111">
        <f>IF(AN1337=12,I1337,0)</f>
      </c>
      <c r="AL1337" s="111">
        <f>IF(AN1337=21,I1337,0)</f>
      </c>
      <c r="AN1337" s="111" t="n">
        <v>21</v>
      </c>
      <c r="AO1337" s="111">
        <f>H1337*0</f>
      </c>
      <c r="AP1337" s="111">
        <f>H1337*(1-0)</f>
      </c>
      <c r="AQ1337" s="153" t="s">
        <v>173</v>
      </c>
      <c r="AV1337" s="111">
        <f>AW1337+AX1337</f>
      </c>
      <c r="AW1337" s="111">
        <f>G1337*AO1337</f>
      </c>
      <c r="AX1337" s="111">
        <f>G1337*AP1337</f>
      </c>
      <c r="AY1337" s="153" t="s">
        <v>2143</v>
      </c>
      <c r="AZ1337" s="153" t="s">
        <v>1999</v>
      </c>
      <c r="BA1337" s="132" t="s">
        <v>137</v>
      </c>
      <c r="BC1337" s="111">
        <f>AW1337+AX1337</f>
      </c>
      <c r="BD1337" s="111">
        <f>H1337/(100-BE1337)*100</f>
      </c>
      <c r="BE1337" s="111" t="n">
        <v>0</v>
      </c>
      <c r="BF1337" s="111">
        <f>1337</f>
      </c>
      <c r="BH1337" s="111">
        <f>G1337*AO1337</f>
      </c>
      <c r="BI1337" s="111">
        <f>G1337*AP1337</f>
      </c>
      <c r="BJ1337" s="111">
        <f>G1337*H1337</f>
      </c>
      <c r="BK1337" s="111"/>
      <c r="BL1337" s="111" t="n">
        <v>766</v>
      </c>
      <c r="BW1337" s="111" t="n">
        <v>21</v>
      </c>
      <c r="BX1337" s="14" t="s">
        <v>2190</v>
      </c>
    </row>
    <row r="1338" customHeight="true" ht="13.5">
      <c r="A1338" s="159"/>
      <c r="C1338" s="160" t="s">
        <v>146</v>
      </c>
      <c r="D1338" s="161" t="s">
        <v>2191</v>
      </c>
      <c r="E1338" s="156"/>
      <c r="F1338" s="156"/>
      <c r="G1338" s="156"/>
      <c r="H1338" s="162"/>
      <c r="I1338" s="156"/>
      <c r="J1338" s="156"/>
      <c r="K1338" s="163"/>
    </row>
    <row r="1339">
      <c r="A1339" s="154"/>
      <c r="B1339" s="155"/>
      <c r="C1339" s="155"/>
      <c r="D1339" s="156" t="s">
        <v>2192</v>
      </c>
      <c r="E1339" s="156" t="s">
        <v>2193</v>
      </c>
      <c r="F1339" s="155"/>
      <c r="G1339" s="157" t="n">
        <v>14</v>
      </c>
      <c r="H1339" s="158"/>
      <c r="I1339" s="155"/>
      <c r="J1339" s="155"/>
      <c r="K1339" s="146"/>
    </row>
    <row r="1340">
      <c r="A1340" s="9" t="s">
        <v>2194</v>
      </c>
      <c r="B1340" s="10" t="s">
        <v>84</v>
      </c>
      <c r="C1340" s="10" t="s">
        <v>2195</v>
      </c>
      <c r="D1340" s="14" t="s">
        <v>2196</v>
      </c>
      <c r="E1340" s="10"/>
      <c r="F1340" s="10" t="s">
        <v>133</v>
      </c>
      <c r="G1340" s="111" t="n">
        <v>14</v>
      </c>
      <c r="H1340" s="152" t="n">
        <v>0</v>
      </c>
      <c r="I1340" s="111">
        <f>G1340*H1340</f>
      </c>
      <c r="J1340" s="153" t="s">
        <v>134</v>
      </c>
      <c r="K1340" s="146"/>
      <c r="Z1340" s="111">
        <f>IF(AQ1340="5",BJ1340,0)</f>
      </c>
      <c r="AB1340" s="111">
        <f>IF(AQ1340="1",BH1340,0)</f>
      </c>
      <c r="AC1340" s="111">
        <f>IF(AQ1340="1",BI1340,0)</f>
      </c>
      <c r="AD1340" s="111">
        <f>IF(AQ1340="7",BH1340,0)</f>
      </c>
      <c r="AE1340" s="111">
        <f>IF(AQ1340="7",BI1340,0)</f>
      </c>
      <c r="AF1340" s="111">
        <f>IF(AQ1340="2",BH1340,0)</f>
      </c>
      <c r="AG1340" s="111">
        <f>IF(AQ1340="2",BI1340,0)</f>
      </c>
      <c r="AH1340" s="111">
        <f>IF(AQ1340="0",BJ1340,0)</f>
      </c>
      <c r="AI1340" s="132" t="s">
        <v>84</v>
      </c>
      <c r="AJ1340" s="111">
        <f>IF(AN1340=0,I1340,0)</f>
      </c>
      <c r="AK1340" s="111">
        <f>IF(AN1340=12,I1340,0)</f>
      </c>
      <c r="AL1340" s="111">
        <f>IF(AN1340=21,I1340,0)</f>
      </c>
      <c r="AN1340" s="111" t="n">
        <v>21</v>
      </c>
      <c r="AO1340" s="111">
        <f>H1340*1</f>
      </c>
      <c r="AP1340" s="111">
        <f>H1340*(1-1)</f>
      </c>
      <c r="AQ1340" s="153" t="s">
        <v>173</v>
      </c>
      <c r="AV1340" s="111">
        <f>AW1340+AX1340</f>
      </c>
      <c r="AW1340" s="111">
        <f>G1340*AO1340</f>
      </c>
      <c r="AX1340" s="111">
        <f>G1340*AP1340</f>
      </c>
      <c r="AY1340" s="153" t="s">
        <v>2143</v>
      </c>
      <c r="AZ1340" s="153" t="s">
        <v>1999</v>
      </c>
      <c r="BA1340" s="132" t="s">
        <v>137</v>
      </c>
      <c r="BC1340" s="111">
        <f>AW1340+AX1340</f>
      </c>
      <c r="BD1340" s="111">
        <f>H1340/(100-BE1340)*100</f>
      </c>
      <c r="BE1340" s="111" t="n">
        <v>0</v>
      </c>
      <c r="BF1340" s="111">
        <f>1340</f>
      </c>
      <c r="BH1340" s="111">
        <f>G1340*AO1340</f>
      </c>
      <c r="BI1340" s="111">
        <f>G1340*AP1340</f>
      </c>
      <c r="BJ1340" s="111">
        <f>G1340*H1340</f>
      </c>
      <c r="BK1340" s="111"/>
      <c r="BL1340" s="111" t="n">
        <v>766</v>
      </c>
      <c r="BW1340" s="111" t="n">
        <v>21</v>
      </c>
      <c r="BX1340" s="14" t="s">
        <v>2196</v>
      </c>
    </row>
    <row r="1341">
      <c r="A1341" s="154"/>
      <c r="B1341" s="155"/>
      <c r="C1341" s="155"/>
      <c r="D1341" s="156" t="s">
        <v>2192</v>
      </c>
      <c r="E1341" s="156" t="s">
        <v>2193</v>
      </c>
      <c r="F1341" s="155"/>
      <c r="G1341" s="157" t="n">
        <v>14</v>
      </c>
      <c r="H1341" s="158"/>
      <c r="I1341" s="155"/>
      <c r="J1341" s="155"/>
      <c r="K1341" s="146"/>
    </row>
    <row r="1342">
      <c r="A1342" s="9" t="s">
        <v>2197</v>
      </c>
      <c r="B1342" s="10" t="s">
        <v>84</v>
      </c>
      <c r="C1342" s="10" t="s">
        <v>2198</v>
      </c>
      <c r="D1342" s="14" t="s">
        <v>2199</v>
      </c>
      <c r="E1342" s="10"/>
      <c r="F1342" s="10" t="s">
        <v>133</v>
      </c>
      <c r="G1342" s="111" t="n">
        <v>1</v>
      </c>
      <c r="H1342" s="152" t="n">
        <v>0</v>
      </c>
      <c r="I1342" s="111">
        <f>G1342*H1342</f>
      </c>
      <c r="J1342" s="153" t="s">
        <v>134</v>
      </c>
      <c r="K1342" s="146"/>
      <c r="Z1342" s="111">
        <f>IF(AQ1342="5",BJ1342,0)</f>
      </c>
      <c r="AB1342" s="111">
        <f>IF(AQ1342="1",BH1342,0)</f>
      </c>
      <c r="AC1342" s="111">
        <f>IF(AQ1342="1",BI1342,0)</f>
      </c>
      <c r="AD1342" s="111">
        <f>IF(AQ1342="7",BH1342,0)</f>
      </c>
      <c r="AE1342" s="111">
        <f>IF(AQ1342="7",BI1342,0)</f>
      </c>
      <c r="AF1342" s="111">
        <f>IF(AQ1342="2",BH1342,0)</f>
      </c>
      <c r="AG1342" s="111">
        <f>IF(AQ1342="2",BI1342,0)</f>
      </c>
      <c r="AH1342" s="111">
        <f>IF(AQ1342="0",BJ1342,0)</f>
      </c>
      <c r="AI1342" s="132" t="s">
        <v>84</v>
      </c>
      <c r="AJ1342" s="111">
        <f>IF(AN1342=0,I1342,0)</f>
      </c>
      <c r="AK1342" s="111">
        <f>IF(AN1342=12,I1342,0)</f>
      </c>
      <c r="AL1342" s="111">
        <f>IF(AN1342=21,I1342,0)</f>
      </c>
      <c r="AN1342" s="111" t="n">
        <v>21</v>
      </c>
      <c r="AO1342" s="111">
        <f>H1342*0.034375252</f>
      </c>
      <c r="AP1342" s="111">
        <f>H1342*(1-0.034375252)</f>
      </c>
      <c r="AQ1342" s="153" t="s">
        <v>173</v>
      </c>
      <c r="AV1342" s="111">
        <f>AW1342+AX1342</f>
      </c>
      <c r="AW1342" s="111">
        <f>G1342*AO1342</f>
      </c>
      <c r="AX1342" s="111">
        <f>G1342*AP1342</f>
      </c>
      <c r="AY1342" s="153" t="s">
        <v>2143</v>
      </c>
      <c r="AZ1342" s="153" t="s">
        <v>1999</v>
      </c>
      <c r="BA1342" s="132" t="s">
        <v>137</v>
      </c>
      <c r="BC1342" s="111">
        <f>AW1342+AX1342</f>
      </c>
      <c r="BD1342" s="111">
        <f>H1342/(100-BE1342)*100</f>
      </c>
      <c r="BE1342" s="111" t="n">
        <v>0</v>
      </c>
      <c r="BF1342" s="111">
        <f>1342</f>
      </c>
      <c r="BH1342" s="111">
        <f>G1342*AO1342</f>
      </c>
      <c r="BI1342" s="111">
        <f>G1342*AP1342</f>
      </c>
      <c r="BJ1342" s="111">
        <f>G1342*H1342</f>
      </c>
      <c r="BK1342" s="111"/>
      <c r="BL1342" s="111" t="n">
        <v>766</v>
      </c>
      <c r="BW1342" s="111" t="n">
        <v>21</v>
      </c>
      <c r="BX1342" s="14" t="s">
        <v>2199</v>
      </c>
    </row>
    <row r="1343" customHeight="true" ht="13.5">
      <c r="A1343" s="159"/>
      <c r="C1343" s="160" t="s">
        <v>146</v>
      </c>
      <c r="D1343" s="161" t="s">
        <v>2200</v>
      </c>
      <c r="E1343" s="156"/>
      <c r="F1343" s="156"/>
      <c r="G1343" s="156"/>
      <c r="H1343" s="162"/>
      <c r="I1343" s="156"/>
      <c r="J1343" s="156"/>
      <c r="K1343" s="163"/>
    </row>
    <row r="1344">
      <c r="A1344" s="154"/>
      <c r="B1344" s="155"/>
      <c r="C1344" s="155"/>
      <c r="D1344" s="156" t="s">
        <v>130</v>
      </c>
      <c r="E1344" s="156" t="s">
        <v>2201</v>
      </c>
      <c r="F1344" s="155"/>
      <c r="G1344" s="157" t="n">
        <v>1</v>
      </c>
      <c r="H1344" s="158"/>
      <c r="I1344" s="155"/>
      <c r="J1344" s="155"/>
      <c r="K1344" s="146"/>
    </row>
    <row r="1345">
      <c r="A1345" s="9" t="s">
        <v>2202</v>
      </c>
      <c r="B1345" s="10" t="s">
        <v>84</v>
      </c>
      <c r="C1345" s="10" t="s">
        <v>2203</v>
      </c>
      <c r="D1345" s="14" t="s">
        <v>2199</v>
      </c>
      <c r="E1345" s="10"/>
      <c r="F1345" s="10" t="s">
        <v>133</v>
      </c>
      <c r="G1345" s="111" t="n">
        <v>1</v>
      </c>
      <c r="H1345" s="152" t="n">
        <v>0</v>
      </c>
      <c r="I1345" s="111">
        <f>G1345*H1345</f>
      </c>
      <c r="J1345" s="153" t="s">
        <v>134</v>
      </c>
      <c r="K1345" s="146"/>
      <c r="Z1345" s="111">
        <f>IF(AQ1345="5",BJ1345,0)</f>
      </c>
      <c r="AB1345" s="111">
        <f>IF(AQ1345="1",BH1345,0)</f>
      </c>
      <c r="AC1345" s="111">
        <f>IF(AQ1345="1",BI1345,0)</f>
      </c>
      <c r="AD1345" s="111">
        <f>IF(AQ1345="7",BH1345,0)</f>
      </c>
      <c r="AE1345" s="111">
        <f>IF(AQ1345="7",BI1345,0)</f>
      </c>
      <c r="AF1345" s="111">
        <f>IF(AQ1345="2",BH1345,0)</f>
      </c>
      <c r="AG1345" s="111">
        <f>IF(AQ1345="2",BI1345,0)</f>
      </c>
      <c r="AH1345" s="111">
        <f>IF(AQ1345="0",BJ1345,0)</f>
      </c>
      <c r="AI1345" s="132" t="s">
        <v>84</v>
      </c>
      <c r="AJ1345" s="111">
        <f>IF(AN1345=0,I1345,0)</f>
      </c>
      <c r="AK1345" s="111">
        <f>IF(AN1345=12,I1345,0)</f>
      </c>
      <c r="AL1345" s="111">
        <f>IF(AN1345=21,I1345,0)</f>
      </c>
      <c r="AN1345" s="111" t="n">
        <v>21</v>
      </c>
      <c r="AO1345" s="111">
        <f>H1345*0.034375252</f>
      </c>
      <c r="AP1345" s="111">
        <f>H1345*(1-0.034375252)</f>
      </c>
      <c r="AQ1345" s="153" t="s">
        <v>173</v>
      </c>
      <c r="AV1345" s="111">
        <f>AW1345+AX1345</f>
      </c>
      <c r="AW1345" s="111">
        <f>G1345*AO1345</f>
      </c>
      <c r="AX1345" s="111">
        <f>G1345*AP1345</f>
      </c>
      <c r="AY1345" s="153" t="s">
        <v>2143</v>
      </c>
      <c r="AZ1345" s="153" t="s">
        <v>1999</v>
      </c>
      <c r="BA1345" s="132" t="s">
        <v>137</v>
      </c>
      <c r="BC1345" s="111">
        <f>AW1345+AX1345</f>
      </c>
      <c r="BD1345" s="111">
        <f>H1345/(100-BE1345)*100</f>
      </c>
      <c r="BE1345" s="111" t="n">
        <v>0</v>
      </c>
      <c r="BF1345" s="111">
        <f>1345</f>
      </c>
      <c r="BH1345" s="111">
        <f>G1345*AO1345</f>
      </c>
      <c r="BI1345" s="111">
        <f>G1345*AP1345</f>
      </c>
      <c r="BJ1345" s="111">
        <f>G1345*H1345</f>
      </c>
      <c r="BK1345" s="111"/>
      <c r="BL1345" s="111" t="n">
        <v>766</v>
      </c>
      <c r="BW1345" s="111" t="n">
        <v>21</v>
      </c>
      <c r="BX1345" s="14" t="s">
        <v>2199</v>
      </c>
    </row>
    <row r="1346" customHeight="true" ht="13.5">
      <c r="A1346" s="159"/>
      <c r="C1346" s="160" t="s">
        <v>146</v>
      </c>
      <c r="D1346" s="161" t="s">
        <v>2200</v>
      </c>
      <c r="E1346" s="156"/>
      <c r="F1346" s="156"/>
      <c r="G1346" s="156"/>
      <c r="H1346" s="162"/>
      <c r="I1346" s="156"/>
      <c r="J1346" s="156"/>
      <c r="K1346" s="163"/>
    </row>
    <row r="1347">
      <c r="A1347" s="154"/>
      <c r="B1347" s="155"/>
      <c r="C1347" s="155"/>
      <c r="D1347" s="156" t="s">
        <v>130</v>
      </c>
      <c r="E1347" s="156" t="s">
        <v>2204</v>
      </c>
      <c r="F1347" s="155"/>
      <c r="G1347" s="157" t="n">
        <v>1</v>
      </c>
      <c r="H1347" s="158"/>
      <c r="I1347" s="155"/>
      <c r="J1347" s="155"/>
      <c r="K1347" s="146"/>
    </row>
    <row r="1348">
      <c r="A1348" s="9" t="s">
        <v>2205</v>
      </c>
      <c r="B1348" s="10" t="s">
        <v>84</v>
      </c>
      <c r="C1348" s="10" t="s">
        <v>2206</v>
      </c>
      <c r="D1348" s="14" t="s">
        <v>2199</v>
      </c>
      <c r="E1348" s="10"/>
      <c r="F1348" s="10" t="s">
        <v>133</v>
      </c>
      <c r="G1348" s="111" t="n">
        <v>1</v>
      </c>
      <c r="H1348" s="152" t="n">
        <v>0</v>
      </c>
      <c r="I1348" s="111">
        <f>G1348*H1348</f>
      </c>
      <c r="J1348" s="153" t="s">
        <v>134</v>
      </c>
      <c r="K1348" s="146"/>
      <c r="Z1348" s="111">
        <f>IF(AQ1348="5",BJ1348,0)</f>
      </c>
      <c r="AB1348" s="111">
        <f>IF(AQ1348="1",BH1348,0)</f>
      </c>
      <c r="AC1348" s="111">
        <f>IF(AQ1348="1",BI1348,0)</f>
      </c>
      <c r="AD1348" s="111">
        <f>IF(AQ1348="7",BH1348,0)</f>
      </c>
      <c r="AE1348" s="111">
        <f>IF(AQ1348="7",BI1348,0)</f>
      </c>
      <c r="AF1348" s="111">
        <f>IF(AQ1348="2",BH1348,0)</f>
      </c>
      <c r="AG1348" s="111">
        <f>IF(AQ1348="2",BI1348,0)</f>
      </c>
      <c r="AH1348" s="111">
        <f>IF(AQ1348="0",BJ1348,0)</f>
      </c>
      <c r="AI1348" s="132" t="s">
        <v>84</v>
      </c>
      <c r="AJ1348" s="111">
        <f>IF(AN1348=0,I1348,0)</f>
      </c>
      <c r="AK1348" s="111">
        <f>IF(AN1348=12,I1348,0)</f>
      </c>
      <c r="AL1348" s="111">
        <f>IF(AN1348=21,I1348,0)</f>
      </c>
      <c r="AN1348" s="111" t="n">
        <v>21</v>
      </c>
      <c r="AO1348" s="111">
        <f>H1348*0.034375055</f>
      </c>
      <c r="AP1348" s="111">
        <f>H1348*(1-0.034375055)</f>
      </c>
      <c r="AQ1348" s="153" t="s">
        <v>173</v>
      </c>
      <c r="AV1348" s="111">
        <f>AW1348+AX1348</f>
      </c>
      <c r="AW1348" s="111">
        <f>G1348*AO1348</f>
      </c>
      <c r="AX1348" s="111">
        <f>G1348*AP1348</f>
      </c>
      <c r="AY1348" s="153" t="s">
        <v>2143</v>
      </c>
      <c r="AZ1348" s="153" t="s">
        <v>1999</v>
      </c>
      <c r="BA1348" s="132" t="s">
        <v>137</v>
      </c>
      <c r="BC1348" s="111">
        <f>AW1348+AX1348</f>
      </c>
      <c r="BD1348" s="111">
        <f>H1348/(100-BE1348)*100</f>
      </c>
      <c r="BE1348" s="111" t="n">
        <v>0</v>
      </c>
      <c r="BF1348" s="111">
        <f>1348</f>
      </c>
      <c r="BH1348" s="111">
        <f>G1348*AO1348</f>
      </c>
      <c r="BI1348" s="111">
        <f>G1348*AP1348</f>
      </c>
      <c r="BJ1348" s="111">
        <f>G1348*H1348</f>
      </c>
      <c r="BK1348" s="111"/>
      <c r="BL1348" s="111" t="n">
        <v>766</v>
      </c>
      <c r="BW1348" s="111" t="n">
        <v>21</v>
      </c>
      <c r="BX1348" s="14" t="s">
        <v>2199</v>
      </c>
    </row>
    <row r="1349" customHeight="true" ht="13.5">
      <c r="A1349" s="159"/>
      <c r="C1349" s="160" t="s">
        <v>146</v>
      </c>
      <c r="D1349" s="161" t="s">
        <v>2200</v>
      </c>
      <c r="E1349" s="156"/>
      <c r="F1349" s="156"/>
      <c r="G1349" s="156"/>
      <c r="H1349" s="162"/>
      <c r="I1349" s="156"/>
      <c r="J1349" s="156"/>
      <c r="K1349" s="163"/>
    </row>
    <row r="1350">
      <c r="A1350" s="154"/>
      <c r="B1350" s="155"/>
      <c r="C1350" s="155"/>
      <c r="D1350" s="156" t="s">
        <v>130</v>
      </c>
      <c r="E1350" s="156" t="s">
        <v>2207</v>
      </c>
      <c r="F1350" s="155"/>
      <c r="G1350" s="157" t="n">
        <v>1</v>
      </c>
      <c r="H1350" s="158"/>
      <c r="I1350" s="155"/>
      <c r="J1350" s="155"/>
      <c r="K1350" s="146"/>
    </row>
    <row r="1351">
      <c r="A1351" s="9" t="s">
        <v>2208</v>
      </c>
      <c r="B1351" s="10" t="s">
        <v>84</v>
      </c>
      <c r="C1351" s="10" t="s">
        <v>2209</v>
      </c>
      <c r="D1351" s="14" t="s">
        <v>2199</v>
      </c>
      <c r="E1351" s="10"/>
      <c r="F1351" s="10" t="s">
        <v>133</v>
      </c>
      <c r="G1351" s="111" t="n">
        <v>1</v>
      </c>
      <c r="H1351" s="152" t="n">
        <v>0</v>
      </c>
      <c r="I1351" s="111">
        <f>G1351*H1351</f>
      </c>
      <c r="J1351" s="153" t="s">
        <v>134</v>
      </c>
      <c r="K1351" s="146"/>
      <c r="Z1351" s="111">
        <f>IF(AQ1351="5",BJ1351,0)</f>
      </c>
      <c r="AB1351" s="111">
        <f>IF(AQ1351="1",BH1351,0)</f>
      </c>
      <c r="AC1351" s="111">
        <f>IF(AQ1351="1",BI1351,0)</f>
      </c>
      <c r="AD1351" s="111">
        <f>IF(AQ1351="7",BH1351,0)</f>
      </c>
      <c r="AE1351" s="111">
        <f>IF(AQ1351="7",BI1351,0)</f>
      </c>
      <c r="AF1351" s="111">
        <f>IF(AQ1351="2",BH1351,0)</f>
      </c>
      <c r="AG1351" s="111">
        <f>IF(AQ1351="2",BI1351,0)</f>
      </c>
      <c r="AH1351" s="111">
        <f>IF(AQ1351="0",BJ1351,0)</f>
      </c>
      <c r="AI1351" s="132" t="s">
        <v>84</v>
      </c>
      <c r="AJ1351" s="111">
        <f>IF(AN1351=0,I1351,0)</f>
      </c>
      <c r="AK1351" s="111">
        <f>IF(AN1351=12,I1351,0)</f>
      </c>
      <c r="AL1351" s="111">
        <f>IF(AN1351=21,I1351,0)</f>
      </c>
      <c r="AN1351" s="111" t="n">
        <v>21</v>
      </c>
      <c r="AO1351" s="111">
        <f>H1351*0.034375438</f>
      </c>
      <c r="AP1351" s="111">
        <f>H1351*(1-0.034375438)</f>
      </c>
      <c r="AQ1351" s="153" t="s">
        <v>173</v>
      </c>
      <c r="AV1351" s="111">
        <f>AW1351+AX1351</f>
      </c>
      <c r="AW1351" s="111">
        <f>G1351*AO1351</f>
      </c>
      <c r="AX1351" s="111">
        <f>G1351*AP1351</f>
      </c>
      <c r="AY1351" s="153" t="s">
        <v>2143</v>
      </c>
      <c r="AZ1351" s="153" t="s">
        <v>1999</v>
      </c>
      <c r="BA1351" s="132" t="s">
        <v>137</v>
      </c>
      <c r="BC1351" s="111">
        <f>AW1351+AX1351</f>
      </c>
      <c r="BD1351" s="111">
        <f>H1351/(100-BE1351)*100</f>
      </c>
      <c r="BE1351" s="111" t="n">
        <v>0</v>
      </c>
      <c r="BF1351" s="111">
        <f>1351</f>
      </c>
      <c r="BH1351" s="111">
        <f>G1351*AO1351</f>
      </c>
      <c r="BI1351" s="111">
        <f>G1351*AP1351</f>
      </c>
      <c r="BJ1351" s="111">
        <f>G1351*H1351</f>
      </c>
      <c r="BK1351" s="111"/>
      <c r="BL1351" s="111" t="n">
        <v>766</v>
      </c>
      <c r="BW1351" s="111" t="n">
        <v>21</v>
      </c>
      <c r="BX1351" s="14" t="s">
        <v>2199</v>
      </c>
    </row>
    <row r="1352" customHeight="true" ht="13.5">
      <c r="A1352" s="159"/>
      <c r="C1352" s="160" t="s">
        <v>146</v>
      </c>
      <c r="D1352" s="161" t="s">
        <v>2200</v>
      </c>
      <c r="E1352" s="156"/>
      <c r="F1352" s="156"/>
      <c r="G1352" s="156"/>
      <c r="H1352" s="162"/>
      <c r="I1352" s="156"/>
      <c r="J1352" s="156"/>
      <c r="K1352" s="163"/>
    </row>
    <row r="1353">
      <c r="A1353" s="154"/>
      <c r="B1353" s="155"/>
      <c r="C1353" s="155"/>
      <c r="D1353" s="156" t="s">
        <v>130</v>
      </c>
      <c r="E1353" s="156" t="s">
        <v>2210</v>
      </c>
      <c r="F1353" s="155"/>
      <c r="G1353" s="157" t="n">
        <v>1</v>
      </c>
      <c r="H1353" s="158"/>
      <c r="I1353" s="155"/>
      <c r="J1353" s="155"/>
      <c r="K1353" s="146"/>
    </row>
    <row r="1354">
      <c r="A1354" s="9" t="s">
        <v>2211</v>
      </c>
      <c r="B1354" s="10" t="s">
        <v>84</v>
      </c>
      <c r="C1354" s="10" t="s">
        <v>2212</v>
      </c>
      <c r="D1354" s="14" t="s">
        <v>2199</v>
      </c>
      <c r="E1354" s="10"/>
      <c r="F1354" s="10" t="s">
        <v>133</v>
      </c>
      <c r="G1354" s="111" t="n">
        <v>1</v>
      </c>
      <c r="H1354" s="152" t="n">
        <v>0</v>
      </c>
      <c r="I1354" s="111">
        <f>G1354*H1354</f>
      </c>
      <c r="J1354" s="153" t="s">
        <v>134</v>
      </c>
      <c r="K1354" s="146"/>
      <c r="Z1354" s="111">
        <f>IF(AQ1354="5",BJ1354,0)</f>
      </c>
      <c r="AB1354" s="111">
        <f>IF(AQ1354="1",BH1354,0)</f>
      </c>
      <c r="AC1354" s="111">
        <f>IF(AQ1354="1",BI1354,0)</f>
      </c>
      <c r="AD1354" s="111">
        <f>IF(AQ1354="7",BH1354,0)</f>
      </c>
      <c r="AE1354" s="111">
        <f>IF(AQ1354="7",BI1354,0)</f>
      </c>
      <c r="AF1354" s="111">
        <f>IF(AQ1354="2",BH1354,0)</f>
      </c>
      <c r="AG1354" s="111">
        <f>IF(AQ1354="2",BI1354,0)</f>
      </c>
      <c r="AH1354" s="111">
        <f>IF(AQ1354="0",BJ1354,0)</f>
      </c>
      <c r="AI1354" s="132" t="s">
        <v>84</v>
      </c>
      <c r="AJ1354" s="111">
        <f>IF(AN1354=0,I1354,0)</f>
      </c>
      <c r="AK1354" s="111">
        <f>IF(AN1354=12,I1354,0)</f>
      </c>
      <c r="AL1354" s="111">
        <f>IF(AN1354=21,I1354,0)</f>
      </c>
      <c r="AN1354" s="111" t="n">
        <v>21</v>
      </c>
      <c r="AO1354" s="111">
        <f>H1354*0.034375438</f>
      </c>
      <c r="AP1354" s="111">
        <f>H1354*(1-0.034375438)</f>
      </c>
      <c r="AQ1354" s="153" t="s">
        <v>173</v>
      </c>
      <c r="AV1354" s="111">
        <f>AW1354+AX1354</f>
      </c>
      <c r="AW1354" s="111">
        <f>G1354*AO1354</f>
      </c>
      <c r="AX1354" s="111">
        <f>G1354*AP1354</f>
      </c>
      <c r="AY1354" s="153" t="s">
        <v>2143</v>
      </c>
      <c r="AZ1354" s="153" t="s">
        <v>1999</v>
      </c>
      <c r="BA1354" s="132" t="s">
        <v>137</v>
      </c>
      <c r="BC1354" s="111">
        <f>AW1354+AX1354</f>
      </c>
      <c r="BD1354" s="111">
        <f>H1354/(100-BE1354)*100</f>
      </c>
      <c r="BE1354" s="111" t="n">
        <v>0</v>
      </c>
      <c r="BF1354" s="111">
        <f>1354</f>
      </c>
      <c r="BH1354" s="111">
        <f>G1354*AO1354</f>
      </c>
      <c r="BI1354" s="111">
        <f>G1354*AP1354</f>
      </c>
      <c r="BJ1354" s="111">
        <f>G1354*H1354</f>
      </c>
      <c r="BK1354" s="111"/>
      <c r="BL1354" s="111" t="n">
        <v>766</v>
      </c>
      <c r="BW1354" s="111" t="n">
        <v>21</v>
      </c>
      <c r="BX1354" s="14" t="s">
        <v>2199</v>
      </c>
    </row>
    <row r="1355" customHeight="true" ht="13.5">
      <c r="A1355" s="159"/>
      <c r="C1355" s="160" t="s">
        <v>146</v>
      </c>
      <c r="D1355" s="161" t="s">
        <v>2200</v>
      </c>
      <c r="E1355" s="156"/>
      <c r="F1355" s="156"/>
      <c r="G1355" s="156"/>
      <c r="H1355" s="162"/>
      <c r="I1355" s="156"/>
      <c r="J1355" s="156"/>
      <c r="K1355" s="163"/>
    </row>
    <row r="1356">
      <c r="A1356" s="154"/>
      <c r="B1356" s="155"/>
      <c r="C1356" s="155"/>
      <c r="D1356" s="156" t="s">
        <v>130</v>
      </c>
      <c r="E1356" s="156" t="s">
        <v>2213</v>
      </c>
      <c r="F1356" s="155"/>
      <c r="G1356" s="157" t="n">
        <v>1</v>
      </c>
      <c r="H1356" s="158"/>
      <c r="I1356" s="155"/>
      <c r="J1356" s="155"/>
      <c r="K1356" s="146"/>
    </row>
    <row r="1357">
      <c r="A1357" s="9" t="s">
        <v>2214</v>
      </c>
      <c r="B1357" s="10" t="s">
        <v>84</v>
      </c>
      <c r="C1357" s="10" t="s">
        <v>2215</v>
      </c>
      <c r="D1357" s="14" t="s">
        <v>2216</v>
      </c>
      <c r="E1357" s="10"/>
      <c r="F1357" s="10" t="s">
        <v>133</v>
      </c>
      <c r="G1357" s="111" t="n">
        <v>2</v>
      </c>
      <c r="H1357" s="152" t="n">
        <v>0</v>
      </c>
      <c r="I1357" s="111">
        <f>G1357*H1357</f>
      </c>
      <c r="J1357" s="153" t="s">
        <v>134</v>
      </c>
      <c r="K1357" s="146"/>
      <c r="Z1357" s="111">
        <f>IF(AQ1357="5",BJ1357,0)</f>
      </c>
      <c r="AB1357" s="111">
        <f>IF(AQ1357="1",BH1357,0)</f>
      </c>
      <c r="AC1357" s="111">
        <f>IF(AQ1357="1",BI1357,0)</f>
      </c>
      <c r="AD1357" s="111">
        <f>IF(AQ1357="7",BH1357,0)</f>
      </c>
      <c r="AE1357" s="111">
        <f>IF(AQ1357="7",BI1357,0)</f>
      </c>
      <c r="AF1357" s="111">
        <f>IF(AQ1357="2",BH1357,0)</f>
      </c>
      <c r="AG1357" s="111">
        <f>IF(AQ1357="2",BI1357,0)</f>
      </c>
      <c r="AH1357" s="111">
        <f>IF(AQ1357="0",BJ1357,0)</f>
      </c>
      <c r="AI1357" s="132" t="s">
        <v>84</v>
      </c>
      <c r="AJ1357" s="111">
        <f>IF(AN1357=0,I1357,0)</f>
      </c>
      <c r="AK1357" s="111">
        <f>IF(AN1357=12,I1357,0)</f>
      </c>
      <c r="AL1357" s="111">
        <f>IF(AN1357=21,I1357,0)</f>
      </c>
      <c r="AN1357" s="111" t="n">
        <v>21</v>
      </c>
      <c r="AO1357" s="111">
        <f>H1357*0</f>
      </c>
      <c r="AP1357" s="111">
        <f>H1357*(1-0)</f>
      </c>
      <c r="AQ1357" s="153" t="s">
        <v>173</v>
      </c>
      <c r="AV1357" s="111">
        <f>AW1357+AX1357</f>
      </c>
      <c r="AW1357" s="111">
        <f>G1357*AO1357</f>
      </c>
      <c r="AX1357" s="111">
        <f>G1357*AP1357</f>
      </c>
      <c r="AY1357" s="153" t="s">
        <v>2143</v>
      </c>
      <c r="AZ1357" s="153" t="s">
        <v>1999</v>
      </c>
      <c r="BA1357" s="132" t="s">
        <v>137</v>
      </c>
      <c r="BC1357" s="111">
        <f>AW1357+AX1357</f>
      </c>
      <c r="BD1357" s="111">
        <f>H1357/(100-BE1357)*100</f>
      </c>
      <c r="BE1357" s="111" t="n">
        <v>0</v>
      </c>
      <c r="BF1357" s="111">
        <f>1357</f>
      </c>
      <c r="BH1357" s="111">
        <f>G1357*AO1357</f>
      </c>
      <c r="BI1357" s="111">
        <f>G1357*AP1357</f>
      </c>
      <c r="BJ1357" s="111">
        <f>G1357*H1357</f>
      </c>
      <c r="BK1357" s="111"/>
      <c r="BL1357" s="111" t="n">
        <v>766</v>
      </c>
      <c r="BW1357" s="111" t="n">
        <v>21</v>
      </c>
      <c r="BX1357" s="14" t="s">
        <v>2216</v>
      </c>
    </row>
    <row r="1358" customHeight="true" ht="13.5">
      <c r="A1358" s="159"/>
      <c r="C1358" s="160" t="s">
        <v>146</v>
      </c>
      <c r="D1358" s="161" t="s">
        <v>2217</v>
      </c>
      <c r="E1358" s="156"/>
      <c r="F1358" s="156"/>
      <c r="G1358" s="156"/>
      <c r="H1358" s="162"/>
      <c r="I1358" s="156"/>
      <c r="J1358" s="156"/>
      <c r="K1358" s="163"/>
    </row>
    <row r="1359">
      <c r="A1359" s="154"/>
      <c r="B1359" s="155"/>
      <c r="C1359" s="155"/>
      <c r="D1359" s="156" t="s">
        <v>140</v>
      </c>
      <c r="E1359" s="156" t="s">
        <v>2218</v>
      </c>
      <c r="F1359" s="155"/>
      <c r="G1359" s="157" t="n">
        <v>2</v>
      </c>
      <c r="H1359" s="158"/>
      <c r="I1359" s="155"/>
      <c r="J1359" s="155"/>
      <c r="K1359" s="146"/>
    </row>
    <row r="1360">
      <c r="A1360" s="9" t="s">
        <v>2219</v>
      </c>
      <c r="B1360" s="10" t="s">
        <v>84</v>
      </c>
      <c r="C1360" s="10" t="s">
        <v>2220</v>
      </c>
      <c r="D1360" s="14" t="s">
        <v>2221</v>
      </c>
      <c r="E1360" s="10"/>
      <c r="F1360" s="10" t="s">
        <v>145</v>
      </c>
      <c r="G1360" s="111" t="n">
        <v>165.5</v>
      </c>
      <c r="H1360" s="152" t="n">
        <v>0</v>
      </c>
      <c r="I1360" s="111">
        <f>G1360*H1360</f>
      </c>
      <c r="J1360" s="153" t="s">
        <v>134</v>
      </c>
      <c r="K1360" s="146"/>
      <c r="Z1360" s="111">
        <f>IF(AQ1360="5",BJ1360,0)</f>
      </c>
      <c r="AB1360" s="111">
        <f>IF(AQ1360="1",BH1360,0)</f>
      </c>
      <c r="AC1360" s="111">
        <f>IF(AQ1360="1",BI1360,0)</f>
      </c>
      <c r="AD1360" s="111">
        <f>IF(AQ1360="7",BH1360,0)</f>
      </c>
      <c r="AE1360" s="111">
        <f>IF(AQ1360="7",BI1360,0)</f>
      </c>
      <c r="AF1360" s="111">
        <f>IF(AQ1360="2",BH1360,0)</f>
      </c>
      <c r="AG1360" s="111">
        <f>IF(AQ1360="2",BI1360,0)</f>
      </c>
      <c r="AH1360" s="111">
        <f>IF(AQ1360="0",BJ1360,0)</f>
      </c>
      <c r="AI1360" s="132" t="s">
        <v>84</v>
      </c>
      <c r="AJ1360" s="111">
        <f>IF(AN1360=0,I1360,0)</f>
      </c>
      <c r="AK1360" s="111">
        <f>IF(AN1360=12,I1360,0)</f>
      </c>
      <c r="AL1360" s="111">
        <f>IF(AN1360=21,I1360,0)</f>
      </c>
      <c r="AN1360" s="111" t="n">
        <v>21</v>
      </c>
      <c r="AO1360" s="111">
        <f>H1360*0.016230937</f>
      </c>
      <c r="AP1360" s="111">
        <f>H1360*(1-0.016230937)</f>
      </c>
      <c r="AQ1360" s="153" t="s">
        <v>173</v>
      </c>
      <c r="AV1360" s="111">
        <f>AW1360+AX1360</f>
      </c>
      <c r="AW1360" s="111">
        <f>G1360*AO1360</f>
      </c>
      <c r="AX1360" s="111">
        <f>G1360*AP1360</f>
      </c>
      <c r="AY1360" s="153" t="s">
        <v>2143</v>
      </c>
      <c r="AZ1360" s="153" t="s">
        <v>1999</v>
      </c>
      <c r="BA1360" s="132" t="s">
        <v>137</v>
      </c>
      <c r="BC1360" s="111">
        <f>AW1360+AX1360</f>
      </c>
      <c r="BD1360" s="111">
        <f>H1360/(100-BE1360)*100</f>
      </c>
      <c r="BE1360" s="111" t="n">
        <v>0</v>
      </c>
      <c r="BF1360" s="111">
        <f>1360</f>
      </c>
      <c r="BH1360" s="111">
        <f>G1360*AO1360</f>
      </c>
      <c r="BI1360" s="111">
        <f>G1360*AP1360</f>
      </c>
      <c r="BJ1360" s="111">
        <f>G1360*H1360</f>
      </c>
      <c r="BK1360" s="111"/>
      <c r="BL1360" s="111" t="n">
        <v>766</v>
      </c>
      <c r="BW1360" s="111" t="n">
        <v>21</v>
      </c>
      <c r="BX1360" s="14" t="s">
        <v>2221</v>
      </c>
    </row>
    <row r="1361" customHeight="true" ht="13.5">
      <c r="A1361" s="159"/>
      <c r="C1361" s="160" t="s">
        <v>146</v>
      </c>
      <c r="D1361" s="161" t="s">
        <v>2222</v>
      </c>
      <c r="E1361" s="156"/>
      <c r="F1361" s="156"/>
      <c r="G1361" s="156"/>
      <c r="H1361" s="162"/>
      <c r="I1361" s="156"/>
      <c r="J1361" s="156"/>
      <c r="K1361" s="163"/>
    </row>
    <row r="1362">
      <c r="A1362" s="154"/>
      <c r="B1362" s="155"/>
      <c r="C1362" s="155"/>
      <c r="D1362" s="156" t="s">
        <v>2223</v>
      </c>
      <c r="E1362" s="156" t="s">
        <v>2224</v>
      </c>
      <c r="F1362" s="155"/>
      <c r="G1362" s="157" t="n">
        <v>165.5</v>
      </c>
      <c r="H1362" s="158"/>
      <c r="I1362" s="155"/>
      <c r="J1362" s="155"/>
      <c r="K1362" s="146"/>
    </row>
    <row r="1363">
      <c r="A1363" s="9" t="s">
        <v>2225</v>
      </c>
      <c r="B1363" s="10" t="s">
        <v>84</v>
      </c>
      <c r="C1363" s="10" t="s">
        <v>2226</v>
      </c>
      <c r="D1363" s="14" t="s">
        <v>2227</v>
      </c>
      <c r="E1363" s="10"/>
      <c r="F1363" s="10" t="s">
        <v>145</v>
      </c>
      <c r="G1363" s="111" t="n">
        <v>178.74</v>
      </c>
      <c r="H1363" s="152" t="n">
        <v>0</v>
      </c>
      <c r="I1363" s="111">
        <f>G1363*H1363</f>
      </c>
      <c r="J1363" s="153" t="s">
        <v>134</v>
      </c>
      <c r="K1363" s="146"/>
      <c r="Z1363" s="111">
        <f>IF(AQ1363="5",BJ1363,0)</f>
      </c>
      <c r="AB1363" s="111">
        <f>IF(AQ1363="1",BH1363,0)</f>
      </c>
      <c r="AC1363" s="111">
        <f>IF(AQ1363="1",BI1363,0)</f>
      </c>
      <c r="AD1363" s="111">
        <f>IF(AQ1363="7",BH1363,0)</f>
      </c>
      <c r="AE1363" s="111">
        <f>IF(AQ1363="7",BI1363,0)</f>
      </c>
      <c r="AF1363" s="111">
        <f>IF(AQ1363="2",BH1363,0)</f>
      </c>
      <c r="AG1363" s="111">
        <f>IF(AQ1363="2",BI1363,0)</f>
      </c>
      <c r="AH1363" s="111">
        <f>IF(AQ1363="0",BJ1363,0)</f>
      </c>
      <c r="AI1363" s="132" t="s">
        <v>84</v>
      </c>
      <c r="AJ1363" s="111">
        <f>IF(AN1363=0,I1363,0)</f>
      </c>
      <c r="AK1363" s="111">
        <f>IF(AN1363=12,I1363,0)</f>
      </c>
      <c r="AL1363" s="111">
        <f>IF(AN1363=21,I1363,0)</f>
      </c>
      <c r="AN1363" s="111" t="n">
        <v>21</v>
      </c>
      <c r="AO1363" s="111">
        <f>H1363*1</f>
      </c>
      <c r="AP1363" s="111">
        <f>H1363*(1-1)</f>
      </c>
      <c r="AQ1363" s="153" t="s">
        <v>173</v>
      </c>
      <c r="AV1363" s="111">
        <f>AW1363+AX1363</f>
      </c>
      <c r="AW1363" s="111">
        <f>G1363*AO1363</f>
      </c>
      <c r="AX1363" s="111">
        <f>G1363*AP1363</f>
      </c>
      <c r="AY1363" s="153" t="s">
        <v>2143</v>
      </c>
      <c r="AZ1363" s="153" t="s">
        <v>1999</v>
      </c>
      <c r="BA1363" s="132" t="s">
        <v>137</v>
      </c>
      <c r="BC1363" s="111">
        <f>AW1363+AX1363</f>
      </c>
      <c r="BD1363" s="111">
        <f>H1363/(100-BE1363)*100</f>
      </c>
      <c r="BE1363" s="111" t="n">
        <v>0</v>
      </c>
      <c r="BF1363" s="111">
        <f>1363</f>
      </c>
      <c r="BH1363" s="111">
        <f>G1363*AO1363</f>
      </c>
      <c r="BI1363" s="111">
        <f>G1363*AP1363</f>
      </c>
      <c r="BJ1363" s="111">
        <f>G1363*H1363</f>
      </c>
      <c r="BK1363" s="111"/>
      <c r="BL1363" s="111" t="n">
        <v>766</v>
      </c>
      <c r="BW1363" s="111" t="n">
        <v>21</v>
      </c>
      <c r="BX1363" s="14" t="s">
        <v>2227</v>
      </c>
    </row>
    <row r="1364">
      <c r="A1364" s="154"/>
      <c r="B1364" s="155"/>
      <c r="C1364" s="155"/>
      <c r="D1364" s="156" t="s">
        <v>2223</v>
      </c>
      <c r="E1364" s="156" t="s">
        <v>2228</v>
      </c>
      <c r="F1364" s="155"/>
      <c r="G1364" s="157" t="n">
        <v>165.5</v>
      </c>
      <c r="H1364" s="158"/>
      <c r="I1364" s="155"/>
      <c r="J1364" s="155"/>
      <c r="K1364" s="146"/>
    </row>
    <row r="1365">
      <c r="A1365" s="154"/>
      <c r="B1365" s="155"/>
      <c r="C1365" s="155"/>
      <c r="D1365" s="156" t="s">
        <v>2229</v>
      </c>
      <c r="E1365" s="156" t="s">
        <v>1716</v>
      </c>
      <c r="F1365" s="155"/>
      <c r="G1365" s="157" t="n">
        <v>13.24</v>
      </c>
      <c r="H1365" s="158"/>
      <c r="I1365" s="155"/>
      <c r="J1365" s="155"/>
      <c r="K1365" s="146"/>
    </row>
    <row r="1366">
      <c r="A1366" s="9" t="s">
        <v>2230</v>
      </c>
      <c r="B1366" s="10" t="s">
        <v>84</v>
      </c>
      <c r="C1366" s="10" t="s">
        <v>2231</v>
      </c>
      <c r="D1366" s="14" t="s">
        <v>2232</v>
      </c>
      <c r="E1366" s="10"/>
      <c r="F1366" s="10" t="s">
        <v>145</v>
      </c>
      <c r="G1366" s="111" t="n">
        <v>165.5</v>
      </c>
      <c r="H1366" s="152" t="n">
        <v>0</v>
      </c>
      <c r="I1366" s="111">
        <f>G1366*H1366</f>
      </c>
      <c r="J1366" s="153" t="s">
        <v>134</v>
      </c>
      <c r="K1366" s="146"/>
      <c r="Z1366" s="111">
        <f>IF(AQ1366="5",BJ1366,0)</f>
      </c>
      <c r="AB1366" s="111">
        <f>IF(AQ1366="1",BH1366,0)</f>
      </c>
      <c r="AC1366" s="111">
        <f>IF(AQ1366="1",BI1366,0)</f>
      </c>
      <c r="AD1366" s="111">
        <f>IF(AQ1366="7",BH1366,0)</f>
      </c>
      <c r="AE1366" s="111">
        <f>IF(AQ1366="7",BI1366,0)</f>
      </c>
      <c r="AF1366" s="111">
        <f>IF(AQ1366="2",BH1366,0)</f>
      </c>
      <c r="AG1366" s="111">
        <f>IF(AQ1366="2",BI1366,0)</f>
      </c>
      <c r="AH1366" s="111">
        <f>IF(AQ1366="0",BJ1366,0)</f>
      </c>
      <c r="AI1366" s="132" t="s">
        <v>84</v>
      </c>
      <c r="AJ1366" s="111">
        <f>IF(AN1366=0,I1366,0)</f>
      </c>
      <c r="AK1366" s="111">
        <f>IF(AN1366=12,I1366,0)</f>
      </c>
      <c r="AL1366" s="111">
        <f>IF(AN1366=21,I1366,0)</f>
      </c>
      <c r="AN1366" s="111" t="n">
        <v>21</v>
      </c>
      <c r="AO1366" s="111">
        <f>H1366*1</f>
      </c>
      <c r="AP1366" s="111">
        <f>H1366*(1-1)</f>
      </c>
      <c r="AQ1366" s="153" t="s">
        <v>173</v>
      </c>
      <c r="AV1366" s="111">
        <f>AW1366+AX1366</f>
      </c>
      <c r="AW1366" s="111">
        <f>G1366*AO1366</f>
      </c>
      <c r="AX1366" s="111">
        <f>G1366*AP1366</f>
      </c>
      <c r="AY1366" s="153" t="s">
        <v>2143</v>
      </c>
      <c r="AZ1366" s="153" t="s">
        <v>1999</v>
      </c>
      <c r="BA1366" s="132" t="s">
        <v>137</v>
      </c>
      <c r="BC1366" s="111">
        <f>AW1366+AX1366</f>
      </c>
      <c r="BD1366" s="111">
        <f>H1366/(100-BE1366)*100</f>
      </c>
      <c r="BE1366" s="111" t="n">
        <v>0</v>
      </c>
      <c r="BF1366" s="111">
        <f>1366</f>
      </c>
      <c r="BH1366" s="111">
        <f>G1366*AO1366</f>
      </c>
      <c r="BI1366" s="111">
        <f>G1366*AP1366</f>
      </c>
      <c r="BJ1366" s="111">
        <f>G1366*H1366</f>
      </c>
      <c r="BK1366" s="111"/>
      <c r="BL1366" s="111" t="n">
        <v>766</v>
      </c>
      <c r="BW1366" s="111" t="n">
        <v>21</v>
      </c>
      <c r="BX1366" s="14" t="s">
        <v>2232</v>
      </c>
    </row>
    <row r="1367">
      <c r="A1367" s="154"/>
      <c r="B1367" s="155"/>
      <c r="C1367" s="155"/>
      <c r="D1367" s="156" t="s">
        <v>2223</v>
      </c>
      <c r="E1367" s="156" t="s">
        <v>2224</v>
      </c>
      <c r="F1367" s="155"/>
      <c r="G1367" s="157" t="n">
        <v>165.5</v>
      </c>
      <c r="H1367" s="158"/>
      <c r="I1367" s="155"/>
      <c r="J1367" s="155"/>
      <c r="K1367" s="146"/>
    </row>
    <row r="1368">
      <c r="A1368" s="9" t="s">
        <v>2233</v>
      </c>
      <c r="B1368" s="10" t="s">
        <v>84</v>
      </c>
      <c r="C1368" s="10" t="s">
        <v>2234</v>
      </c>
      <c r="D1368" s="14" t="s">
        <v>2235</v>
      </c>
      <c r="E1368" s="10"/>
      <c r="F1368" s="10" t="s">
        <v>282</v>
      </c>
      <c r="G1368" s="111" t="n">
        <v>827.5</v>
      </c>
      <c r="H1368" s="152" t="n">
        <v>0</v>
      </c>
      <c r="I1368" s="111">
        <f>G1368*H1368</f>
      </c>
      <c r="J1368" s="153" t="s">
        <v>134</v>
      </c>
      <c r="K1368" s="146"/>
      <c r="Z1368" s="111">
        <f>IF(AQ1368="5",BJ1368,0)</f>
      </c>
      <c r="AB1368" s="111">
        <f>IF(AQ1368="1",BH1368,0)</f>
      </c>
      <c r="AC1368" s="111">
        <f>IF(AQ1368="1",BI1368,0)</f>
      </c>
      <c r="AD1368" s="111">
        <f>IF(AQ1368="7",BH1368,0)</f>
      </c>
      <c r="AE1368" s="111">
        <f>IF(AQ1368="7",BI1368,0)</f>
      </c>
      <c r="AF1368" s="111">
        <f>IF(AQ1368="2",BH1368,0)</f>
      </c>
      <c r="AG1368" s="111">
        <f>IF(AQ1368="2",BI1368,0)</f>
      </c>
      <c r="AH1368" s="111">
        <f>IF(AQ1368="0",BJ1368,0)</f>
      </c>
      <c r="AI1368" s="132" t="s">
        <v>84</v>
      </c>
      <c r="AJ1368" s="111">
        <f>IF(AN1368=0,I1368,0)</f>
      </c>
      <c r="AK1368" s="111">
        <f>IF(AN1368=12,I1368,0)</f>
      </c>
      <c r="AL1368" s="111">
        <f>IF(AN1368=21,I1368,0)</f>
      </c>
      <c r="AN1368" s="111" t="n">
        <v>21</v>
      </c>
      <c r="AO1368" s="111">
        <f>H1368*0.107826087</f>
      </c>
      <c r="AP1368" s="111">
        <f>H1368*(1-0.107826087)</f>
      </c>
      <c r="AQ1368" s="153" t="s">
        <v>173</v>
      </c>
      <c r="AV1368" s="111">
        <f>AW1368+AX1368</f>
      </c>
      <c r="AW1368" s="111">
        <f>G1368*AO1368</f>
      </c>
      <c r="AX1368" s="111">
        <f>G1368*AP1368</f>
      </c>
      <c r="AY1368" s="153" t="s">
        <v>2143</v>
      </c>
      <c r="AZ1368" s="153" t="s">
        <v>1999</v>
      </c>
      <c r="BA1368" s="132" t="s">
        <v>137</v>
      </c>
      <c r="BC1368" s="111">
        <f>AW1368+AX1368</f>
      </c>
      <c r="BD1368" s="111">
        <f>H1368/(100-BE1368)*100</f>
      </c>
      <c r="BE1368" s="111" t="n">
        <v>0</v>
      </c>
      <c r="BF1368" s="111">
        <f>1368</f>
      </c>
      <c r="BH1368" s="111">
        <f>G1368*AO1368</f>
      </c>
      <c r="BI1368" s="111">
        <f>G1368*AP1368</f>
      </c>
      <c r="BJ1368" s="111">
        <f>G1368*H1368</f>
      </c>
      <c r="BK1368" s="111"/>
      <c r="BL1368" s="111" t="n">
        <v>766</v>
      </c>
      <c r="BW1368" s="111" t="n">
        <v>21</v>
      </c>
      <c r="BX1368" s="14" t="s">
        <v>2235</v>
      </c>
    </row>
    <row r="1369" customHeight="true" ht="13.5">
      <c r="A1369" s="159"/>
      <c r="C1369" s="160" t="s">
        <v>146</v>
      </c>
      <c r="D1369" s="161" t="s">
        <v>2236</v>
      </c>
      <c r="E1369" s="156"/>
      <c r="F1369" s="156"/>
      <c r="G1369" s="156"/>
      <c r="H1369" s="162"/>
      <c r="I1369" s="156"/>
      <c r="J1369" s="156"/>
      <c r="K1369" s="163"/>
    </row>
    <row r="1370">
      <c r="A1370" s="154"/>
      <c r="B1370" s="155"/>
      <c r="C1370" s="155"/>
      <c r="D1370" s="156" t="s">
        <v>2237</v>
      </c>
      <c r="E1370" s="156" t="s">
        <v>2238</v>
      </c>
      <c r="F1370" s="155"/>
      <c r="G1370" s="157" t="n">
        <v>827.5</v>
      </c>
      <c r="H1370" s="158"/>
      <c r="I1370" s="155"/>
      <c r="J1370" s="155"/>
      <c r="K1370" s="146"/>
    </row>
    <row r="1371">
      <c r="A1371" s="154"/>
      <c r="B1371" s="155"/>
      <c r="C1371" s="155"/>
      <c r="D1371" s="156" t="s">
        <v>4</v>
      </c>
      <c r="E1371" s="156" t="s">
        <v>2239</v>
      </c>
      <c r="F1371" s="155"/>
      <c r="G1371" s="157" t="n">
        <v>0</v>
      </c>
      <c r="H1371" s="158"/>
      <c r="I1371" s="155"/>
      <c r="J1371" s="155"/>
      <c r="K1371" s="146"/>
    </row>
    <row r="1372">
      <c r="A1372" s="9" t="s">
        <v>2240</v>
      </c>
      <c r="B1372" s="10" t="s">
        <v>84</v>
      </c>
      <c r="C1372" s="10" t="s">
        <v>2241</v>
      </c>
      <c r="D1372" s="14" t="s">
        <v>2242</v>
      </c>
      <c r="E1372" s="10"/>
      <c r="F1372" s="10" t="s">
        <v>282</v>
      </c>
      <c r="G1372" s="111" t="n">
        <v>993</v>
      </c>
      <c r="H1372" s="152" t="n">
        <v>0</v>
      </c>
      <c r="I1372" s="111">
        <f>G1372*H1372</f>
      </c>
      <c r="J1372" s="153" t="s">
        <v>134</v>
      </c>
      <c r="K1372" s="146"/>
      <c r="Z1372" s="111">
        <f>IF(AQ1372="5",BJ1372,0)</f>
      </c>
      <c r="AB1372" s="111">
        <f>IF(AQ1372="1",BH1372,0)</f>
      </c>
      <c r="AC1372" s="111">
        <f>IF(AQ1372="1",BI1372,0)</f>
      </c>
      <c r="AD1372" s="111">
        <f>IF(AQ1372="7",BH1372,0)</f>
      </c>
      <c r="AE1372" s="111">
        <f>IF(AQ1372="7",BI1372,0)</f>
      </c>
      <c r="AF1372" s="111">
        <f>IF(AQ1372="2",BH1372,0)</f>
      </c>
      <c r="AG1372" s="111">
        <f>IF(AQ1372="2",BI1372,0)</f>
      </c>
      <c r="AH1372" s="111">
        <f>IF(AQ1372="0",BJ1372,0)</f>
      </c>
      <c r="AI1372" s="132" t="s">
        <v>84</v>
      </c>
      <c r="AJ1372" s="111">
        <f>IF(AN1372=0,I1372,0)</f>
      </c>
      <c r="AK1372" s="111">
        <f>IF(AN1372=12,I1372,0)</f>
      </c>
      <c r="AL1372" s="111">
        <f>IF(AN1372=21,I1372,0)</f>
      </c>
      <c r="AN1372" s="111" t="n">
        <v>21</v>
      </c>
      <c r="AO1372" s="111">
        <f>H1372*0.107826072</f>
      </c>
      <c r="AP1372" s="111">
        <f>H1372*(1-0.107826072)</f>
      </c>
      <c r="AQ1372" s="153" t="s">
        <v>173</v>
      </c>
      <c r="AV1372" s="111">
        <f>AW1372+AX1372</f>
      </c>
      <c r="AW1372" s="111">
        <f>G1372*AO1372</f>
      </c>
      <c r="AX1372" s="111">
        <f>G1372*AP1372</f>
      </c>
      <c r="AY1372" s="153" t="s">
        <v>2143</v>
      </c>
      <c r="AZ1372" s="153" t="s">
        <v>1999</v>
      </c>
      <c r="BA1372" s="132" t="s">
        <v>137</v>
      </c>
      <c r="BC1372" s="111">
        <f>AW1372+AX1372</f>
      </c>
      <c r="BD1372" s="111">
        <f>H1372/(100-BE1372)*100</f>
      </c>
      <c r="BE1372" s="111" t="n">
        <v>0</v>
      </c>
      <c r="BF1372" s="111">
        <f>1372</f>
      </c>
      <c r="BH1372" s="111">
        <f>G1372*AO1372</f>
      </c>
      <c r="BI1372" s="111">
        <f>G1372*AP1372</f>
      </c>
      <c r="BJ1372" s="111">
        <f>G1372*H1372</f>
      </c>
      <c r="BK1372" s="111"/>
      <c r="BL1372" s="111" t="n">
        <v>766</v>
      </c>
      <c r="BW1372" s="111" t="n">
        <v>21</v>
      </c>
      <c r="BX1372" s="14" t="s">
        <v>2242</v>
      </c>
    </row>
    <row r="1373" customHeight="true" ht="13.5">
      <c r="A1373" s="159"/>
      <c r="C1373" s="160" t="s">
        <v>146</v>
      </c>
      <c r="D1373" s="161" t="s">
        <v>2243</v>
      </c>
      <c r="E1373" s="156"/>
      <c r="F1373" s="156"/>
      <c r="G1373" s="156"/>
      <c r="H1373" s="162"/>
      <c r="I1373" s="156"/>
      <c r="J1373" s="156"/>
      <c r="K1373" s="163"/>
    </row>
    <row r="1374">
      <c r="A1374" s="154"/>
      <c r="B1374" s="155"/>
      <c r="C1374" s="155"/>
      <c r="D1374" s="156" t="s">
        <v>2244</v>
      </c>
      <c r="E1374" s="156" t="s">
        <v>2245</v>
      </c>
      <c r="F1374" s="155"/>
      <c r="G1374" s="157" t="n">
        <v>993</v>
      </c>
      <c r="H1374" s="158"/>
      <c r="I1374" s="155"/>
      <c r="J1374" s="155"/>
      <c r="K1374" s="146"/>
    </row>
    <row r="1375">
      <c r="A1375" s="9" t="s">
        <v>2246</v>
      </c>
      <c r="B1375" s="10" t="s">
        <v>84</v>
      </c>
      <c r="C1375" s="10" t="s">
        <v>2247</v>
      </c>
      <c r="D1375" s="14" t="s">
        <v>2248</v>
      </c>
      <c r="E1375" s="10"/>
      <c r="F1375" s="10" t="s">
        <v>282</v>
      </c>
      <c r="G1375" s="111" t="n">
        <v>3.3</v>
      </c>
      <c r="H1375" s="152" t="n">
        <v>0</v>
      </c>
      <c r="I1375" s="111">
        <f>G1375*H1375</f>
      </c>
      <c r="J1375" s="153" t="s">
        <v>134</v>
      </c>
      <c r="K1375" s="146"/>
      <c r="Z1375" s="111">
        <f>IF(AQ1375="5",BJ1375,0)</f>
      </c>
      <c r="AB1375" s="111">
        <f>IF(AQ1375="1",BH1375,0)</f>
      </c>
      <c r="AC1375" s="111">
        <f>IF(AQ1375="1",BI1375,0)</f>
      </c>
      <c r="AD1375" s="111">
        <f>IF(AQ1375="7",BH1375,0)</f>
      </c>
      <c r="AE1375" s="111">
        <f>IF(AQ1375="7",BI1375,0)</f>
      </c>
      <c r="AF1375" s="111">
        <f>IF(AQ1375="2",BH1375,0)</f>
      </c>
      <c r="AG1375" s="111">
        <f>IF(AQ1375="2",BI1375,0)</f>
      </c>
      <c r="AH1375" s="111">
        <f>IF(AQ1375="0",BJ1375,0)</f>
      </c>
      <c r="AI1375" s="132" t="s">
        <v>84</v>
      </c>
      <c r="AJ1375" s="111">
        <f>IF(AN1375=0,I1375,0)</f>
      </c>
      <c r="AK1375" s="111">
        <f>IF(AN1375=12,I1375,0)</f>
      </c>
      <c r="AL1375" s="111">
        <f>IF(AN1375=21,I1375,0)</f>
      </c>
      <c r="AN1375" s="111" t="n">
        <v>21</v>
      </c>
      <c r="AO1375" s="111">
        <f>H1375*0</f>
      </c>
      <c r="AP1375" s="111">
        <f>H1375*(1-0)</f>
      </c>
      <c r="AQ1375" s="153" t="s">
        <v>173</v>
      </c>
      <c r="AV1375" s="111">
        <f>AW1375+AX1375</f>
      </c>
      <c r="AW1375" s="111">
        <f>G1375*AO1375</f>
      </c>
      <c r="AX1375" s="111">
        <f>G1375*AP1375</f>
      </c>
      <c r="AY1375" s="153" t="s">
        <v>2143</v>
      </c>
      <c r="AZ1375" s="153" t="s">
        <v>1999</v>
      </c>
      <c r="BA1375" s="132" t="s">
        <v>137</v>
      </c>
      <c r="BC1375" s="111">
        <f>AW1375+AX1375</f>
      </c>
      <c r="BD1375" s="111">
        <f>H1375/(100-BE1375)*100</f>
      </c>
      <c r="BE1375" s="111" t="n">
        <v>0</v>
      </c>
      <c r="BF1375" s="111">
        <f>1375</f>
      </c>
      <c r="BH1375" s="111">
        <f>G1375*AO1375</f>
      </c>
      <c r="BI1375" s="111">
        <f>G1375*AP1375</f>
      </c>
      <c r="BJ1375" s="111">
        <f>G1375*H1375</f>
      </c>
      <c r="BK1375" s="111"/>
      <c r="BL1375" s="111" t="n">
        <v>766</v>
      </c>
      <c r="BW1375" s="111" t="n">
        <v>21</v>
      </c>
      <c r="BX1375" s="14" t="s">
        <v>2248</v>
      </c>
    </row>
    <row r="1376" customHeight="true" ht="13.5">
      <c r="A1376" s="159"/>
      <c r="C1376" s="160" t="s">
        <v>146</v>
      </c>
      <c r="D1376" s="161" t="s">
        <v>2249</v>
      </c>
      <c r="E1376" s="156"/>
      <c r="F1376" s="156"/>
      <c r="G1376" s="156"/>
      <c r="H1376" s="162"/>
      <c r="I1376" s="156"/>
      <c r="J1376" s="156"/>
      <c r="K1376" s="163"/>
    </row>
    <row r="1377">
      <c r="A1377" s="154"/>
      <c r="B1377" s="155"/>
      <c r="C1377" s="155"/>
      <c r="D1377" s="156" t="s">
        <v>2250</v>
      </c>
      <c r="E1377" s="156" t="s">
        <v>2251</v>
      </c>
      <c r="F1377" s="155"/>
      <c r="G1377" s="157" t="n">
        <v>3.3</v>
      </c>
      <c r="H1377" s="158"/>
      <c r="I1377" s="155"/>
      <c r="J1377" s="155"/>
      <c r="K1377" s="146"/>
    </row>
    <row r="1378">
      <c r="A1378" s="9" t="s">
        <v>2252</v>
      </c>
      <c r="B1378" s="10" t="s">
        <v>84</v>
      </c>
      <c r="C1378" s="10" t="s">
        <v>2253</v>
      </c>
      <c r="D1378" s="14" t="s">
        <v>2254</v>
      </c>
      <c r="E1378" s="10"/>
      <c r="F1378" s="10" t="s">
        <v>282</v>
      </c>
      <c r="G1378" s="111" t="n">
        <v>3.3</v>
      </c>
      <c r="H1378" s="152" t="n">
        <v>0</v>
      </c>
      <c r="I1378" s="111">
        <f>G1378*H1378</f>
      </c>
      <c r="J1378" s="153" t="s">
        <v>134</v>
      </c>
      <c r="K1378" s="146"/>
      <c r="Z1378" s="111">
        <f>IF(AQ1378="5",BJ1378,0)</f>
      </c>
      <c r="AB1378" s="111">
        <f>IF(AQ1378="1",BH1378,0)</f>
      </c>
      <c r="AC1378" s="111">
        <f>IF(AQ1378="1",BI1378,0)</f>
      </c>
      <c r="AD1378" s="111">
        <f>IF(AQ1378="7",BH1378,0)</f>
      </c>
      <c r="AE1378" s="111">
        <f>IF(AQ1378="7",BI1378,0)</f>
      </c>
      <c r="AF1378" s="111">
        <f>IF(AQ1378="2",BH1378,0)</f>
      </c>
      <c r="AG1378" s="111">
        <f>IF(AQ1378="2",BI1378,0)</f>
      </c>
      <c r="AH1378" s="111">
        <f>IF(AQ1378="0",BJ1378,0)</f>
      </c>
      <c r="AI1378" s="132" t="s">
        <v>84</v>
      </c>
      <c r="AJ1378" s="111">
        <f>IF(AN1378=0,I1378,0)</f>
      </c>
      <c r="AK1378" s="111">
        <f>IF(AN1378=12,I1378,0)</f>
      </c>
      <c r="AL1378" s="111">
        <f>IF(AN1378=21,I1378,0)</f>
      </c>
      <c r="AN1378" s="111" t="n">
        <v>21</v>
      </c>
      <c r="AO1378" s="111">
        <f>H1378*1</f>
      </c>
      <c r="AP1378" s="111">
        <f>H1378*(1-1)</f>
      </c>
      <c r="AQ1378" s="153" t="s">
        <v>173</v>
      </c>
      <c r="AV1378" s="111">
        <f>AW1378+AX1378</f>
      </c>
      <c r="AW1378" s="111">
        <f>G1378*AO1378</f>
      </c>
      <c r="AX1378" s="111">
        <f>G1378*AP1378</f>
      </c>
      <c r="AY1378" s="153" t="s">
        <v>2143</v>
      </c>
      <c r="AZ1378" s="153" t="s">
        <v>1999</v>
      </c>
      <c r="BA1378" s="132" t="s">
        <v>137</v>
      </c>
      <c r="BC1378" s="111">
        <f>AW1378+AX1378</f>
      </c>
      <c r="BD1378" s="111">
        <f>H1378/(100-BE1378)*100</f>
      </c>
      <c r="BE1378" s="111" t="n">
        <v>0</v>
      </c>
      <c r="BF1378" s="111">
        <f>1378</f>
      </c>
      <c r="BH1378" s="111">
        <f>G1378*AO1378</f>
      </c>
      <c r="BI1378" s="111">
        <f>G1378*AP1378</f>
      </c>
      <c r="BJ1378" s="111">
        <f>G1378*H1378</f>
      </c>
      <c r="BK1378" s="111"/>
      <c r="BL1378" s="111" t="n">
        <v>766</v>
      </c>
      <c r="BW1378" s="111" t="n">
        <v>21</v>
      </c>
      <c r="BX1378" s="14" t="s">
        <v>2254</v>
      </c>
    </row>
    <row r="1379">
      <c r="A1379" s="154"/>
      <c r="B1379" s="155"/>
      <c r="C1379" s="155"/>
      <c r="D1379" s="156" t="s">
        <v>2250</v>
      </c>
      <c r="E1379" s="156" t="s">
        <v>2255</v>
      </c>
      <c r="F1379" s="155"/>
      <c r="G1379" s="157" t="n">
        <v>3.3</v>
      </c>
      <c r="H1379" s="158"/>
      <c r="I1379" s="155"/>
      <c r="J1379" s="155"/>
      <c r="K1379" s="146"/>
    </row>
    <row r="1380">
      <c r="A1380" s="9" t="s">
        <v>2256</v>
      </c>
      <c r="B1380" s="10" t="s">
        <v>84</v>
      </c>
      <c r="C1380" s="10" t="s">
        <v>2257</v>
      </c>
      <c r="D1380" s="14" t="s">
        <v>2258</v>
      </c>
      <c r="E1380" s="10"/>
      <c r="F1380" s="10" t="s">
        <v>133</v>
      </c>
      <c r="G1380" s="111" t="n">
        <v>1</v>
      </c>
      <c r="H1380" s="152" t="n">
        <v>0</v>
      </c>
      <c r="I1380" s="111">
        <f>G1380*H1380</f>
      </c>
      <c r="J1380" s="153" t="s">
        <v>134</v>
      </c>
      <c r="K1380" s="146"/>
      <c r="Z1380" s="111">
        <f>IF(AQ1380="5",BJ1380,0)</f>
      </c>
      <c r="AB1380" s="111">
        <f>IF(AQ1380="1",BH1380,0)</f>
      </c>
      <c r="AC1380" s="111">
        <f>IF(AQ1380="1",BI1380,0)</f>
      </c>
      <c r="AD1380" s="111">
        <f>IF(AQ1380="7",BH1380,0)</f>
      </c>
      <c r="AE1380" s="111">
        <f>IF(AQ1380="7",BI1380,0)</f>
      </c>
      <c r="AF1380" s="111">
        <f>IF(AQ1380="2",BH1380,0)</f>
      </c>
      <c r="AG1380" s="111">
        <f>IF(AQ1380="2",BI1380,0)</f>
      </c>
      <c r="AH1380" s="111">
        <f>IF(AQ1380="0",BJ1380,0)</f>
      </c>
      <c r="AI1380" s="132" t="s">
        <v>84</v>
      </c>
      <c r="AJ1380" s="111">
        <f>IF(AN1380=0,I1380,0)</f>
      </c>
      <c r="AK1380" s="111">
        <f>IF(AN1380=12,I1380,0)</f>
      </c>
      <c r="AL1380" s="111">
        <f>IF(AN1380=21,I1380,0)</f>
      </c>
      <c r="AN1380" s="111" t="n">
        <v>21</v>
      </c>
      <c r="AO1380" s="111">
        <f>H1380*0.143907285</f>
      </c>
      <c r="AP1380" s="111">
        <f>H1380*(1-0.143907285)</f>
      </c>
      <c r="AQ1380" s="153" t="s">
        <v>173</v>
      </c>
      <c r="AV1380" s="111">
        <f>AW1380+AX1380</f>
      </c>
      <c r="AW1380" s="111">
        <f>G1380*AO1380</f>
      </c>
      <c r="AX1380" s="111">
        <f>G1380*AP1380</f>
      </c>
      <c r="AY1380" s="153" t="s">
        <v>2143</v>
      </c>
      <c r="AZ1380" s="153" t="s">
        <v>1999</v>
      </c>
      <c r="BA1380" s="132" t="s">
        <v>137</v>
      </c>
      <c r="BC1380" s="111">
        <f>AW1380+AX1380</f>
      </c>
      <c r="BD1380" s="111">
        <f>H1380/(100-BE1380)*100</f>
      </c>
      <c r="BE1380" s="111" t="n">
        <v>0</v>
      </c>
      <c r="BF1380" s="111">
        <f>1380</f>
      </c>
      <c r="BH1380" s="111">
        <f>G1380*AO1380</f>
      </c>
      <c r="BI1380" s="111">
        <f>G1380*AP1380</f>
      </c>
      <c r="BJ1380" s="111">
        <f>G1380*H1380</f>
      </c>
      <c r="BK1380" s="111"/>
      <c r="BL1380" s="111" t="n">
        <v>766</v>
      </c>
      <c r="BW1380" s="111" t="n">
        <v>21</v>
      </c>
      <c r="BX1380" s="14" t="s">
        <v>2258</v>
      </c>
    </row>
    <row r="1381" customHeight="true" ht="13.5">
      <c r="A1381" s="159"/>
      <c r="C1381" s="160" t="s">
        <v>146</v>
      </c>
      <c r="D1381" s="161" t="s">
        <v>2259</v>
      </c>
      <c r="E1381" s="156"/>
      <c r="F1381" s="156"/>
      <c r="G1381" s="156"/>
      <c r="H1381" s="162"/>
      <c r="I1381" s="156"/>
      <c r="J1381" s="156"/>
      <c r="K1381" s="163"/>
    </row>
    <row r="1382">
      <c r="A1382" s="154"/>
      <c r="B1382" s="155"/>
      <c r="C1382" s="155"/>
      <c r="D1382" s="156" t="s">
        <v>130</v>
      </c>
      <c r="E1382" s="156" t="s">
        <v>2260</v>
      </c>
      <c r="F1382" s="155"/>
      <c r="G1382" s="157" t="n">
        <v>1</v>
      </c>
      <c r="H1382" s="158"/>
      <c r="I1382" s="155"/>
      <c r="J1382" s="155"/>
      <c r="K1382" s="146"/>
    </row>
    <row r="1383">
      <c r="A1383" s="9" t="s">
        <v>2261</v>
      </c>
      <c r="B1383" s="10" t="s">
        <v>84</v>
      </c>
      <c r="C1383" s="10" t="s">
        <v>2262</v>
      </c>
      <c r="D1383" s="14" t="s">
        <v>2263</v>
      </c>
      <c r="E1383" s="10"/>
      <c r="F1383" s="10" t="s">
        <v>133</v>
      </c>
      <c r="G1383" s="111" t="n">
        <v>1</v>
      </c>
      <c r="H1383" s="152" t="n">
        <v>0</v>
      </c>
      <c r="I1383" s="111">
        <f>G1383*H1383</f>
      </c>
      <c r="J1383" s="153" t="s">
        <v>134</v>
      </c>
      <c r="K1383" s="146"/>
      <c r="Z1383" s="111">
        <f>IF(AQ1383="5",BJ1383,0)</f>
      </c>
      <c r="AB1383" s="111">
        <f>IF(AQ1383="1",BH1383,0)</f>
      </c>
      <c r="AC1383" s="111">
        <f>IF(AQ1383="1",BI1383,0)</f>
      </c>
      <c r="AD1383" s="111">
        <f>IF(AQ1383="7",BH1383,0)</f>
      </c>
      <c r="AE1383" s="111">
        <f>IF(AQ1383="7",BI1383,0)</f>
      </c>
      <c r="AF1383" s="111">
        <f>IF(AQ1383="2",BH1383,0)</f>
      </c>
      <c r="AG1383" s="111">
        <f>IF(AQ1383="2",BI1383,0)</f>
      </c>
      <c r="AH1383" s="111">
        <f>IF(AQ1383="0",BJ1383,0)</f>
      </c>
      <c r="AI1383" s="132" t="s">
        <v>84</v>
      </c>
      <c r="AJ1383" s="111">
        <f>IF(AN1383=0,I1383,0)</f>
      </c>
      <c r="AK1383" s="111">
        <f>IF(AN1383=12,I1383,0)</f>
      </c>
      <c r="AL1383" s="111">
        <f>IF(AN1383=21,I1383,0)</f>
      </c>
      <c r="AN1383" s="111" t="n">
        <v>21</v>
      </c>
      <c r="AO1383" s="111">
        <f>H1383*0.817420409</f>
      </c>
      <c r="AP1383" s="111">
        <f>H1383*(1-0.817420409)</f>
      </c>
      <c r="AQ1383" s="153" t="s">
        <v>173</v>
      </c>
      <c r="AV1383" s="111">
        <f>AW1383+AX1383</f>
      </c>
      <c r="AW1383" s="111">
        <f>G1383*AO1383</f>
      </c>
      <c r="AX1383" s="111">
        <f>G1383*AP1383</f>
      </c>
      <c r="AY1383" s="153" t="s">
        <v>2143</v>
      </c>
      <c r="AZ1383" s="153" t="s">
        <v>1999</v>
      </c>
      <c r="BA1383" s="132" t="s">
        <v>137</v>
      </c>
      <c r="BC1383" s="111">
        <f>AW1383+AX1383</f>
      </c>
      <c r="BD1383" s="111">
        <f>H1383/(100-BE1383)*100</f>
      </c>
      <c r="BE1383" s="111" t="n">
        <v>0</v>
      </c>
      <c r="BF1383" s="111">
        <f>1383</f>
      </c>
      <c r="BH1383" s="111">
        <f>G1383*AO1383</f>
      </c>
      <c r="BI1383" s="111">
        <f>G1383*AP1383</f>
      </c>
      <c r="BJ1383" s="111">
        <f>G1383*H1383</f>
      </c>
      <c r="BK1383" s="111"/>
      <c r="BL1383" s="111" t="n">
        <v>766</v>
      </c>
      <c r="BW1383" s="111" t="n">
        <v>21</v>
      </c>
      <c r="BX1383" s="14" t="s">
        <v>2263</v>
      </c>
    </row>
    <row r="1384" customHeight="true" ht="13.5">
      <c r="A1384" s="159"/>
      <c r="C1384" s="160" t="s">
        <v>146</v>
      </c>
      <c r="D1384" s="161" t="s">
        <v>2264</v>
      </c>
      <c r="E1384" s="156"/>
      <c r="F1384" s="156"/>
      <c r="G1384" s="156"/>
      <c r="H1384" s="162"/>
      <c r="I1384" s="156"/>
      <c r="J1384" s="156"/>
      <c r="K1384" s="163"/>
    </row>
    <row r="1385">
      <c r="A1385" s="154"/>
      <c r="B1385" s="155"/>
      <c r="C1385" s="155"/>
      <c r="D1385" s="156" t="s">
        <v>130</v>
      </c>
      <c r="E1385" s="156" t="s">
        <v>2265</v>
      </c>
      <c r="F1385" s="155"/>
      <c r="G1385" s="157" t="n">
        <v>1</v>
      </c>
      <c r="H1385" s="158"/>
      <c r="I1385" s="155"/>
      <c r="J1385" s="155"/>
      <c r="K1385" s="146"/>
    </row>
    <row r="1386">
      <c r="A1386" s="9" t="s">
        <v>2266</v>
      </c>
      <c r="B1386" s="10" t="s">
        <v>84</v>
      </c>
      <c r="C1386" s="10" t="s">
        <v>2267</v>
      </c>
      <c r="D1386" s="14" t="s">
        <v>2268</v>
      </c>
      <c r="E1386" s="10"/>
      <c r="F1386" s="10" t="s">
        <v>61</v>
      </c>
      <c r="G1386" s="111" t="n">
        <v>1.75</v>
      </c>
      <c r="H1386" s="152" t="n">
        <v>0</v>
      </c>
      <c r="I1386" s="111">
        <f>G1386*H1386</f>
      </c>
      <c r="J1386" s="153" t="s">
        <v>134</v>
      </c>
      <c r="K1386" s="146"/>
      <c r="Z1386" s="111">
        <f>IF(AQ1386="5",BJ1386,0)</f>
      </c>
      <c r="AB1386" s="111">
        <f>IF(AQ1386="1",BH1386,0)</f>
      </c>
      <c r="AC1386" s="111">
        <f>IF(AQ1386="1",BI1386,0)</f>
      </c>
      <c r="AD1386" s="111">
        <f>IF(AQ1386="7",BH1386,0)</f>
      </c>
      <c r="AE1386" s="111">
        <f>IF(AQ1386="7",BI1386,0)</f>
      </c>
      <c r="AF1386" s="111">
        <f>IF(AQ1386="2",BH1386,0)</f>
      </c>
      <c r="AG1386" s="111">
        <f>IF(AQ1386="2",BI1386,0)</f>
      </c>
      <c r="AH1386" s="111">
        <f>IF(AQ1386="0",BJ1386,0)</f>
      </c>
      <c r="AI1386" s="132" t="s">
        <v>84</v>
      </c>
      <c r="AJ1386" s="111">
        <f>IF(AN1386=0,I1386,0)</f>
      </c>
      <c r="AK1386" s="111">
        <f>IF(AN1386=12,I1386,0)</f>
      </c>
      <c r="AL1386" s="111">
        <f>IF(AN1386=21,I1386,0)</f>
      </c>
      <c r="AN1386" s="111" t="n">
        <v>21</v>
      </c>
      <c r="AO1386" s="111">
        <f>H1386*0</f>
      </c>
      <c r="AP1386" s="111">
        <f>H1386*(1-0)</f>
      </c>
      <c r="AQ1386" s="153" t="s">
        <v>156</v>
      </c>
      <c r="AV1386" s="111">
        <f>AW1386+AX1386</f>
      </c>
      <c r="AW1386" s="111">
        <f>G1386*AO1386</f>
      </c>
      <c r="AX1386" s="111">
        <f>G1386*AP1386</f>
      </c>
      <c r="AY1386" s="153" t="s">
        <v>2143</v>
      </c>
      <c r="AZ1386" s="153" t="s">
        <v>1999</v>
      </c>
      <c r="BA1386" s="132" t="s">
        <v>137</v>
      </c>
      <c r="BC1386" s="111">
        <f>AW1386+AX1386</f>
      </c>
      <c r="BD1386" s="111">
        <f>H1386/(100-BE1386)*100</f>
      </c>
      <c r="BE1386" s="111" t="n">
        <v>0</v>
      </c>
      <c r="BF1386" s="111">
        <f>1386</f>
      </c>
      <c r="BH1386" s="111">
        <f>G1386*AO1386</f>
      </c>
      <c r="BI1386" s="111">
        <f>G1386*AP1386</f>
      </c>
      <c r="BJ1386" s="111">
        <f>G1386*H1386</f>
      </c>
      <c r="BK1386" s="111"/>
      <c r="BL1386" s="111" t="n">
        <v>766</v>
      </c>
      <c r="BW1386" s="111" t="n">
        <v>21</v>
      </c>
      <c r="BX1386" s="14" t="s">
        <v>2268</v>
      </c>
    </row>
    <row r="1387">
      <c r="A1387" s="9" t="s">
        <v>2269</v>
      </c>
      <c r="B1387" s="10" t="s">
        <v>84</v>
      </c>
      <c r="C1387" s="10" t="s">
        <v>2270</v>
      </c>
      <c r="D1387" s="14" t="s">
        <v>2271</v>
      </c>
      <c r="E1387" s="10"/>
      <c r="F1387" s="10" t="s">
        <v>61</v>
      </c>
      <c r="G1387" s="111" t="n">
        <v>1.45</v>
      </c>
      <c r="H1387" s="152" t="n">
        <v>0</v>
      </c>
      <c r="I1387" s="111">
        <f>G1387*H1387</f>
      </c>
      <c r="J1387" s="153" t="s">
        <v>134</v>
      </c>
      <c r="K1387" s="146"/>
      <c r="Z1387" s="111">
        <f>IF(AQ1387="5",BJ1387,0)</f>
      </c>
      <c r="AB1387" s="111">
        <f>IF(AQ1387="1",BH1387,0)</f>
      </c>
      <c r="AC1387" s="111">
        <f>IF(AQ1387="1",BI1387,0)</f>
      </c>
      <c r="AD1387" s="111">
        <f>IF(AQ1387="7",BH1387,0)</f>
      </c>
      <c r="AE1387" s="111">
        <f>IF(AQ1387="7",BI1387,0)</f>
      </c>
      <c r="AF1387" s="111">
        <f>IF(AQ1387="2",BH1387,0)</f>
      </c>
      <c r="AG1387" s="111">
        <f>IF(AQ1387="2",BI1387,0)</f>
      </c>
      <c r="AH1387" s="111">
        <f>IF(AQ1387="0",BJ1387,0)</f>
      </c>
      <c r="AI1387" s="132" t="s">
        <v>84</v>
      </c>
      <c r="AJ1387" s="111">
        <f>IF(AN1387=0,I1387,0)</f>
      </c>
      <c r="AK1387" s="111">
        <f>IF(AN1387=12,I1387,0)</f>
      </c>
      <c r="AL1387" s="111">
        <f>IF(AN1387=21,I1387,0)</f>
      </c>
      <c r="AN1387" s="111" t="n">
        <v>21</v>
      </c>
      <c r="AO1387" s="111">
        <f>H1387*0</f>
      </c>
      <c r="AP1387" s="111">
        <f>H1387*(1-0)</f>
      </c>
      <c r="AQ1387" s="153" t="s">
        <v>156</v>
      </c>
      <c r="AV1387" s="111">
        <f>AW1387+AX1387</f>
      </c>
      <c r="AW1387" s="111">
        <f>G1387*AO1387</f>
      </c>
      <c r="AX1387" s="111">
        <f>G1387*AP1387</f>
      </c>
      <c r="AY1387" s="153" t="s">
        <v>2143</v>
      </c>
      <c r="AZ1387" s="153" t="s">
        <v>1999</v>
      </c>
      <c r="BA1387" s="132" t="s">
        <v>137</v>
      </c>
      <c r="BC1387" s="111">
        <f>AW1387+AX1387</f>
      </c>
      <c r="BD1387" s="111">
        <f>H1387/(100-BE1387)*100</f>
      </c>
      <c r="BE1387" s="111" t="n">
        <v>0</v>
      </c>
      <c r="BF1387" s="111">
        <f>1387</f>
      </c>
      <c r="BH1387" s="111">
        <f>G1387*AO1387</f>
      </c>
      <c r="BI1387" s="111">
        <f>G1387*AP1387</f>
      </c>
      <c r="BJ1387" s="111">
        <f>G1387*H1387</f>
      </c>
      <c r="BK1387" s="111"/>
      <c r="BL1387" s="111" t="n">
        <v>766</v>
      </c>
      <c r="BW1387" s="111" t="n">
        <v>21</v>
      </c>
      <c r="BX1387" s="14" t="s">
        <v>2271</v>
      </c>
    </row>
    <row r="1388">
      <c r="A1388" s="147" t="s">
        <v>4</v>
      </c>
      <c r="B1388" s="148" t="s">
        <v>84</v>
      </c>
      <c r="C1388" s="148" t="s">
        <v>2272</v>
      </c>
      <c r="D1388" s="149" t="s">
        <v>2273</v>
      </c>
      <c r="E1388" s="148"/>
      <c r="F1388" s="150" t="s">
        <v>79</v>
      </c>
      <c r="G1388" s="150" t="s">
        <v>79</v>
      </c>
      <c r="H1388" s="151" t="s">
        <v>79</v>
      </c>
      <c r="I1388" s="117">
        <f>SUM(I1389:I1522)</f>
      </c>
      <c r="J1388" s="132" t="s">
        <v>4</v>
      </c>
      <c r="K1388" s="146"/>
      <c r="AI1388" s="132" t="s">
        <v>84</v>
      </c>
      <c r="AS1388" s="117">
        <f>SUM(AJ1389:AJ1522)</f>
      </c>
      <c r="AT1388" s="117">
        <f>SUM(AK1389:AK1522)</f>
      </c>
      <c r="AU1388" s="117">
        <f>SUM(AL1389:AL1522)</f>
      </c>
    </row>
    <row r="1389">
      <c r="A1389" s="9" t="s">
        <v>2274</v>
      </c>
      <c r="B1389" s="10" t="s">
        <v>84</v>
      </c>
      <c r="C1389" s="10" t="s">
        <v>2275</v>
      </c>
      <c r="D1389" s="14" t="s">
        <v>2276</v>
      </c>
      <c r="E1389" s="10"/>
      <c r="F1389" s="10" t="s">
        <v>2277</v>
      </c>
      <c r="G1389" s="111" t="n">
        <v>1</v>
      </c>
      <c r="H1389" s="152" t="n">
        <v>0</v>
      </c>
      <c r="I1389" s="111">
        <f>G1389*H1389</f>
      </c>
      <c r="J1389" s="153" t="s">
        <v>134</v>
      </c>
      <c r="K1389" s="146"/>
      <c r="Z1389" s="111">
        <f>IF(AQ1389="5",BJ1389,0)</f>
      </c>
      <c r="AB1389" s="111">
        <f>IF(AQ1389="1",BH1389,0)</f>
      </c>
      <c r="AC1389" s="111">
        <f>IF(AQ1389="1",BI1389,0)</f>
      </c>
      <c r="AD1389" s="111">
        <f>IF(AQ1389="7",BH1389,0)</f>
      </c>
      <c r="AE1389" s="111">
        <f>IF(AQ1389="7",BI1389,0)</f>
      </c>
      <c r="AF1389" s="111">
        <f>IF(AQ1389="2",BH1389,0)</f>
      </c>
      <c r="AG1389" s="111">
        <f>IF(AQ1389="2",BI1389,0)</f>
      </c>
      <c r="AH1389" s="111">
        <f>IF(AQ1389="0",BJ1389,0)</f>
      </c>
      <c r="AI1389" s="132" t="s">
        <v>84</v>
      </c>
      <c r="AJ1389" s="111">
        <f>IF(AN1389=0,I1389,0)</f>
      </c>
      <c r="AK1389" s="111">
        <f>IF(AN1389=12,I1389,0)</f>
      </c>
      <c r="AL1389" s="111">
        <f>IF(AN1389=21,I1389,0)</f>
      </c>
      <c r="AN1389" s="111" t="n">
        <v>21</v>
      </c>
      <c r="AO1389" s="111">
        <f>H1389*0.003025</f>
      </c>
      <c r="AP1389" s="111">
        <f>H1389*(1-0.003025)</f>
      </c>
      <c r="AQ1389" s="153" t="s">
        <v>173</v>
      </c>
      <c r="AV1389" s="111">
        <f>AW1389+AX1389</f>
      </c>
      <c r="AW1389" s="111">
        <f>G1389*AO1389</f>
      </c>
      <c r="AX1389" s="111">
        <f>G1389*AP1389</f>
      </c>
      <c r="AY1389" s="153" t="s">
        <v>2278</v>
      </c>
      <c r="AZ1389" s="153" t="s">
        <v>1999</v>
      </c>
      <c r="BA1389" s="132" t="s">
        <v>137</v>
      </c>
      <c r="BC1389" s="111">
        <f>AW1389+AX1389</f>
      </c>
      <c r="BD1389" s="111">
        <f>H1389/(100-BE1389)*100</f>
      </c>
      <c r="BE1389" s="111" t="n">
        <v>0</v>
      </c>
      <c r="BF1389" s="111">
        <f>1389</f>
      </c>
      <c r="BH1389" s="111">
        <f>G1389*AO1389</f>
      </c>
      <c r="BI1389" s="111">
        <f>G1389*AP1389</f>
      </c>
      <c r="BJ1389" s="111">
        <f>G1389*H1389</f>
      </c>
      <c r="BK1389" s="111"/>
      <c r="BL1389" s="111" t="n">
        <v>767</v>
      </c>
      <c r="BW1389" s="111" t="n">
        <v>21</v>
      </c>
      <c r="BX1389" s="14" t="s">
        <v>2276</v>
      </c>
    </row>
    <row r="1390" customHeight="true" ht="13.5">
      <c r="A1390" s="159"/>
      <c r="C1390" s="160" t="s">
        <v>146</v>
      </c>
      <c r="D1390" s="161" t="s">
        <v>2279</v>
      </c>
      <c r="E1390" s="156"/>
      <c r="F1390" s="156"/>
      <c r="G1390" s="156"/>
      <c r="H1390" s="162"/>
      <c r="I1390" s="156"/>
      <c r="J1390" s="156"/>
      <c r="K1390" s="163"/>
    </row>
    <row r="1391">
      <c r="A1391" s="154"/>
      <c r="B1391" s="155"/>
      <c r="C1391" s="155"/>
      <c r="D1391" s="156" t="s">
        <v>130</v>
      </c>
      <c r="E1391" s="156" t="s">
        <v>2280</v>
      </c>
      <c r="F1391" s="155"/>
      <c r="G1391" s="157" t="n">
        <v>1</v>
      </c>
      <c r="H1391" s="158"/>
      <c r="I1391" s="155"/>
      <c r="J1391" s="155"/>
      <c r="K1391" s="146"/>
    </row>
    <row r="1392">
      <c r="A1392" s="9" t="s">
        <v>2281</v>
      </c>
      <c r="B1392" s="10" t="s">
        <v>84</v>
      </c>
      <c r="C1392" s="10" t="s">
        <v>2282</v>
      </c>
      <c r="D1392" s="14" t="s">
        <v>2283</v>
      </c>
      <c r="E1392" s="10"/>
      <c r="F1392" s="10" t="s">
        <v>2277</v>
      </c>
      <c r="G1392" s="111" t="n">
        <v>1</v>
      </c>
      <c r="H1392" s="152" t="n">
        <v>0</v>
      </c>
      <c r="I1392" s="111">
        <f>G1392*H1392</f>
      </c>
      <c r="J1392" s="153" t="s">
        <v>134</v>
      </c>
      <c r="K1392" s="146"/>
      <c r="Z1392" s="111">
        <f>IF(AQ1392="5",BJ1392,0)</f>
      </c>
      <c r="AB1392" s="111">
        <f>IF(AQ1392="1",BH1392,0)</f>
      </c>
      <c r="AC1392" s="111">
        <f>IF(AQ1392="1",BI1392,0)</f>
      </c>
      <c r="AD1392" s="111">
        <f>IF(AQ1392="7",BH1392,0)</f>
      </c>
      <c r="AE1392" s="111">
        <f>IF(AQ1392="7",BI1392,0)</f>
      </c>
      <c r="AF1392" s="111">
        <f>IF(AQ1392="2",BH1392,0)</f>
      </c>
      <c r="AG1392" s="111">
        <f>IF(AQ1392="2",BI1392,0)</f>
      </c>
      <c r="AH1392" s="111">
        <f>IF(AQ1392="0",BJ1392,0)</f>
      </c>
      <c r="AI1392" s="132" t="s">
        <v>84</v>
      </c>
      <c r="AJ1392" s="111">
        <f>IF(AN1392=0,I1392,0)</f>
      </c>
      <c r="AK1392" s="111">
        <f>IF(AN1392=12,I1392,0)</f>
      </c>
      <c r="AL1392" s="111">
        <f>IF(AN1392=21,I1392,0)</f>
      </c>
      <c r="AN1392" s="111" t="n">
        <v>21</v>
      </c>
      <c r="AO1392" s="111">
        <f>H1392*0.003024783</f>
      </c>
      <c r="AP1392" s="111">
        <f>H1392*(1-0.003024783)</f>
      </c>
      <c r="AQ1392" s="153" t="s">
        <v>173</v>
      </c>
      <c r="AV1392" s="111">
        <f>AW1392+AX1392</f>
      </c>
      <c r="AW1392" s="111">
        <f>G1392*AO1392</f>
      </c>
      <c r="AX1392" s="111">
        <f>G1392*AP1392</f>
      </c>
      <c r="AY1392" s="153" t="s">
        <v>2278</v>
      </c>
      <c r="AZ1392" s="153" t="s">
        <v>1999</v>
      </c>
      <c r="BA1392" s="132" t="s">
        <v>137</v>
      </c>
      <c r="BC1392" s="111">
        <f>AW1392+AX1392</f>
      </c>
      <c r="BD1392" s="111">
        <f>H1392/(100-BE1392)*100</f>
      </c>
      <c r="BE1392" s="111" t="n">
        <v>0</v>
      </c>
      <c r="BF1392" s="111">
        <f>1392</f>
      </c>
      <c r="BH1392" s="111">
        <f>G1392*AO1392</f>
      </c>
      <c r="BI1392" s="111">
        <f>G1392*AP1392</f>
      </c>
      <c r="BJ1392" s="111">
        <f>G1392*H1392</f>
      </c>
      <c r="BK1392" s="111"/>
      <c r="BL1392" s="111" t="n">
        <v>767</v>
      </c>
      <c r="BW1392" s="111" t="n">
        <v>21</v>
      </c>
      <c r="BX1392" s="14" t="s">
        <v>2283</v>
      </c>
    </row>
    <row r="1393" customHeight="true" ht="13.5">
      <c r="A1393" s="159"/>
      <c r="C1393" s="160" t="s">
        <v>146</v>
      </c>
      <c r="D1393" s="161" t="s">
        <v>2279</v>
      </c>
      <c r="E1393" s="156"/>
      <c r="F1393" s="156"/>
      <c r="G1393" s="156"/>
      <c r="H1393" s="162"/>
      <c r="I1393" s="156"/>
      <c r="J1393" s="156"/>
      <c r="K1393" s="163"/>
    </row>
    <row r="1394">
      <c r="A1394" s="154"/>
      <c r="B1394" s="155"/>
      <c r="C1394" s="155"/>
      <c r="D1394" s="156" t="s">
        <v>130</v>
      </c>
      <c r="E1394" s="156" t="s">
        <v>2284</v>
      </c>
      <c r="F1394" s="155"/>
      <c r="G1394" s="157" t="n">
        <v>1</v>
      </c>
      <c r="H1394" s="158"/>
      <c r="I1394" s="155"/>
      <c r="J1394" s="155"/>
      <c r="K1394" s="146"/>
    </row>
    <row r="1395">
      <c r="A1395" s="9" t="s">
        <v>2285</v>
      </c>
      <c r="B1395" s="10" t="s">
        <v>84</v>
      </c>
      <c r="C1395" s="10" t="s">
        <v>2286</v>
      </c>
      <c r="D1395" s="14" t="s">
        <v>2287</v>
      </c>
      <c r="E1395" s="10"/>
      <c r="F1395" s="10" t="s">
        <v>2277</v>
      </c>
      <c r="G1395" s="111" t="n">
        <v>1</v>
      </c>
      <c r="H1395" s="152" t="n">
        <v>0</v>
      </c>
      <c r="I1395" s="111">
        <f>G1395*H1395</f>
      </c>
      <c r="J1395" s="153" t="s">
        <v>134</v>
      </c>
      <c r="K1395" s="146"/>
      <c r="Z1395" s="111">
        <f>IF(AQ1395="5",BJ1395,0)</f>
      </c>
      <c r="AB1395" s="111">
        <f>IF(AQ1395="1",BH1395,0)</f>
      </c>
      <c r="AC1395" s="111">
        <f>IF(AQ1395="1",BI1395,0)</f>
      </c>
      <c r="AD1395" s="111">
        <f>IF(AQ1395="7",BH1395,0)</f>
      </c>
      <c r="AE1395" s="111">
        <f>IF(AQ1395="7",BI1395,0)</f>
      </c>
      <c r="AF1395" s="111">
        <f>IF(AQ1395="2",BH1395,0)</f>
      </c>
      <c r="AG1395" s="111">
        <f>IF(AQ1395="2",BI1395,0)</f>
      </c>
      <c r="AH1395" s="111">
        <f>IF(AQ1395="0",BJ1395,0)</f>
      </c>
      <c r="AI1395" s="132" t="s">
        <v>84</v>
      </c>
      <c r="AJ1395" s="111">
        <f>IF(AN1395=0,I1395,0)</f>
      </c>
      <c r="AK1395" s="111">
        <f>IF(AN1395=12,I1395,0)</f>
      </c>
      <c r="AL1395" s="111">
        <f>IF(AN1395=21,I1395,0)</f>
      </c>
      <c r="AN1395" s="111" t="n">
        <v>21</v>
      </c>
      <c r="AO1395" s="111">
        <f>H1395*0.003024803</f>
      </c>
      <c r="AP1395" s="111">
        <f>H1395*(1-0.003024803)</f>
      </c>
      <c r="AQ1395" s="153" t="s">
        <v>173</v>
      </c>
      <c r="AV1395" s="111">
        <f>AW1395+AX1395</f>
      </c>
      <c r="AW1395" s="111">
        <f>G1395*AO1395</f>
      </c>
      <c r="AX1395" s="111">
        <f>G1395*AP1395</f>
      </c>
      <c r="AY1395" s="153" t="s">
        <v>2278</v>
      </c>
      <c r="AZ1395" s="153" t="s">
        <v>1999</v>
      </c>
      <c r="BA1395" s="132" t="s">
        <v>137</v>
      </c>
      <c r="BC1395" s="111">
        <f>AW1395+AX1395</f>
      </c>
      <c r="BD1395" s="111">
        <f>H1395/(100-BE1395)*100</f>
      </c>
      <c r="BE1395" s="111" t="n">
        <v>0</v>
      </c>
      <c r="BF1395" s="111">
        <f>1395</f>
      </c>
      <c r="BH1395" s="111">
        <f>G1395*AO1395</f>
      </c>
      <c r="BI1395" s="111">
        <f>G1395*AP1395</f>
      </c>
      <c r="BJ1395" s="111">
        <f>G1395*H1395</f>
      </c>
      <c r="BK1395" s="111"/>
      <c r="BL1395" s="111" t="n">
        <v>767</v>
      </c>
      <c r="BW1395" s="111" t="n">
        <v>21</v>
      </c>
      <c r="BX1395" s="14" t="s">
        <v>2287</v>
      </c>
    </row>
    <row r="1396" customHeight="true" ht="13.5">
      <c r="A1396" s="159"/>
      <c r="C1396" s="160" t="s">
        <v>146</v>
      </c>
      <c r="D1396" s="161" t="s">
        <v>2279</v>
      </c>
      <c r="E1396" s="156"/>
      <c r="F1396" s="156"/>
      <c r="G1396" s="156"/>
      <c r="H1396" s="162"/>
      <c r="I1396" s="156"/>
      <c r="J1396" s="156"/>
      <c r="K1396" s="163"/>
    </row>
    <row r="1397">
      <c r="A1397" s="154"/>
      <c r="B1397" s="155"/>
      <c r="C1397" s="155"/>
      <c r="D1397" s="156" t="s">
        <v>130</v>
      </c>
      <c r="E1397" s="156" t="s">
        <v>2288</v>
      </c>
      <c r="F1397" s="155"/>
      <c r="G1397" s="157" t="n">
        <v>1</v>
      </c>
      <c r="H1397" s="158"/>
      <c r="I1397" s="155"/>
      <c r="J1397" s="155"/>
      <c r="K1397" s="146"/>
    </row>
    <row r="1398">
      <c r="A1398" s="9" t="s">
        <v>2289</v>
      </c>
      <c r="B1398" s="10" t="s">
        <v>84</v>
      </c>
      <c r="C1398" s="10" t="s">
        <v>2290</v>
      </c>
      <c r="D1398" s="14" t="s">
        <v>2291</v>
      </c>
      <c r="E1398" s="10"/>
      <c r="F1398" s="10" t="s">
        <v>2277</v>
      </c>
      <c r="G1398" s="111" t="n">
        <v>1</v>
      </c>
      <c r="H1398" s="152" t="n">
        <v>0</v>
      </c>
      <c r="I1398" s="111">
        <f>G1398*H1398</f>
      </c>
      <c r="J1398" s="153" t="s">
        <v>134</v>
      </c>
      <c r="K1398" s="146"/>
      <c r="Z1398" s="111">
        <f>IF(AQ1398="5",BJ1398,0)</f>
      </c>
      <c r="AB1398" s="111">
        <f>IF(AQ1398="1",BH1398,0)</f>
      </c>
      <c r="AC1398" s="111">
        <f>IF(AQ1398="1",BI1398,0)</f>
      </c>
      <c r="AD1398" s="111">
        <f>IF(AQ1398="7",BH1398,0)</f>
      </c>
      <c r="AE1398" s="111">
        <f>IF(AQ1398="7",BI1398,0)</f>
      </c>
      <c r="AF1398" s="111">
        <f>IF(AQ1398="2",BH1398,0)</f>
      </c>
      <c r="AG1398" s="111">
        <f>IF(AQ1398="2",BI1398,0)</f>
      </c>
      <c r="AH1398" s="111">
        <f>IF(AQ1398="0",BJ1398,0)</f>
      </c>
      <c r="AI1398" s="132" t="s">
        <v>84</v>
      </c>
      <c r="AJ1398" s="111">
        <f>IF(AN1398=0,I1398,0)</f>
      </c>
      <c r="AK1398" s="111">
        <f>IF(AN1398=12,I1398,0)</f>
      </c>
      <c r="AL1398" s="111">
        <f>IF(AN1398=21,I1398,0)</f>
      </c>
      <c r="AN1398" s="111" t="n">
        <v>21</v>
      </c>
      <c r="AO1398" s="111">
        <f>H1398*0.003024831</f>
      </c>
      <c r="AP1398" s="111">
        <f>H1398*(1-0.003024831)</f>
      </c>
      <c r="AQ1398" s="153" t="s">
        <v>173</v>
      </c>
      <c r="AV1398" s="111">
        <f>AW1398+AX1398</f>
      </c>
      <c r="AW1398" s="111">
        <f>G1398*AO1398</f>
      </c>
      <c r="AX1398" s="111">
        <f>G1398*AP1398</f>
      </c>
      <c r="AY1398" s="153" t="s">
        <v>2278</v>
      </c>
      <c r="AZ1398" s="153" t="s">
        <v>1999</v>
      </c>
      <c r="BA1398" s="132" t="s">
        <v>137</v>
      </c>
      <c r="BC1398" s="111">
        <f>AW1398+AX1398</f>
      </c>
      <c r="BD1398" s="111">
        <f>H1398/(100-BE1398)*100</f>
      </c>
      <c r="BE1398" s="111" t="n">
        <v>0</v>
      </c>
      <c r="BF1398" s="111">
        <f>1398</f>
      </c>
      <c r="BH1398" s="111">
        <f>G1398*AO1398</f>
      </c>
      <c r="BI1398" s="111">
        <f>G1398*AP1398</f>
      </c>
      <c r="BJ1398" s="111">
        <f>G1398*H1398</f>
      </c>
      <c r="BK1398" s="111"/>
      <c r="BL1398" s="111" t="n">
        <v>767</v>
      </c>
      <c r="BW1398" s="111" t="n">
        <v>21</v>
      </c>
      <c r="BX1398" s="14" t="s">
        <v>2291</v>
      </c>
    </row>
    <row r="1399" customHeight="true" ht="13.5">
      <c r="A1399" s="159"/>
      <c r="C1399" s="160" t="s">
        <v>146</v>
      </c>
      <c r="D1399" s="161" t="s">
        <v>2279</v>
      </c>
      <c r="E1399" s="156"/>
      <c r="F1399" s="156"/>
      <c r="G1399" s="156"/>
      <c r="H1399" s="162"/>
      <c r="I1399" s="156"/>
      <c r="J1399" s="156"/>
      <c r="K1399" s="163"/>
    </row>
    <row r="1400">
      <c r="A1400" s="154"/>
      <c r="B1400" s="155"/>
      <c r="C1400" s="155"/>
      <c r="D1400" s="156" t="s">
        <v>130</v>
      </c>
      <c r="E1400" s="156" t="s">
        <v>2292</v>
      </c>
      <c r="F1400" s="155"/>
      <c r="G1400" s="157" t="n">
        <v>1</v>
      </c>
      <c r="H1400" s="158"/>
      <c r="I1400" s="155"/>
      <c r="J1400" s="155"/>
      <c r="K1400" s="146"/>
    </row>
    <row r="1401">
      <c r="A1401" s="9" t="s">
        <v>2293</v>
      </c>
      <c r="B1401" s="10" t="s">
        <v>84</v>
      </c>
      <c r="C1401" s="10" t="s">
        <v>2294</v>
      </c>
      <c r="D1401" s="14" t="s">
        <v>2295</v>
      </c>
      <c r="E1401" s="10"/>
      <c r="F1401" s="10" t="s">
        <v>2277</v>
      </c>
      <c r="G1401" s="111" t="n">
        <v>1</v>
      </c>
      <c r="H1401" s="152" t="n">
        <v>0</v>
      </c>
      <c r="I1401" s="111">
        <f>G1401*H1401</f>
      </c>
      <c r="J1401" s="153" t="s">
        <v>134</v>
      </c>
      <c r="K1401" s="146"/>
      <c r="Z1401" s="111">
        <f>IF(AQ1401="5",BJ1401,0)</f>
      </c>
      <c r="AB1401" s="111">
        <f>IF(AQ1401="1",BH1401,0)</f>
      </c>
      <c r="AC1401" s="111">
        <f>IF(AQ1401="1",BI1401,0)</f>
      </c>
      <c r="AD1401" s="111">
        <f>IF(AQ1401="7",BH1401,0)</f>
      </c>
      <c r="AE1401" s="111">
        <f>IF(AQ1401="7",BI1401,0)</f>
      </c>
      <c r="AF1401" s="111">
        <f>IF(AQ1401="2",BH1401,0)</f>
      </c>
      <c r="AG1401" s="111">
        <f>IF(AQ1401="2",BI1401,0)</f>
      </c>
      <c r="AH1401" s="111">
        <f>IF(AQ1401="0",BJ1401,0)</f>
      </c>
      <c r="AI1401" s="132" t="s">
        <v>84</v>
      </c>
      <c r="AJ1401" s="111">
        <f>IF(AN1401=0,I1401,0)</f>
      </c>
      <c r="AK1401" s="111">
        <f>IF(AN1401=12,I1401,0)</f>
      </c>
      <c r="AL1401" s="111">
        <f>IF(AN1401=21,I1401,0)</f>
      </c>
      <c r="AN1401" s="111" t="n">
        <v>21</v>
      </c>
      <c r="AO1401" s="111">
        <f>H1401*0.003024831</f>
      </c>
      <c r="AP1401" s="111">
        <f>H1401*(1-0.003024831)</f>
      </c>
      <c r="AQ1401" s="153" t="s">
        <v>173</v>
      </c>
      <c r="AV1401" s="111">
        <f>AW1401+AX1401</f>
      </c>
      <c r="AW1401" s="111">
        <f>G1401*AO1401</f>
      </c>
      <c r="AX1401" s="111">
        <f>G1401*AP1401</f>
      </c>
      <c r="AY1401" s="153" t="s">
        <v>2278</v>
      </c>
      <c r="AZ1401" s="153" t="s">
        <v>1999</v>
      </c>
      <c r="BA1401" s="132" t="s">
        <v>137</v>
      </c>
      <c r="BC1401" s="111">
        <f>AW1401+AX1401</f>
      </c>
      <c r="BD1401" s="111">
        <f>H1401/(100-BE1401)*100</f>
      </c>
      <c r="BE1401" s="111" t="n">
        <v>0</v>
      </c>
      <c r="BF1401" s="111">
        <f>1401</f>
      </c>
      <c r="BH1401" s="111">
        <f>G1401*AO1401</f>
      </c>
      <c r="BI1401" s="111">
        <f>G1401*AP1401</f>
      </c>
      <c r="BJ1401" s="111">
        <f>G1401*H1401</f>
      </c>
      <c r="BK1401" s="111"/>
      <c r="BL1401" s="111" t="n">
        <v>767</v>
      </c>
      <c r="BW1401" s="111" t="n">
        <v>21</v>
      </c>
      <c r="BX1401" s="14" t="s">
        <v>2295</v>
      </c>
    </row>
    <row r="1402" customHeight="true" ht="13.5">
      <c r="A1402" s="159"/>
      <c r="C1402" s="160" t="s">
        <v>146</v>
      </c>
      <c r="D1402" s="161" t="s">
        <v>2279</v>
      </c>
      <c r="E1402" s="156"/>
      <c r="F1402" s="156"/>
      <c r="G1402" s="156"/>
      <c r="H1402" s="162"/>
      <c r="I1402" s="156"/>
      <c r="J1402" s="156"/>
      <c r="K1402" s="163"/>
    </row>
    <row r="1403">
      <c r="A1403" s="154"/>
      <c r="B1403" s="155"/>
      <c r="C1403" s="155"/>
      <c r="D1403" s="156" t="s">
        <v>130</v>
      </c>
      <c r="E1403" s="156" t="s">
        <v>2296</v>
      </c>
      <c r="F1403" s="155"/>
      <c r="G1403" s="157" t="n">
        <v>1</v>
      </c>
      <c r="H1403" s="158"/>
      <c r="I1403" s="155"/>
      <c r="J1403" s="155"/>
      <c r="K1403" s="146"/>
    </row>
    <row r="1404">
      <c r="A1404" s="9" t="s">
        <v>2297</v>
      </c>
      <c r="B1404" s="10" t="s">
        <v>84</v>
      </c>
      <c r="C1404" s="10" t="s">
        <v>2298</v>
      </c>
      <c r="D1404" s="14" t="s">
        <v>2299</v>
      </c>
      <c r="E1404" s="10"/>
      <c r="F1404" s="10" t="s">
        <v>2277</v>
      </c>
      <c r="G1404" s="111" t="n">
        <v>1</v>
      </c>
      <c r="H1404" s="152" t="n">
        <v>0</v>
      </c>
      <c r="I1404" s="111">
        <f>G1404*H1404</f>
      </c>
      <c r="J1404" s="153" t="s">
        <v>134</v>
      </c>
      <c r="K1404" s="146"/>
      <c r="Z1404" s="111">
        <f>IF(AQ1404="5",BJ1404,0)</f>
      </c>
      <c r="AB1404" s="111">
        <f>IF(AQ1404="1",BH1404,0)</f>
      </c>
      <c r="AC1404" s="111">
        <f>IF(AQ1404="1",BI1404,0)</f>
      </c>
      <c r="AD1404" s="111">
        <f>IF(AQ1404="7",BH1404,0)</f>
      </c>
      <c r="AE1404" s="111">
        <f>IF(AQ1404="7",BI1404,0)</f>
      </c>
      <c r="AF1404" s="111">
        <f>IF(AQ1404="2",BH1404,0)</f>
      </c>
      <c r="AG1404" s="111">
        <f>IF(AQ1404="2",BI1404,0)</f>
      </c>
      <c r="AH1404" s="111">
        <f>IF(AQ1404="0",BJ1404,0)</f>
      </c>
      <c r="AI1404" s="132" t="s">
        <v>84</v>
      </c>
      <c r="AJ1404" s="111">
        <f>IF(AN1404=0,I1404,0)</f>
      </c>
      <c r="AK1404" s="111">
        <f>IF(AN1404=12,I1404,0)</f>
      </c>
      <c r="AL1404" s="111">
        <f>IF(AN1404=21,I1404,0)</f>
      </c>
      <c r="AN1404" s="111" t="n">
        <v>21</v>
      </c>
      <c r="AO1404" s="111">
        <f>H1404*0.00302482</f>
      </c>
      <c r="AP1404" s="111">
        <f>H1404*(1-0.00302482)</f>
      </c>
      <c r="AQ1404" s="153" t="s">
        <v>173</v>
      </c>
      <c r="AV1404" s="111">
        <f>AW1404+AX1404</f>
      </c>
      <c r="AW1404" s="111">
        <f>G1404*AO1404</f>
      </c>
      <c r="AX1404" s="111">
        <f>G1404*AP1404</f>
      </c>
      <c r="AY1404" s="153" t="s">
        <v>2278</v>
      </c>
      <c r="AZ1404" s="153" t="s">
        <v>1999</v>
      </c>
      <c r="BA1404" s="132" t="s">
        <v>137</v>
      </c>
      <c r="BC1404" s="111">
        <f>AW1404+AX1404</f>
      </c>
      <c r="BD1404" s="111">
        <f>H1404/(100-BE1404)*100</f>
      </c>
      <c r="BE1404" s="111" t="n">
        <v>0</v>
      </c>
      <c r="BF1404" s="111">
        <f>1404</f>
      </c>
      <c r="BH1404" s="111">
        <f>G1404*AO1404</f>
      </c>
      <c r="BI1404" s="111">
        <f>G1404*AP1404</f>
      </c>
      <c r="BJ1404" s="111">
        <f>G1404*H1404</f>
      </c>
      <c r="BK1404" s="111"/>
      <c r="BL1404" s="111" t="n">
        <v>767</v>
      </c>
      <c r="BW1404" s="111" t="n">
        <v>21</v>
      </c>
      <c r="BX1404" s="14" t="s">
        <v>2299</v>
      </c>
    </row>
    <row r="1405" customHeight="true" ht="13.5">
      <c r="A1405" s="159"/>
      <c r="C1405" s="160" t="s">
        <v>146</v>
      </c>
      <c r="D1405" s="161" t="s">
        <v>2279</v>
      </c>
      <c r="E1405" s="156"/>
      <c r="F1405" s="156"/>
      <c r="G1405" s="156"/>
      <c r="H1405" s="162"/>
      <c r="I1405" s="156"/>
      <c r="J1405" s="156"/>
      <c r="K1405" s="163"/>
    </row>
    <row r="1406">
      <c r="A1406" s="154"/>
      <c r="B1406" s="155"/>
      <c r="C1406" s="155"/>
      <c r="D1406" s="156" t="s">
        <v>130</v>
      </c>
      <c r="E1406" s="156" t="s">
        <v>2300</v>
      </c>
      <c r="F1406" s="155"/>
      <c r="G1406" s="157" t="n">
        <v>1</v>
      </c>
      <c r="H1406" s="158"/>
      <c r="I1406" s="155"/>
      <c r="J1406" s="155"/>
      <c r="K1406" s="146"/>
    </row>
    <row r="1407">
      <c r="A1407" s="9" t="s">
        <v>2301</v>
      </c>
      <c r="B1407" s="10" t="s">
        <v>84</v>
      </c>
      <c r="C1407" s="10" t="s">
        <v>2302</v>
      </c>
      <c r="D1407" s="14" t="s">
        <v>2303</v>
      </c>
      <c r="E1407" s="10"/>
      <c r="F1407" s="10" t="s">
        <v>2277</v>
      </c>
      <c r="G1407" s="111" t="n">
        <v>1</v>
      </c>
      <c r="H1407" s="152" t="n">
        <v>0</v>
      </c>
      <c r="I1407" s="111">
        <f>G1407*H1407</f>
      </c>
      <c r="J1407" s="153" t="s">
        <v>134</v>
      </c>
      <c r="K1407" s="146"/>
      <c r="Z1407" s="111">
        <f>IF(AQ1407="5",BJ1407,0)</f>
      </c>
      <c r="AB1407" s="111">
        <f>IF(AQ1407="1",BH1407,0)</f>
      </c>
      <c r="AC1407" s="111">
        <f>IF(AQ1407="1",BI1407,0)</f>
      </c>
      <c r="AD1407" s="111">
        <f>IF(AQ1407="7",BH1407,0)</f>
      </c>
      <c r="AE1407" s="111">
        <f>IF(AQ1407="7",BI1407,0)</f>
      </c>
      <c r="AF1407" s="111">
        <f>IF(AQ1407="2",BH1407,0)</f>
      </c>
      <c r="AG1407" s="111">
        <f>IF(AQ1407="2",BI1407,0)</f>
      </c>
      <c r="AH1407" s="111">
        <f>IF(AQ1407="0",BJ1407,0)</f>
      </c>
      <c r="AI1407" s="132" t="s">
        <v>84</v>
      </c>
      <c r="AJ1407" s="111">
        <f>IF(AN1407=0,I1407,0)</f>
      </c>
      <c r="AK1407" s="111">
        <f>IF(AN1407=12,I1407,0)</f>
      </c>
      <c r="AL1407" s="111">
        <f>IF(AN1407=21,I1407,0)</f>
      </c>
      <c r="AN1407" s="111" t="n">
        <v>21</v>
      </c>
      <c r="AO1407" s="111">
        <f>H1407*0.003024767</f>
      </c>
      <c r="AP1407" s="111">
        <f>H1407*(1-0.003024767)</f>
      </c>
      <c r="AQ1407" s="153" t="s">
        <v>173</v>
      </c>
      <c r="AV1407" s="111">
        <f>AW1407+AX1407</f>
      </c>
      <c r="AW1407" s="111">
        <f>G1407*AO1407</f>
      </c>
      <c r="AX1407" s="111">
        <f>G1407*AP1407</f>
      </c>
      <c r="AY1407" s="153" t="s">
        <v>2278</v>
      </c>
      <c r="AZ1407" s="153" t="s">
        <v>1999</v>
      </c>
      <c r="BA1407" s="132" t="s">
        <v>137</v>
      </c>
      <c r="BC1407" s="111">
        <f>AW1407+AX1407</f>
      </c>
      <c r="BD1407" s="111">
        <f>H1407/(100-BE1407)*100</f>
      </c>
      <c r="BE1407" s="111" t="n">
        <v>0</v>
      </c>
      <c r="BF1407" s="111">
        <f>1407</f>
      </c>
      <c r="BH1407" s="111">
        <f>G1407*AO1407</f>
      </c>
      <c r="BI1407" s="111">
        <f>G1407*AP1407</f>
      </c>
      <c r="BJ1407" s="111">
        <f>G1407*H1407</f>
      </c>
      <c r="BK1407" s="111"/>
      <c r="BL1407" s="111" t="n">
        <v>767</v>
      </c>
      <c r="BW1407" s="111" t="n">
        <v>21</v>
      </c>
      <c r="BX1407" s="14" t="s">
        <v>2303</v>
      </c>
    </row>
    <row r="1408" customHeight="true" ht="13.5">
      <c r="A1408" s="159"/>
      <c r="C1408" s="160" t="s">
        <v>146</v>
      </c>
      <c r="D1408" s="161" t="s">
        <v>2279</v>
      </c>
      <c r="E1408" s="156"/>
      <c r="F1408" s="156"/>
      <c r="G1408" s="156"/>
      <c r="H1408" s="162"/>
      <c r="I1408" s="156"/>
      <c r="J1408" s="156"/>
      <c r="K1408" s="163"/>
    </row>
    <row r="1409">
      <c r="A1409" s="154"/>
      <c r="B1409" s="155"/>
      <c r="C1409" s="155"/>
      <c r="D1409" s="156" t="s">
        <v>130</v>
      </c>
      <c r="E1409" s="156" t="s">
        <v>2304</v>
      </c>
      <c r="F1409" s="155"/>
      <c r="G1409" s="157" t="n">
        <v>1</v>
      </c>
      <c r="H1409" s="158"/>
      <c r="I1409" s="155"/>
      <c r="J1409" s="155"/>
      <c r="K1409" s="146"/>
    </row>
    <row r="1410">
      <c r="A1410" s="9" t="s">
        <v>2305</v>
      </c>
      <c r="B1410" s="10" t="s">
        <v>84</v>
      </c>
      <c r="C1410" s="10" t="s">
        <v>2306</v>
      </c>
      <c r="D1410" s="14" t="s">
        <v>2307</v>
      </c>
      <c r="E1410" s="10"/>
      <c r="F1410" s="10" t="s">
        <v>2277</v>
      </c>
      <c r="G1410" s="111" t="n">
        <v>1</v>
      </c>
      <c r="H1410" s="152" t="n">
        <v>0</v>
      </c>
      <c r="I1410" s="111">
        <f>G1410*H1410</f>
      </c>
      <c r="J1410" s="153" t="s">
        <v>134</v>
      </c>
      <c r="K1410" s="146"/>
      <c r="Z1410" s="111">
        <f>IF(AQ1410="5",BJ1410,0)</f>
      </c>
      <c r="AB1410" s="111">
        <f>IF(AQ1410="1",BH1410,0)</f>
      </c>
      <c r="AC1410" s="111">
        <f>IF(AQ1410="1",BI1410,0)</f>
      </c>
      <c r="AD1410" s="111">
        <f>IF(AQ1410="7",BH1410,0)</f>
      </c>
      <c r="AE1410" s="111">
        <f>IF(AQ1410="7",BI1410,0)</f>
      </c>
      <c r="AF1410" s="111">
        <f>IF(AQ1410="2",BH1410,0)</f>
      </c>
      <c r="AG1410" s="111">
        <f>IF(AQ1410="2",BI1410,0)</f>
      </c>
      <c r="AH1410" s="111">
        <f>IF(AQ1410="0",BJ1410,0)</f>
      </c>
      <c r="AI1410" s="132" t="s">
        <v>84</v>
      </c>
      <c r="AJ1410" s="111">
        <f>IF(AN1410=0,I1410,0)</f>
      </c>
      <c r="AK1410" s="111">
        <f>IF(AN1410=12,I1410,0)</f>
      </c>
      <c r="AL1410" s="111">
        <f>IF(AN1410=21,I1410,0)</f>
      </c>
      <c r="AN1410" s="111" t="n">
        <v>21</v>
      </c>
      <c r="AO1410" s="111">
        <f>H1410*0.003024773</f>
      </c>
      <c r="AP1410" s="111">
        <f>H1410*(1-0.003024773)</f>
      </c>
      <c r="AQ1410" s="153" t="s">
        <v>173</v>
      </c>
      <c r="AV1410" s="111">
        <f>AW1410+AX1410</f>
      </c>
      <c r="AW1410" s="111">
        <f>G1410*AO1410</f>
      </c>
      <c r="AX1410" s="111">
        <f>G1410*AP1410</f>
      </c>
      <c r="AY1410" s="153" t="s">
        <v>2278</v>
      </c>
      <c r="AZ1410" s="153" t="s">
        <v>1999</v>
      </c>
      <c r="BA1410" s="132" t="s">
        <v>137</v>
      </c>
      <c r="BC1410" s="111">
        <f>AW1410+AX1410</f>
      </c>
      <c r="BD1410" s="111">
        <f>H1410/(100-BE1410)*100</f>
      </c>
      <c r="BE1410" s="111" t="n">
        <v>0</v>
      </c>
      <c r="BF1410" s="111">
        <f>1410</f>
      </c>
      <c r="BH1410" s="111">
        <f>G1410*AO1410</f>
      </c>
      <c r="BI1410" s="111">
        <f>G1410*AP1410</f>
      </c>
      <c r="BJ1410" s="111">
        <f>G1410*H1410</f>
      </c>
      <c r="BK1410" s="111"/>
      <c r="BL1410" s="111" t="n">
        <v>767</v>
      </c>
      <c r="BW1410" s="111" t="n">
        <v>21</v>
      </c>
      <c r="BX1410" s="14" t="s">
        <v>2307</v>
      </c>
    </row>
    <row r="1411" customHeight="true" ht="13.5">
      <c r="A1411" s="159"/>
      <c r="C1411" s="160" t="s">
        <v>146</v>
      </c>
      <c r="D1411" s="161" t="s">
        <v>2279</v>
      </c>
      <c r="E1411" s="156"/>
      <c r="F1411" s="156"/>
      <c r="G1411" s="156"/>
      <c r="H1411" s="162"/>
      <c r="I1411" s="156"/>
      <c r="J1411" s="156"/>
      <c r="K1411" s="163"/>
    </row>
    <row r="1412">
      <c r="A1412" s="154"/>
      <c r="B1412" s="155"/>
      <c r="C1412" s="155"/>
      <c r="D1412" s="156" t="s">
        <v>130</v>
      </c>
      <c r="E1412" s="156" t="s">
        <v>2308</v>
      </c>
      <c r="F1412" s="155"/>
      <c r="G1412" s="157" t="n">
        <v>1</v>
      </c>
      <c r="H1412" s="158"/>
      <c r="I1412" s="155"/>
      <c r="J1412" s="155"/>
      <c r="K1412" s="146"/>
    </row>
    <row r="1413">
      <c r="A1413" s="9" t="s">
        <v>2309</v>
      </c>
      <c r="B1413" s="10" t="s">
        <v>84</v>
      </c>
      <c r="C1413" s="10" t="s">
        <v>2310</v>
      </c>
      <c r="D1413" s="14" t="s">
        <v>2311</v>
      </c>
      <c r="E1413" s="10"/>
      <c r="F1413" s="10" t="s">
        <v>2277</v>
      </c>
      <c r="G1413" s="111" t="n">
        <v>1</v>
      </c>
      <c r="H1413" s="152" t="n">
        <v>0</v>
      </c>
      <c r="I1413" s="111">
        <f>G1413*H1413</f>
      </c>
      <c r="J1413" s="153" t="s">
        <v>134</v>
      </c>
      <c r="K1413" s="146"/>
      <c r="Z1413" s="111">
        <f>IF(AQ1413="5",BJ1413,0)</f>
      </c>
      <c r="AB1413" s="111">
        <f>IF(AQ1413="1",BH1413,0)</f>
      </c>
      <c r="AC1413" s="111">
        <f>IF(AQ1413="1",BI1413,0)</f>
      </c>
      <c r="AD1413" s="111">
        <f>IF(AQ1413="7",BH1413,0)</f>
      </c>
      <c r="AE1413" s="111">
        <f>IF(AQ1413="7",BI1413,0)</f>
      </c>
      <c r="AF1413" s="111">
        <f>IF(AQ1413="2",BH1413,0)</f>
      </c>
      <c r="AG1413" s="111">
        <f>IF(AQ1413="2",BI1413,0)</f>
      </c>
      <c r="AH1413" s="111">
        <f>IF(AQ1413="0",BJ1413,0)</f>
      </c>
      <c r="AI1413" s="132" t="s">
        <v>84</v>
      </c>
      <c r="AJ1413" s="111">
        <f>IF(AN1413=0,I1413,0)</f>
      </c>
      <c r="AK1413" s="111">
        <f>IF(AN1413=12,I1413,0)</f>
      </c>
      <c r="AL1413" s="111">
        <f>IF(AN1413=21,I1413,0)</f>
      </c>
      <c r="AN1413" s="111" t="n">
        <v>21</v>
      </c>
      <c r="AO1413" s="111">
        <f>H1413*0.00302481</f>
      </c>
      <c r="AP1413" s="111">
        <f>H1413*(1-0.00302481)</f>
      </c>
      <c r="AQ1413" s="153" t="s">
        <v>173</v>
      </c>
      <c r="AV1413" s="111">
        <f>AW1413+AX1413</f>
      </c>
      <c r="AW1413" s="111">
        <f>G1413*AO1413</f>
      </c>
      <c r="AX1413" s="111">
        <f>G1413*AP1413</f>
      </c>
      <c r="AY1413" s="153" t="s">
        <v>2278</v>
      </c>
      <c r="AZ1413" s="153" t="s">
        <v>1999</v>
      </c>
      <c r="BA1413" s="132" t="s">
        <v>137</v>
      </c>
      <c r="BC1413" s="111">
        <f>AW1413+AX1413</f>
      </c>
      <c r="BD1413" s="111">
        <f>H1413/(100-BE1413)*100</f>
      </c>
      <c r="BE1413" s="111" t="n">
        <v>0</v>
      </c>
      <c r="BF1413" s="111">
        <f>1413</f>
      </c>
      <c r="BH1413" s="111">
        <f>G1413*AO1413</f>
      </c>
      <c r="BI1413" s="111">
        <f>G1413*AP1413</f>
      </c>
      <c r="BJ1413" s="111">
        <f>G1413*H1413</f>
      </c>
      <c r="BK1413" s="111"/>
      <c r="BL1413" s="111" t="n">
        <v>767</v>
      </c>
      <c r="BW1413" s="111" t="n">
        <v>21</v>
      </c>
      <c r="BX1413" s="14" t="s">
        <v>2311</v>
      </c>
    </row>
    <row r="1414" customHeight="true" ht="13.5">
      <c r="A1414" s="159"/>
      <c r="C1414" s="160" t="s">
        <v>146</v>
      </c>
      <c r="D1414" s="161" t="s">
        <v>2279</v>
      </c>
      <c r="E1414" s="156"/>
      <c r="F1414" s="156"/>
      <c r="G1414" s="156"/>
      <c r="H1414" s="162"/>
      <c r="I1414" s="156"/>
      <c r="J1414" s="156"/>
      <c r="K1414" s="163"/>
    </row>
    <row r="1415">
      <c r="A1415" s="154"/>
      <c r="B1415" s="155"/>
      <c r="C1415" s="155"/>
      <c r="D1415" s="156" t="s">
        <v>130</v>
      </c>
      <c r="E1415" s="156" t="s">
        <v>2312</v>
      </c>
      <c r="F1415" s="155"/>
      <c r="G1415" s="157" t="n">
        <v>1</v>
      </c>
      <c r="H1415" s="158"/>
      <c r="I1415" s="155"/>
      <c r="J1415" s="155"/>
      <c r="K1415" s="146"/>
    </row>
    <row r="1416">
      <c r="A1416" s="9" t="s">
        <v>2313</v>
      </c>
      <c r="B1416" s="10" t="s">
        <v>84</v>
      </c>
      <c r="C1416" s="10" t="s">
        <v>2314</v>
      </c>
      <c r="D1416" s="14" t="s">
        <v>2315</v>
      </c>
      <c r="E1416" s="10"/>
      <c r="F1416" s="10" t="s">
        <v>2277</v>
      </c>
      <c r="G1416" s="111" t="n">
        <v>1</v>
      </c>
      <c r="H1416" s="152" t="n">
        <v>0</v>
      </c>
      <c r="I1416" s="111">
        <f>G1416*H1416</f>
      </c>
      <c r="J1416" s="153" t="s">
        <v>134</v>
      </c>
      <c r="K1416" s="146"/>
      <c r="Z1416" s="111">
        <f>IF(AQ1416="5",BJ1416,0)</f>
      </c>
      <c r="AB1416" s="111">
        <f>IF(AQ1416="1",BH1416,0)</f>
      </c>
      <c r="AC1416" s="111">
        <f>IF(AQ1416="1",BI1416,0)</f>
      </c>
      <c r="AD1416" s="111">
        <f>IF(AQ1416="7",BH1416,0)</f>
      </c>
      <c r="AE1416" s="111">
        <f>IF(AQ1416="7",BI1416,0)</f>
      </c>
      <c r="AF1416" s="111">
        <f>IF(AQ1416="2",BH1416,0)</f>
      </c>
      <c r="AG1416" s="111">
        <f>IF(AQ1416="2",BI1416,0)</f>
      </c>
      <c r="AH1416" s="111">
        <f>IF(AQ1416="0",BJ1416,0)</f>
      </c>
      <c r="AI1416" s="132" t="s">
        <v>84</v>
      </c>
      <c r="AJ1416" s="111">
        <f>IF(AN1416=0,I1416,0)</f>
      </c>
      <c r="AK1416" s="111">
        <f>IF(AN1416=12,I1416,0)</f>
      </c>
      <c r="AL1416" s="111">
        <f>IF(AN1416=21,I1416,0)</f>
      </c>
      <c r="AN1416" s="111" t="n">
        <v>21</v>
      </c>
      <c r="AO1416" s="111">
        <f>H1416*0.003025</f>
      </c>
      <c r="AP1416" s="111">
        <f>H1416*(1-0.003025)</f>
      </c>
      <c r="AQ1416" s="153" t="s">
        <v>173</v>
      </c>
      <c r="AV1416" s="111">
        <f>AW1416+AX1416</f>
      </c>
      <c r="AW1416" s="111">
        <f>G1416*AO1416</f>
      </c>
      <c r="AX1416" s="111">
        <f>G1416*AP1416</f>
      </c>
      <c r="AY1416" s="153" t="s">
        <v>2278</v>
      </c>
      <c r="AZ1416" s="153" t="s">
        <v>1999</v>
      </c>
      <c r="BA1416" s="132" t="s">
        <v>137</v>
      </c>
      <c r="BC1416" s="111">
        <f>AW1416+AX1416</f>
      </c>
      <c r="BD1416" s="111">
        <f>H1416/(100-BE1416)*100</f>
      </c>
      <c r="BE1416" s="111" t="n">
        <v>0</v>
      </c>
      <c r="BF1416" s="111">
        <f>1416</f>
      </c>
      <c r="BH1416" s="111">
        <f>G1416*AO1416</f>
      </c>
      <c r="BI1416" s="111">
        <f>G1416*AP1416</f>
      </c>
      <c r="BJ1416" s="111">
        <f>G1416*H1416</f>
      </c>
      <c r="BK1416" s="111"/>
      <c r="BL1416" s="111" t="n">
        <v>767</v>
      </c>
      <c r="BW1416" s="111" t="n">
        <v>21</v>
      </c>
      <c r="BX1416" s="14" t="s">
        <v>2315</v>
      </c>
    </row>
    <row r="1417" customHeight="true" ht="13.5">
      <c r="A1417" s="159"/>
      <c r="C1417" s="160" t="s">
        <v>146</v>
      </c>
      <c r="D1417" s="161" t="s">
        <v>2279</v>
      </c>
      <c r="E1417" s="156"/>
      <c r="F1417" s="156"/>
      <c r="G1417" s="156"/>
      <c r="H1417" s="162"/>
      <c r="I1417" s="156"/>
      <c r="J1417" s="156"/>
      <c r="K1417" s="163"/>
    </row>
    <row r="1418">
      <c r="A1418" s="154"/>
      <c r="B1418" s="155"/>
      <c r="C1418" s="155"/>
      <c r="D1418" s="156" t="s">
        <v>130</v>
      </c>
      <c r="E1418" s="156" t="s">
        <v>2316</v>
      </c>
      <c r="F1418" s="155"/>
      <c r="G1418" s="157" t="n">
        <v>1</v>
      </c>
      <c r="H1418" s="158"/>
      <c r="I1418" s="155"/>
      <c r="J1418" s="155"/>
      <c r="K1418" s="146"/>
    </row>
    <row r="1419">
      <c r="A1419" s="9" t="s">
        <v>2317</v>
      </c>
      <c r="B1419" s="10" t="s">
        <v>84</v>
      </c>
      <c r="C1419" s="10" t="s">
        <v>2318</v>
      </c>
      <c r="D1419" s="14" t="s">
        <v>2319</v>
      </c>
      <c r="E1419" s="10"/>
      <c r="F1419" s="10" t="s">
        <v>2277</v>
      </c>
      <c r="G1419" s="111" t="n">
        <v>1</v>
      </c>
      <c r="H1419" s="152" t="n">
        <v>0</v>
      </c>
      <c r="I1419" s="111">
        <f>G1419*H1419</f>
      </c>
      <c r="J1419" s="153" t="s">
        <v>134</v>
      </c>
      <c r="K1419" s="146"/>
      <c r="Z1419" s="111">
        <f>IF(AQ1419="5",BJ1419,0)</f>
      </c>
      <c r="AB1419" s="111">
        <f>IF(AQ1419="1",BH1419,0)</f>
      </c>
      <c r="AC1419" s="111">
        <f>IF(AQ1419="1",BI1419,0)</f>
      </c>
      <c r="AD1419" s="111">
        <f>IF(AQ1419="7",BH1419,0)</f>
      </c>
      <c r="AE1419" s="111">
        <f>IF(AQ1419="7",BI1419,0)</f>
      </c>
      <c r="AF1419" s="111">
        <f>IF(AQ1419="2",BH1419,0)</f>
      </c>
      <c r="AG1419" s="111">
        <f>IF(AQ1419="2",BI1419,0)</f>
      </c>
      <c r="AH1419" s="111">
        <f>IF(AQ1419="0",BJ1419,0)</f>
      </c>
      <c r="AI1419" s="132" t="s">
        <v>84</v>
      </c>
      <c r="AJ1419" s="111">
        <f>IF(AN1419=0,I1419,0)</f>
      </c>
      <c r="AK1419" s="111">
        <f>IF(AN1419=12,I1419,0)</f>
      </c>
      <c r="AL1419" s="111">
        <f>IF(AN1419=21,I1419,0)</f>
      </c>
      <c r="AN1419" s="111" t="n">
        <v>21</v>
      </c>
      <c r="AO1419" s="111">
        <f>H1419*0.003025</f>
      </c>
      <c r="AP1419" s="111">
        <f>H1419*(1-0.003025)</f>
      </c>
      <c r="AQ1419" s="153" t="s">
        <v>173</v>
      </c>
      <c r="AV1419" s="111">
        <f>AW1419+AX1419</f>
      </c>
      <c r="AW1419" s="111">
        <f>G1419*AO1419</f>
      </c>
      <c r="AX1419" s="111">
        <f>G1419*AP1419</f>
      </c>
      <c r="AY1419" s="153" t="s">
        <v>2278</v>
      </c>
      <c r="AZ1419" s="153" t="s">
        <v>1999</v>
      </c>
      <c r="BA1419" s="132" t="s">
        <v>137</v>
      </c>
      <c r="BC1419" s="111">
        <f>AW1419+AX1419</f>
      </c>
      <c r="BD1419" s="111">
        <f>H1419/(100-BE1419)*100</f>
      </c>
      <c r="BE1419" s="111" t="n">
        <v>0</v>
      </c>
      <c r="BF1419" s="111">
        <f>1419</f>
      </c>
      <c r="BH1419" s="111">
        <f>G1419*AO1419</f>
      </c>
      <c r="BI1419" s="111">
        <f>G1419*AP1419</f>
      </c>
      <c r="BJ1419" s="111">
        <f>G1419*H1419</f>
      </c>
      <c r="BK1419" s="111"/>
      <c r="BL1419" s="111" t="n">
        <v>767</v>
      </c>
      <c r="BW1419" s="111" t="n">
        <v>21</v>
      </c>
      <c r="BX1419" s="14" t="s">
        <v>2319</v>
      </c>
    </row>
    <row r="1420" customHeight="true" ht="13.5">
      <c r="A1420" s="159"/>
      <c r="C1420" s="160" t="s">
        <v>146</v>
      </c>
      <c r="D1420" s="161" t="s">
        <v>2279</v>
      </c>
      <c r="E1420" s="156"/>
      <c r="F1420" s="156"/>
      <c r="G1420" s="156"/>
      <c r="H1420" s="162"/>
      <c r="I1420" s="156"/>
      <c r="J1420" s="156"/>
      <c r="K1420" s="163"/>
    </row>
    <row r="1421">
      <c r="A1421" s="154"/>
      <c r="B1421" s="155"/>
      <c r="C1421" s="155"/>
      <c r="D1421" s="156" t="s">
        <v>130</v>
      </c>
      <c r="E1421" s="156" t="s">
        <v>2320</v>
      </c>
      <c r="F1421" s="155"/>
      <c r="G1421" s="157" t="n">
        <v>1</v>
      </c>
      <c r="H1421" s="158"/>
      <c r="I1421" s="155"/>
      <c r="J1421" s="155"/>
      <c r="K1421" s="146"/>
    </row>
    <row r="1422">
      <c r="A1422" s="9" t="s">
        <v>2321</v>
      </c>
      <c r="B1422" s="10" t="s">
        <v>84</v>
      </c>
      <c r="C1422" s="10" t="s">
        <v>2322</v>
      </c>
      <c r="D1422" s="14" t="s">
        <v>2323</v>
      </c>
      <c r="E1422" s="10"/>
      <c r="F1422" s="10" t="s">
        <v>2277</v>
      </c>
      <c r="G1422" s="111" t="n">
        <v>2</v>
      </c>
      <c r="H1422" s="152" t="n">
        <v>0</v>
      </c>
      <c r="I1422" s="111">
        <f>G1422*H1422</f>
      </c>
      <c r="J1422" s="153" t="s">
        <v>134</v>
      </c>
      <c r="K1422" s="146"/>
      <c r="Z1422" s="111">
        <f>IF(AQ1422="5",BJ1422,0)</f>
      </c>
      <c r="AB1422" s="111">
        <f>IF(AQ1422="1",BH1422,0)</f>
      </c>
      <c r="AC1422" s="111">
        <f>IF(AQ1422="1",BI1422,0)</f>
      </c>
      <c r="AD1422" s="111">
        <f>IF(AQ1422="7",BH1422,0)</f>
      </c>
      <c r="AE1422" s="111">
        <f>IF(AQ1422="7",BI1422,0)</f>
      </c>
      <c r="AF1422" s="111">
        <f>IF(AQ1422="2",BH1422,0)</f>
      </c>
      <c r="AG1422" s="111">
        <f>IF(AQ1422="2",BI1422,0)</f>
      </c>
      <c r="AH1422" s="111">
        <f>IF(AQ1422="0",BJ1422,0)</f>
      </c>
      <c r="AI1422" s="132" t="s">
        <v>84</v>
      </c>
      <c r="AJ1422" s="111">
        <f>IF(AN1422=0,I1422,0)</f>
      </c>
      <c r="AK1422" s="111">
        <f>IF(AN1422=12,I1422,0)</f>
      </c>
      <c r="AL1422" s="111">
        <f>IF(AN1422=21,I1422,0)</f>
      </c>
      <c r="AN1422" s="111" t="n">
        <v>21</v>
      </c>
      <c r="AO1422" s="111">
        <f>H1422*0.003024762</f>
      </c>
      <c r="AP1422" s="111">
        <f>H1422*(1-0.003024762)</f>
      </c>
      <c r="AQ1422" s="153" t="s">
        <v>173</v>
      </c>
      <c r="AV1422" s="111">
        <f>AW1422+AX1422</f>
      </c>
      <c r="AW1422" s="111">
        <f>G1422*AO1422</f>
      </c>
      <c r="AX1422" s="111">
        <f>G1422*AP1422</f>
      </c>
      <c r="AY1422" s="153" t="s">
        <v>2278</v>
      </c>
      <c r="AZ1422" s="153" t="s">
        <v>1999</v>
      </c>
      <c r="BA1422" s="132" t="s">
        <v>137</v>
      </c>
      <c r="BC1422" s="111">
        <f>AW1422+AX1422</f>
      </c>
      <c r="BD1422" s="111">
        <f>H1422/(100-BE1422)*100</f>
      </c>
      <c r="BE1422" s="111" t="n">
        <v>0</v>
      </c>
      <c r="BF1422" s="111">
        <f>1422</f>
      </c>
      <c r="BH1422" s="111">
        <f>G1422*AO1422</f>
      </c>
      <c r="BI1422" s="111">
        <f>G1422*AP1422</f>
      </c>
      <c r="BJ1422" s="111">
        <f>G1422*H1422</f>
      </c>
      <c r="BK1422" s="111"/>
      <c r="BL1422" s="111" t="n">
        <v>767</v>
      </c>
      <c r="BW1422" s="111" t="n">
        <v>21</v>
      </c>
      <c r="BX1422" s="14" t="s">
        <v>2323</v>
      </c>
    </row>
    <row r="1423" customHeight="true" ht="13.5">
      <c r="A1423" s="159"/>
      <c r="C1423" s="160" t="s">
        <v>146</v>
      </c>
      <c r="D1423" s="161" t="s">
        <v>2279</v>
      </c>
      <c r="E1423" s="156"/>
      <c r="F1423" s="156"/>
      <c r="G1423" s="156"/>
      <c r="H1423" s="162"/>
      <c r="I1423" s="156"/>
      <c r="J1423" s="156"/>
      <c r="K1423" s="163"/>
    </row>
    <row r="1424">
      <c r="A1424" s="154"/>
      <c r="B1424" s="155"/>
      <c r="C1424" s="155"/>
      <c r="D1424" s="156" t="s">
        <v>140</v>
      </c>
      <c r="E1424" s="156" t="s">
        <v>2324</v>
      </c>
      <c r="F1424" s="155"/>
      <c r="G1424" s="157" t="n">
        <v>2</v>
      </c>
      <c r="H1424" s="158"/>
      <c r="I1424" s="155"/>
      <c r="J1424" s="155"/>
      <c r="K1424" s="146"/>
    </row>
    <row r="1425">
      <c r="A1425" s="9" t="s">
        <v>2325</v>
      </c>
      <c r="B1425" s="10" t="s">
        <v>84</v>
      </c>
      <c r="C1425" s="10" t="s">
        <v>2326</v>
      </c>
      <c r="D1425" s="14" t="s">
        <v>2327</v>
      </c>
      <c r="E1425" s="10"/>
      <c r="F1425" s="10" t="s">
        <v>2277</v>
      </c>
      <c r="G1425" s="111" t="n">
        <v>1</v>
      </c>
      <c r="H1425" s="152" t="n">
        <v>0</v>
      </c>
      <c r="I1425" s="111">
        <f>G1425*H1425</f>
      </c>
      <c r="J1425" s="153" t="s">
        <v>134</v>
      </c>
      <c r="K1425" s="146"/>
      <c r="Z1425" s="111">
        <f>IF(AQ1425="5",BJ1425,0)</f>
      </c>
      <c r="AB1425" s="111">
        <f>IF(AQ1425="1",BH1425,0)</f>
      </c>
      <c r="AC1425" s="111">
        <f>IF(AQ1425="1",BI1425,0)</f>
      </c>
      <c r="AD1425" s="111">
        <f>IF(AQ1425="7",BH1425,0)</f>
      </c>
      <c r="AE1425" s="111">
        <f>IF(AQ1425="7",BI1425,0)</f>
      </c>
      <c r="AF1425" s="111">
        <f>IF(AQ1425="2",BH1425,0)</f>
      </c>
      <c r="AG1425" s="111">
        <f>IF(AQ1425="2",BI1425,0)</f>
      </c>
      <c r="AH1425" s="111">
        <f>IF(AQ1425="0",BJ1425,0)</f>
      </c>
      <c r="AI1425" s="132" t="s">
        <v>84</v>
      </c>
      <c r="AJ1425" s="111">
        <f>IF(AN1425=0,I1425,0)</f>
      </c>
      <c r="AK1425" s="111">
        <f>IF(AN1425=12,I1425,0)</f>
      </c>
      <c r="AL1425" s="111">
        <f>IF(AN1425=21,I1425,0)</f>
      </c>
      <c r="AN1425" s="111" t="n">
        <v>21</v>
      </c>
      <c r="AO1425" s="111">
        <f>H1425*0.003024776</f>
      </c>
      <c r="AP1425" s="111">
        <f>H1425*(1-0.003024776)</f>
      </c>
      <c r="AQ1425" s="153" t="s">
        <v>173</v>
      </c>
      <c r="AV1425" s="111">
        <f>AW1425+AX1425</f>
      </c>
      <c r="AW1425" s="111">
        <f>G1425*AO1425</f>
      </c>
      <c r="AX1425" s="111">
        <f>G1425*AP1425</f>
      </c>
      <c r="AY1425" s="153" t="s">
        <v>2278</v>
      </c>
      <c r="AZ1425" s="153" t="s">
        <v>1999</v>
      </c>
      <c r="BA1425" s="132" t="s">
        <v>137</v>
      </c>
      <c r="BC1425" s="111">
        <f>AW1425+AX1425</f>
      </c>
      <c r="BD1425" s="111">
        <f>H1425/(100-BE1425)*100</f>
      </c>
      <c r="BE1425" s="111" t="n">
        <v>0</v>
      </c>
      <c r="BF1425" s="111">
        <f>1425</f>
      </c>
      <c r="BH1425" s="111">
        <f>G1425*AO1425</f>
      </c>
      <c r="BI1425" s="111">
        <f>G1425*AP1425</f>
      </c>
      <c r="BJ1425" s="111">
        <f>G1425*H1425</f>
      </c>
      <c r="BK1425" s="111"/>
      <c r="BL1425" s="111" t="n">
        <v>767</v>
      </c>
      <c r="BW1425" s="111" t="n">
        <v>21</v>
      </c>
      <c r="BX1425" s="14" t="s">
        <v>2327</v>
      </c>
    </row>
    <row r="1426" customHeight="true" ht="13.5">
      <c r="A1426" s="159"/>
      <c r="C1426" s="160" t="s">
        <v>146</v>
      </c>
      <c r="D1426" s="161" t="s">
        <v>2279</v>
      </c>
      <c r="E1426" s="156"/>
      <c r="F1426" s="156"/>
      <c r="G1426" s="156"/>
      <c r="H1426" s="162"/>
      <c r="I1426" s="156"/>
      <c r="J1426" s="156"/>
      <c r="K1426" s="163"/>
    </row>
    <row r="1427">
      <c r="A1427" s="154"/>
      <c r="B1427" s="155"/>
      <c r="C1427" s="155"/>
      <c r="D1427" s="156" t="s">
        <v>130</v>
      </c>
      <c r="E1427" s="156" t="s">
        <v>2328</v>
      </c>
      <c r="F1427" s="155"/>
      <c r="G1427" s="157" t="n">
        <v>1</v>
      </c>
      <c r="H1427" s="158"/>
      <c r="I1427" s="155"/>
      <c r="J1427" s="155"/>
      <c r="K1427" s="146"/>
    </row>
    <row r="1428">
      <c r="A1428" s="9" t="s">
        <v>2329</v>
      </c>
      <c r="B1428" s="10" t="s">
        <v>84</v>
      </c>
      <c r="C1428" s="10" t="s">
        <v>2330</v>
      </c>
      <c r="D1428" s="14" t="s">
        <v>2331</v>
      </c>
      <c r="E1428" s="10"/>
      <c r="F1428" s="10" t="s">
        <v>2277</v>
      </c>
      <c r="G1428" s="111" t="n">
        <v>1</v>
      </c>
      <c r="H1428" s="152" t="n">
        <v>0</v>
      </c>
      <c r="I1428" s="111">
        <f>G1428*H1428</f>
      </c>
      <c r="J1428" s="153" t="s">
        <v>134</v>
      </c>
      <c r="K1428" s="146"/>
      <c r="Z1428" s="111">
        <f>IF(AQ1428="5",BJ1428,0)</f>
      </c>
      <c r="AB1428" s="111">
        <f>IF(AQ1428="1",BH1428,0)</f>
      </c>
      <c r="AC1428" s="111">
        <f>IF(AQ1428="1",BI1428,0)</f>
      </c>
      <c r="AD1428" s="111">
        <f>IF(AQ1428="7",BH1428,0)</f>
      </c>
      <c r="AE1428" s="111">
        <f>IF(AQ1428="7",BI1428,0)</f>
      </c>
      <c r="AF1428" s="111">
        <f>IF(AQ1428="2",BH1428,0)</f>
      </c>
      <c r="AG1428" s="111">
        <f>IF(AQ1428="2",BI1428,0)</f>
      </c>
      <c r="AH1428" s="111">
        <f>IF(AQ1428="0",BJ1428,0)</f>
      </c>
      <c r="AI1428" s="132" t="s">
        <v>84</v>
      </c>
      <c r="AJ1428" s="111">
        <f>IF(AN1428=0,I1428,0)</f>
      </c>
      <c r="AK1428" s="111">
        <f>IF(AN1428=12,I1428,0)</f>
      </c>
      <c r="AL1428" s="111">
        <f>IF(AN1428=21,I1428,0)</f>
      </c>
      <c r="AN1428" s="111" t="n">
        <v>21</v>
      </c>
      <c r="AO1428" s="111">
        <f>H1428*0.003024727</f>
      </c>
      <c r="AP1428" s="111">
        <f>H1428*(1-0.003024727)</f>
      </c>
      <c r="AQ1428" s="153" t="s">
        <v>173</v>
      </c>
      <c r="AV1428" s="111">
        <f>AW1428+AX1428</f>
      </c>
      <c r="AW1428" s="111">
        <f>G1428*AO1428</f>
      </c>
      <c r="AX1428" s="111">
        <f>G1428*AP1428</f>
      </c>
      <c r="AY1428" s="153" t="s">
        <v>2278</v>
      </c>
      <c r="AZ1428" s="153" t="s">
        <v>1999</v>
      </c>
      <c r="BA1428" s="132" t="s">
        <v>137</v>
      </c>
      <c r="BC1428" s="111">
        <f>AW1428+AX1428</f>
      </c>
      <c r="BD1428" s="111">
        <f>H1428/(100-BE1428)*100</f>
      </c>
      <c r="BE1428" s="111" t="n">
        <v>0</v>
      </c>
      <c r="BF1428" s="111">
        <f>1428</f>
      </c>
      <c r="BH1428" s="111">
        <f>G1428*AO1428</f>
      </c>
      <c r="BI1428" s="111">
        <f>G1428*AP1428</f>
      </c>
      <c r="BJ1428" s="111">
        <f>G1428*H1428</f>
      </c>
      <c r="BK1428" s="111"/>
      <c r="BL1428" s="111" t="n">
        <v>767</v>
      </c>
      <c r="BW1428" s="111" t="n">
        <v>21</v>
      </c>
      <c r="BX1428" s="14" t="s">
        <v>2331</v>
      </c>
    </row>
    <row r="1429" customHeight="true" ht="13.5">
      <c r="A1429" s="159"/>
      <c r="C1429" s="160" t="s">
        <v>146</v>
      </c>
      <c r="D1429" s="161" t="s">
        <v>2279</v>
      </c>
      <c r="E1429" s="156"/>
      <c r="F1429" s="156"/>
      <c r="G1429" s="156"/>
      <c r="H1429" s="162"/>
      <c r="I1429" s="156"/>
      <c r="J1429" s="156"/>
      <c r="K1429" s="163"/>
    </row>
    <row r="1430">
      <c r="A1430" s="154"/>
      <c r="B1430" s="155"/>
      <c r="C1430" s="155"/>
      <c r="D1430" s="156" t="s">
        <v>130</v>
      </c>
      <c r="E1430" s="156" t="s">
        <v>2332</v>
      </c>
      <c r="F1430" s="155"/>
      <c r="G1430" s="157" t="n">
        <v>1</v>
      </c>
      <c r="H1430" s="158"/>
      <c r="I1430" s="155"/>
      <c r="J1430" s="155"/>
      <c r="K1430" s="146"/>
    </row>
    <row r="1431">
      <c r="A1431" s="9" t="s">
        <v>2333</v>
      </c>
      <c r="B1431" s="10" t="s">
        <v>84</v>
      </c>
      <c r="C1431" s="10" t="s">
        <v>2334</v>
      </c>
      <c r="D1431" s="14" t="s">
        <v>2335</v>
      </c>
      <c r="E1431" s="10"/>
      <c r="F1431" s="10" t="s">
        <v>2277</v>
      </c>
      <c r="G1431" s="111" t="n">
        <v>2</v>
      </c>
      <c r="H1431" s="152" t="n">
        <v>0</v>
      </c>
      <c r="I1431" s="111">
        <f>G1431*H1431</f>
      </c>
      <c r="J1431" s="153" t="s">
        <v>134</v>
      </c>
      <c r="K1431" s="146"/>
      <c r="Z1431" s="111">
        <f>IF(AQ1431="5",BJ1431,0)</f>
      </c>
      <c r="AB1431" s="111">
        <f>IF(AQ1431="1",BH1431,0)</f>
      </c>
      <c r="AC1431" s="111">
        <f>IF(AQ1431="1",BI1431,0)</f>
      </c>
      <c r="AD1431" s="111">
        <f>IF(AQ1431="7",BH1431,0)</f>
      </c>
      <c r="AE1431" s="111">
        <f>IF(AQ1431="7",BI1431,0)</f>
      </c>
      <c r="AF1431" s="111">
        <f>IF(AQ1431="2",BH1431,0)</f>
      </c>
      <c r="AG1431" s="111">
        <f>IF(AQ1431="2",BI1431,0)</f>
      </c>
      <c r="AH1431" s="111">
        <f>IF(AQ1431="0",BJ1431,0)</f>
      </c>
      <c r="AI1431" s="132" t="s">
        <v>84</v>
      </c>
      <c r="AJ1431" s="111">
        <f>IF(AN1431=0,I1431,0)</f>
      </c>
      <c r="AK1431" s="111">
        <f>IF(AN1431=12,I1431,0)</f>
      </c>
      <c r="AL1431" s="111">
        <f>IF(AN1431=21,I1431,0)</f>
      </c>
      <c r="AN1431" s="111" t="n">
        <v>21</v>
      </c>
      <c r="AO1431" s="111">
        <f>H1431*0.003024348</f>
      </c>
      <c r="AP1431" s="111">
        <f>H1431*(1-0.003024348)</f>
      </c>
      <c r="AQ1431" s="153" t="s">
        <v>173</v>
      </c>
      <c r="AV1431" s="111">
        <f>AW1431+AX1431</f>
      </c>
      <c r="AW1431" s="111">
        <f>G1431*AO1431</f>
      </c>
      <c r="AX1431" s="111">
        <f>G1431*AP1431</f>
      </c>
      <c r="AY1431" s="153" t="s">
        <v>2278</v>
      </c>
      <c r="AZ1431" s="153" t="s">
        <v>1999</v>
      </c>
      <c r="BA1431" s="132" t="s">
        <v>137</v>
      </c>
      <c r="BC1431" s="111">
        <f>AW1431+AX1431</f>
      </c>
      <c r="BD1431" s="111">
        <f>H1431/(100-BE1431)*100</f>
      </c>
      <c r="BE1431" s="111" t="n">
        <v>0</v>
      </c>
      <c r="BF1431" s="111">
        <f>1431</f>
      </c>
      <c r="BH1431" s="111">
        <f>G1431*AO1431</f>
      </c>
      <c r="BI1431" s="111">
        <f>G1431*AP1431</f>
      </c>
      <c r="BJ1431" s="111">
        <f>G1431*H1431</f>
      </c>
      <c r="BK1431" s="111"/>
      <c r="BL1431" s="111" t="n">
        <v>767</v>
      </c>
      <c r="BW1431" s="111" t="n">
        <v>21</v>
      </c>
      <c r="BX1431" s="14" t="s">
        <v>2335</v>
      </c>
    </row>
    <row r="1432" customHeight="true" ht="13.5">
      <c r="A1432" s="159"/>
      <c r="C1432" s="160" t="s">
        <v>146</v>
      </c>
      <c r="D1432" s="161" t="s">
        <v>2279</v>
      </c>
      <c r="E1432" s="156"/>
      <c r="F1432" s="156"/>
      <c r="G1432" s="156"/>
      <c r="H1432" s="162"/>
      <c r="I1432" s="156"/>
      <c r="J1432" s="156"/>
      <c r="K1432" s="163"/>
    </row>
    <row r="1433">
      <c r="A1433" s="154"/>
      <c r="B1433" s="155"/>
      <c r="C1433" s="155"/>
      <c r="D1433" s="156" t="s">
        <v>140</v>
      </c>
      <c r="E1433" s="156" t="s">
        <v>2336</v>
      </c>
      <c r="F1433" s="155"/>
      <c r="G1433" s="157" t="n">
        <v>2</v>
      </c>
      <c r="H1433" s="158"/>
      <c r="I1433" s="155"/>
      <c r="J1433" s="155"/>
      <c r="K1433" s="146"/>
    </row>
    <row r="1434">
      <c r="A1434" s="9" t="s">
        <v>2337</v>
      </c>
      <c r="B1434" s="10" t="s">
        <v>84</v>
      </c>
      <c r="C1434" s="10" t="s">
        <v>2338</v>
      </c>
      <c r="D1434" s="14" t="s">
        <v>2339</v>
      </c>
      <c r="E1434" s="10"/>
      <c r="F1434" s="10" t="s">
        <v>2277</v>
      </c>
      <c r="G1434" s="111" t="n">
        <v>2</v>
      </c>
      <c r="H1434" s="152" t="n">
        <v>0</v>
      </c>
      <c r="I1434" s="111">
        <f>G1434*H1434</f>
      </c>
      <c r="J1434" s="153" t="s">
        <v>134</v>
      </c>
      <c r="K1434" s="146"/>
      <c r="Z1434" s="111">
        <f>IF(AQ1434="5",BJ1434,0)</f>
      </c>
      <c r="AB1434" s="111">
        <f>IF(AQ1434="1",BH1434,0)</f>
      </c>
      <c r="AC1434" s="111">
        <f>IF(AQ1434="1",BI1434,0)</f>
      </c>
      <c r="AD1434" s="111">
        <f>IF(AQ1434="7",BH1434,0)</f>
      </c>
      <c r="AE1434" s="111">
        <f>IF(AQ1434="7",BI1434,0)</f>
      </c>
      <c r="AF1434" s="111">
        <f>IF(AQ1434="2",BH1434,0)</f>
      </c>
      <c r="AG1434" s="111">
        <f>IF(AQ1434="2",BI1434,0)</f>
      </c>
      <c r="AH1434" s="111">
        <f>IF(AQ1434="0",BJ1434,0)</f>
      </c>
      <c r="AI1434" s="132" t="s">
        <v>84</v>
      </c>
      <c r="AJ1434" s="111">
        <f>IF(AN1434=0,I1434,0)</f>
      </c>
      <c r="AK1434" s="111">
        <f>IF(AN1434=12,I1434,0)</f>
      </c>
      <c r="AL1434" s="111">
        <f>IF(AN1434=21,I1434,0)</f>
      </c>
      <c r="AN1434" s="111" t="n">
        <v>21</v>
      </c>
      <c r="AO1434" s="111">
        <f>H1434*0.003024348</f>
      </c>
      <c r="AP1434" s="111">
        <f>H1434*(1-0.003024348)</f>
      </c>
      <c r="AQ1434" s="153" t="s">
        <v>173</v>
      </c>
      <c r="AV1434" s="111">
        <f>AW1434+AX1434</f>
      </c>
      <c r="AW1434" s="111">
        <f>G1434*AO1434</f>
      </c>
      <c r="AX1434" s="111">
        <f>G1434*AP1434</f>
      </c>
      <c r="AY1434" s="153" t="s">
        <v>2278</v>
      </c>
      <c r="AZ1434" s="153" t="s">
        <v>1999</v>
      </c>
      <c r="BA1434" s="132" t="s">
        <v>137</v>
      </c>
      <c r="BC1434" s="111">
        <f>AW1434+AX1434</f>
      </c>
      <c r="BD1434" s="111">
        <f>H1434/(100-BE1434)*100</f>
      </c>
      <c r="BE1434" s="111" t="n">
        <v>0</v>
      </c>
      <c r="BF1434" s="111">
        <f>1434</f>
      </c>
      <c r="BH1434" s="111">
        <f>G1434*AO1434</f>
      </c>
      <c r="BI1434" s="111">
        <f>G1434*AP1434</f>
      </c>
      <c r="BJ1434" s="111">
        <f>G1434*H1434</f>
      </c>
      <c r="BK1434" s="111"/>
      <c r="BL1434" s="111" t="n">
        <v>767</v>
      </c>
      <c r="BW1434" s="111" t="n">
        <v>21</v>
      </c>
      <c r="BX1434" s="14" t="s">
        <v>2339</v>
      </c>
    </row>
    <row r="1435" customHeight="true" ht="13.5">
      <c r="A1435" s="159"/>
      <c r="C1435" s="160" t="s">
        <v>146</v>
      </c>
      <c r="D1435" s="161" t="s">
        <v>2279</v>
      </c>
      <c r="E1435" s="156"/>
      <c r="F1435" s="156"/>
      <c r="G1435" s="156"/>
      <c r="H1435" s="162"/>
      <c r="I1435" s="156"/>
      <c r="J1435" s="156"/>
      <c r="K1435" s="163"/>
    </row>
    <row r="1436">
      <c r="A1436" s="154"/>
      <c r="B1436" s="155"/>
      <c r="C1436" s="155"/>
      <c r="D1436" s="156" t="s">
        <v>140</v>
      </c>
      <c r="E1436" s="156" t="s">
        <v>2340</v>
      </c>
      <c r="F1436" s="155"/>
      <c r="G1436" s="157" t="n">
        <v>2</v>
      </c>
      <c r="H1436" s="158"/>
      <c r="I1436" s="155"/>
      <c r="J1436" s="155"/>
      <c r="K1436" s="146"/>
    </row>
    <row r="1437">
      <c r="A1437" s="9" t="s">
        <v>2341</v>
      </c>
      <c r="B1437" s="10" t="s">
        <v>84</v>
      </c>
      <c r="C1437" s="10" t="s">
        <v>2342</v>
      </c>
      <c r="D1437" s="14" t="s">
        <v>2343</v>
      </c>
      <c r="E1437" s="10"/>
      <c r="F1437" s="10" t="s">
        <v>2277</v>
      </c>
      <c r="G1437" s="111" t="n">
        <v>1</v>
      </c>
      <c r="H1437" s="152" t="n">
        <v>0</v>
      </c>
      <c r="I1437" s="111">
        <f>G1437*H1437</f>
      </c>
      <c r="J1437" s="153" t="s">
        <v>134</v>
      </c>
      <c r="K1437" s="146"/>
      <c r="Z1437" s="111">
        <f>IF(AQ1437="5",BJ1437,0)</f>
      </c>
      <c r="AB1437" s="111">
        <f>IF(AQ1437="1",BH1437,0)</f>
      </c>
      <c r="AC1437" s="111">
        <f>IF(AQ1437="1",BI1437,0)</f>
      </c>
      <c r="AD1437" s="111">
        <f>IF(AQ1437="7",BH1437,0)</f>
      </c>
      <c r="AE1437" s="111">
        <f>IF(AQ1437="7",BI1437,0)</f>
      </c>
      <c r="AF1437" s="111">
        <f>IF(AQ1437="2",BH1437,0)</f>
      </c>
      <c r="AG1437" s="111">
        <f>IF(AQ1437="2",BI1437,0)</f>
      </c>
      <c r="AH1437" s="111">
        <f>IF(AQ1437="0",BJ1437,0)</f>
      </c>
      <c r="AI1437" s="132" t="s">
        <v>84</v>
      </c>
      <c r="AJ1437" s="111">
        <f>IF(AN1437=0,I1437,0)</f>
      </c>
      <c r="AK1437" s="111">
        <f>IF(AN1437=12,I1437,0)</f>
      </c>
      <c r="AL1437" s="111">
        <f>IF(AN1437=21,I1437,0)</f>
      </c>
      <c r="AN1437" s="111" t="n">
        <v>21</v>
      </c>
      <c r="AO1437" s="111">
        <f>H1437*0.003024545</f>
      </c>
      <c r="AP1437" s="111">
        <f>H1437*(1-0.003024545)</f>
      </c>
      <c r="AQ1437" s="153" t="s">
        <v>173</v>
      </c>
      <c r="AV1437" s="111">
        <f>AW1437+AX1437</f>
      </c>
      <c r="AW1437" s="111">
        <f>G1437*AO1437</f>
      </c>
      <c r="AX1437" s="111">
        <f>G1437*AP1437</f>
      </c>
      <c r="AY1437" s="153" t="s">
        <v>2278</v>
      </c>
      <c r="AZ1437" s="153" t="s">
        <v>1999</v>
      </c>
      <c r="BA1437" s="132" t="s">
        <v>137</v>
      </c>
      <c r="BC1437" s="111">
        <f>AW1437+AX1437</f>
      </c>
      <c r="BD1437" s="111">
        <f>H1437/(100-BE1437)*100</f>
      </c>
      <c r="BE1437" s="111" t="n">
        <v>0</v>
      </c>
      <c r="BF1437" s="111">
        <f>1437</f>
      </c>
      <c r="BH1437" s="111">
        <f>G1437*AO1437</f>
      </c>
      <c r="BI1437" s="111">
        <f>G1437*AP1437</f>
      </c>
      <c r="BJ1437" s="111">
        <f>G1437*H1437</f>
      </c>
      <c r="BK1437" s="111"/>
      <c r="BL1437" s="111" t="n">
        <v>767</v>
      </c>
      <c r="BW1437" s="111" t="n">
        <v>21</v>
      </c>
      <c r="BX1437" s="14" t="s">
        <v>2343</v>
      </c>
    </row>
    <row r="1438" customHeight="true" ht="13.5">
      <c r="A1438" s="159"/>
      <c r="C1438" s="160" t="s">
        <v>146</v>
      </c>
      <c r="D1438" s="161" t="s">
        <v>2279</v>
      </c>
      <c r="E1438" s="156"/>
      <c r="F1438" s="156"/>
      <c r="G1438" s="156"/>
      <c r="H1438" s="162"/>
      <c r="I1438" s="156"/>
      <c r="J1438" s="156"/>
      <c r="K1438" s="163"/>
    </row>
    <row r="1439">
      <c r="A1439" s="154"/>
      <c r="B1439" s="155"/>
      <c r="C1439" s="155"/>
      <c r="D1439" s="156" t="s">
        <v>130</v>
      </c>
      <c r="E1439" s="156" t="s">
        <v>2344</v>
      </c>
      <c r="F1439" s="155"/>
      <c r="G1439" s="157" t="n">
        <v>1</v>
      </c>
      <c r="H1439" s="158"/>
      <c r="I1439" s="155"/>
      <c r="J1439" s="155"/>
      <c r="K1439" s="146"/>
    </row>
    <row r="1440">
      <c r="A1440" s="9" t="s">
        <v>2345</v>
      </c>
      <c r="B1440" s="10" t="s">
        <v>84</v>
      </c>
      <c r="C1440" s="10" t="s">
        <v>2346</v>
      </c>
      <c r="D1440" s="14" t="s">
        <v>2347</v>
      </c>
      <c r="E1440" s="10"/>
      <c r="F1440" s="10" t="s">
        <v>2277</v>
      </c>
      <c r="G1440" s="111" t="n">
        <v>1</v>
      </c>
      <c r="H1440" s="152" t="n">
        <v>0</v>
      </c>
      <c r="I1440" s="111">
        <f>G1440*H1440</f>
      </c>
      <c r="J1440" s="153" t="s">
        <v>134</v>
      </c>
      <c r="K1440" s="146"/>
      <c r="Z1440" s="111">
        <f>IF(AQ1440="5",BJ1440,0)</f>
      </c>
      <c r="AB1440" s="111">
        <f>IF(AQ1440="1",BH1440,0)</f>
      </c>
      <c r="AC1440" s="111">
        <f>IF(AQ1440="1",BI1440,0)</f>
      </c>
      <c r="AD1440" s="111">
        <f>IF(AQ1440="7",BH1440,0)</f>
      </c>
      <c r="AE1440" s="111">
        <f>IF(AQ1440="7",BI1440,0)</f>
      </c>
      <c r="AF1440" s="111">
        <f>IF(AQ1440="2",BH1440,0)</f>
      </c>
      <c r="AG1440" s="111">
        <f>IF(AQ1440="2",BI1440,0)</f>
      </c>
      <c r="AH1440" s="111">
        <f>IF(AQ1440="0",BJ1440,0)</f>
      </c>
      <c r="AI1440" s="132" t="s">
        <v>84</v>
      </c>
      <c r="AJ1440" s="111">
        <f>IF(AN1440=0,I1440,0)</f>
      </c>
      <c r="AK1440" s="111">
        <f>IF(AN1440=12,I1440,0)</f>
      </c>
      <c r="AL1440" s="111">
        <f>IF(AN1440=21,I1440,0)</f>
      </c>
      <c r="AN1440" s="111" t="n">
        <v>21</v>
      </c>
      <c r="AO1440" s="111">
        <f>H1440*0.003024423</f>
      </c>
      <c r="AP1440" s="111">
        <f>H1440*(1-0.003024423)</f>
      </c>
      <c r="AQ1440" s="153" t="s">
        <v>173</v>
      </c>
      <c r="AV1440" s="111">
        <f>AW1440+AX1440</f>
      </c>
      <c r="AW1440" s="111">
        <f>G1440*AO1440</f>
      </c>
      <c r="AX1440" s="111">
        <f>G1440*AP1440</f>
      </c>
      <c r="AY1440" s="153" t="s">
        <v>2278</v>
      </c>
      <c r="AZ1440" s="153" t="s">
        <v>1999</v>
      </c>
      <c r="BA1440" s="132" t="s">
        <v>137</v>
      </c>
      <c r="BC1440" s="111">
        <f>AW1440+AX1440</f>
      </c>
      <c r="BD1440" s="111">
        <f>H1440/(100-BE1440)*100</f>
      </c>
      <c r="BE1440" s="111" t="n">
        <v>0</v>
      </c>
      <c r="BF1440" s="111">
        <f>1440</f>
      </c>
      <c r="BH1440" s="111">
        <f>G1440*AO1440</f>
      </c>
      <c r="BI1440" s="111">
        <f>G1440*AP1440</f>
      </c>
      <c r="BJ1440" s="111">
        <f>G1440*H1440</f>
      </c>
      <c r="BK1440" s="111"/>
      <c r="BL1440" s="111" t="n">
        <v>767</v>
      </c>
      <c r="BW1440" s="111" t="n">
        <v>21</v>
      </c>
      <c r="BX1440" s="14" t="s">
        <v>2347</v>
      </c>
    </row>
    <row r="1441" customHeight="true" ht="13.5">
      <c r="A1441" s="159"/>
      <c r="C1441" s="160" t="s">
        <v>146</v>
      </c>
      <c r="D1441" s="161" t="s">
        <v>2279</v>
      </c>
      <c r="E1441" s="156"/>
      <c r="F1441" s="156"/>
      <c r="G1441" s="156"/>
      <c r="H1441" s="162"/>
      <c r="I1441" s="156"/>
      <c r="J1441" s="156"/>
      <c r="K1441" s="163"/>
    </row>
    <row r="1442">
      <c r="A1442" s="154"/>
      <c r="B1442" s="155"/>
      <c r="C1442" s="155"/>
      <c r="D1442" s="156" t="s">
        <v>130</v>
      </c>
      <c r="E1442" s="156" t="s">
        <v>2348</v>
      </c>
      <c r="F1442" s="155"/>
      <c r="G1442" s="157" t="n">
        <v>1</v>
      </c>
      <c r="H1442" s="158"/>
      <c r="I1442" s="155"/>
      <c r="J1442" s="155"/>
      <c r="K1442" s="146"/>
    </row>
    <row r="1443">
      <c r="A1443" s="9" t="s">
        <v>2349</v>
      </c>
      <c r="B1443" s="10" t="s">
        <v>84</v>
      </c>
      <c r="C1443" s="10" t="s">
        <v>2350</v>
      </c>
      <c r="D1443" s="14" t="s">
        <v>2351</v>
      </c>
      <c r="E1443" s="10"/>
      <c r="F1443" s="10" t="s">
        <v>2277</v>
      </c>
      <c r="G1443" s="111" t="n">
        <v>5</v>
      </c>
      <c r="H1443" s="152" t="n">
        <v>0</v>
      </c>
      <c r="I1443" s="111">
        <f>G1443*H1443</f>
      </c>
      <c r="J1443" s="153" t="s">
        <v>134</v>
      </c>
      <c r="K1443" s="146"/>
      <c r="Z1443" s="111">
        <f>IF(AQ1443="5",BJ1443,0)</f>
      </c>
      <c r="AB1443" s="111">
        <f>IF(AQ1443="1",BH1443,0)</f>
      </c>
      <c r="AC1443" s="111">
        <f>IF(AQ1443="1",BI1443,0)</f>
      </c>
      <c r="AD1443" s="111">
        <f>IF(AQ1443="7",BH1443,0)</f>
      </c>
      <c r="AE1443" s="111">
        <f>IF(AQ1443="7",BI1443,0)</f>
      </c>
      <c r="AF1443" s="111">
        <f>IF(AQ1443="2",BH1443,0)</f>
      </c>
      <c r="AG1443" s="111">
        <f>IF(AQ1443="2",BI1443,0)</f>
      </c>
      <c r="AH1443" s="111">
        <f>IF(AQ1443="0",BJ1443,0)</f>
      </c>
      <c r="AI1443" s="132" t="s">
        <v>84</v>
      </c>
      <c r="AJ1443" s="111">
        <f>IF(AN1443=0,I1443,0)</f>
      </c>
      <c r="AK1443" s="111">
        <f>IF(AN1443=12,I1443,0)</f>
      </c>
      <c r="AL1443" s="111">
        <f>IF(AN1443=21,I1443,0)</f>
      </c>
      <c r="AN1443" s="111" t="n">
        <v>21</v>
      </c>
      <c r="AO1443" s="111">
        <f>H1443*0.00302449</f>
      </c>
      <c r="AP1443" s="111">
        <f>H1443*(1-0.00302449)</f>
      </c>
      <c r="AQ1443" s="153" t="s">
        <v>173</v>
      </c>
      <c r="AV1443" s="111">
        <f>AW1443+AX1443</f>
      </c>
      <c r="AW1443" s="111">
        <f>G1443*AO1443</f>
      </c>
      <c r="AX1443" s="111">
        <f>G1443*AP1443</f>
      </c>
      <c r="AY1443" s="153" t="s">
        <v>2278</v>
      </c>
      <c r="AZ1443" s="153" t="s">
        <v>1999</v>
      </c>
      <c r="BA1443" s="132" t="s">
        <v>137</v>
      </c>
      <c r="BC1443" s="111">
        <f>AW1443+AX1443</f>
      </c>
      <c r="BD1443" s="111">
        <f>H1443/(100-BE1443)*100</f>
      </c>
      <c r="BE1443" s="111" t="n">
        <v>0</v>
      </c>
      <c r="BF1443" s="111">
        <f>1443</f>
      </c>
      <c r="BH1443" s="111">
        <f>G1443*AO1443</f>
      </c>
      <c r="BI1443" s="111">
        <f>G1443*AP1443</f>
      </c>
      <c r="BJ1443" s="111">
        <f>G1443*H1443</f>
      </c>
      <c r="BK1443" s="111"/>
      <c r="BL1443" s="111" t="n">
        <v>767</v>
      </c>
      <c r="BW1443" s="111" t="n">
        <v>21</v>
      </c>
      <c r="BX1443" s="14" t="s">
        <v>2351</v>
      </c>
    </row>
    <row r="1444" customHeight="true" ht="13.5">
      <c r="A1444" s="159"/>
      <c r="C1444" s="160" t="s">
        <v>146</v>
      </c>
      <c r="D1444" s="161" t="s">
        <v>2279</v>
      </c>
      <c r="E1444" s="156"/>
      <c r="F1444" s="156"/>
      <c r="G1444" s="156"/>
      <c r="H1444" s="162"/>
      <c r="I1444" s="156"/>
      <c r="J1444" s="156"/>
      <c r="K1444" s="163"/>
    </row>
    <row r="1445">
      <c r="A1445" s="154"/>
      <c r="B1445" s="155"/>
      <c r="C1445" s="155"/>
      <c r="D1445" s="156" t="s">
        <v>156</v>
      </c>
      <c r="E1445" s="156" t="s">
        <v>2352</v>
      </c>
      <c r="F1445" s="155"/>
      <c r="G1445" s="157" t="n">
        <v>5</v>
      </c>
      <c r="H1445" s="158"/>
      <c r="I1445" s="155"/>
      <c r="J1445" s="155"/>
      <c r="K1445" s="146"/>
    </row>
    <row r="1446">
      <c r="A1446" s="9" t="s">
        <v>2353</v>
      </c>
      <c r="B1446" s="10" t="s">
        <v>84</v>
      </c>
      <c r="C1446" s="10" t="s">
        <v>2354</v>
      </c>
      <c r="D1446" s="14" t="s">
        <v>2355</v>
      </c>
      <c r="E1446" s="10"/>
      <c r="F1446" s="10" t="s">
        <v>2277</v>
      </c>
      <c r="G1446" s="111" t="n">
        <v>4</v>
      </c>
      <c r="H1446" s="152" t="n">
        <v>0</v>
      </c>
      <c r="I1446" s="111">
        <f>G1446*H1446</f>
      </c>
      <c r="J1446" s="153" t="s">
        <v>134</v>
      </c>
      <c r="K1446" s="146"/>
      <c r="Z1446" s="111">
        <f>IF(AQ1446="5",BJ1446,0)</f>
      </c>
      <c r="AB1446" s="111">
        <f>IF(AQ1446="1",BH1446,0)</f>
      </c>
      <c r="AC1446" s="111">
        <f>IF(AQ1446="1",BI1446,0)</f>
      </c>
      <c r="AD1446" s="111">
        <f>IF(AQ1446="7",BH1446,0)</f>
      </c>
      <c r="AE1446" s="111">
        <f>IF(AQ1446="7",BI1446,0)</f>
      </c>
      <c r="AF1446" s="111">
        <f>IF(AQ1446="2",BH1446,0)</f>
      </c>
      <c r="AG1446" s="111">
        <f>IF(AQ1446="2",BI1446,0)</f>
      </c>
      <c r="AH1446" s="111">
        <f>IF(AQ1446="0",BJ1446,0)</f>
      </c>
      <c r="AI1446" s="132" t="s">
        <v>84</v>
      </c>
      <c r="AJ1446" s="111">
        <f>IF(AN1446=0,I1446,0)</f>
      </c>
      <c r="AK1446" s="111">
        <f>IF(AN1446=12,I1446,0)</f>
      </c>
      <c r="AL1446" s="111">
        <f>IF(AN1446=21,I1446,0)</f>
      </c>
      <c r="AN1446" s="111" t="n">
        <v>21</v>
      </c>
      <c r="AO1446" s="111">
        <f>H1446*0.003024615</f>
      </c>
      <c r="AP1446" s="111">
        <f>H1446*(1-0.003024615)</f>
      </c>
      <c r="AQ1446" s="153" t="s">
        <v>173</v>
      </c>
      <c r="AV1446" s="111">
        <f>AW1446+AX1446</f>
      </c>
      <c r="AW1446" s="111">
        <f>G1446*AO1446</f>
      </c>
      <c r="AX1446" s="111">
        <f>G1446*AP1446</f>
      </c>
      <c r="AY1446" s="153" t="s">
        <v>2278</v>
      </c>
      <c r="AZ1446" s="153" t="s">
        <v>1999</v>
      </c>
      <c r="BA1446" s="132" t="s">
        <v>137</v>
      </c>
      <c r="BC1446" s="111">
        <f>AW1446+AX1446</f>
      </c>
      <c r="BD1446" s="111">
        <f>H1446/(100-BE1446)*100</f>
      </c>
      <c r="BE1446" s="111" t="n">
        <v>0</v>
      </c>
      <c r="BF1446" s="111">
        <f>1446</f>
      </c>
      <c r="BH1446" s="111">
        <f>G1446*AO1446</f>
      </c>
      <c r="BI1446" s="111">
        <f>G1446*AP1446</f>
      </c>
      <c r="BJ1446" s="111">
        <f>G1446*H1446</f>
      </c>
      <c r="BK1446" s="111"/>
      <c r="BL1446" s="111" t="n">
        <v>767</v>
      </c>
      <c r="BW1446" s="111" t="n">
        <v>21</v>
      </c>
      <c r="BX1446" s="14" t="s">
        <v>2355</v>
      </c>
    </row>
    <row r="1447" customHeight="true" ht="13.5">
      <c r="A1447" s="159"/>
      <c r="C1447" s="160" t="s">
        <v>146</v>
      </c>
      <c r="D1447" s="161" t="s">
        <v>2279</v>
      </c>
      <c r="E1447" s="156"/>
      <c r="F1447" s="156"/>
      <c r="G1447" s="156"/>
      <c r="H1447" s="162"/>
      <c r="I1447" s="156"/>
      <c r="J1447" s="156"/>
      <c r="K1447" s="163"/>
    </row>
    <row r="1448">
      <c r="A1448" s="154"/>
      <c r="B1448" s="155"/>
      <c r="C1448" s="155"/>
      <c r="D1448" s="156" t="s">
        <v>149</v>
      </c>
      <c r="E1448" s="156" t="s">
        <v>2356</v>
      </c>
      <c r="F1448" s="155"/>
      <c r="G1448" s="157" t="n">
        <v>4</v>
      </c>
      <c r="H1448" s="158"/>
      <c r="I1448" s="155"/>
      <c r="J1448" s="155"/>
      <c r="K1448" s="146"/>
    </row>
    <row r="1449">
      <c r="A1449" s="9" t="s">
        <v>2357</v>
      </c>
      <c r="B1449" s="10" t="s">
        <v>84</v>
      </c>
      <c r="C1449" s="10" t="s">
        <v>2358</v>
      </c>
      <c r="D1449" s="14" t="s">
        <v>2359</v>
      </c>
      <c r="E1449" s="10"/>
      <c r="F1449" s="10" t="s">
        <v>2277</v>
      </c>
      <c r="G1449" s="111" t="n">
        <v>2</v>
      </c>
      <c r="H1449" s="152" t="n">
        <v>0</v>
      </c>
      <c r="I1449" s="111">
        <f>G1449*H1449</f>
      </c>
      <c r="J1449" s="153" t="s">
        <v>134</v>
      </c>
      <c r="K1449" s="146"/>
      <c r="Z1449" s="111">
        <f>IF(AQ1449="5",BJ1449,0)</f>
      </c>
      <c r="AB1449" s="111">
        <f>IF(AQ1449="1",BH1449,0)</f>
      </c>
      <c r="AC1449" s="111">
        <f>IF(AQ1449="1",BI1449,0)</f>
      </c>
      <c r="AD1449" s="111">
        <f>IF(AQ1449="7",BH1449,0)</f>
      </c>
      <c r="AE1449" s="111">
        <f>IF(AQ1449="7",BI1449,0)</f>
      </c>
      <c r="AF1449" s="111">
        <f>IF(AQ1449="2",BH1449,0)</f>
      </c>
      <c r="AG1449" s="111">
        <f>IF(AQ1449="2",BI1449,0)</f>
      </c>
      <c r="AH1449" s="111">
        <f>IF(AQ1449="0",BJ1449,0)</f>
      </c>
      <c r="AI1449" s="132" t="s">
        <v>84</v>
      </c>
      <c r="AJ1449" s="111">
        <f>IF(AN1449=0,I1449,0)</f>
      </c>
      <c r="AK1449" s="111">
        <f>IF(AN1449=12,I1449,0)</f>
      </c>
      <c r="AL1449" s="111">
        <f>IF(AN1449=21,I1449,0)</f>
      </c>
      <c r="AN1449" s="111" t="n">
        <v>21</v>
      </c>
      <c r="AO1449" s="111">
        <f>H1449*0.003024308</f>
      </c>
      <c r="AP1449" s="111">
        <f>H1449*(1-0.003024308)</f>
      </c>
      <c r="AQ1449" s="153" t="s">
        <v>173</v>
      </c>
      <c r="AV1449" s="111">
        <f>AW1449+AX1449</f>
      </c>
      <c r="AW1449" s="111">
        <f>G1449*AO1449</f>
      </c>
      <c r="AX1449" s="111">
        <f>G1449*AP1449</f>
      </c>
      <c r="AY1449" s="153" t="s">
        <v>2278</v>
      </c>
      <c r="AZ1449" s="153" t="s">
        <v>1999</v>
      </c>
      <c r="BA1449" s="132" t="s">
        <v>137</v>
      </c>
      <c r="BC1449" s="111">
        <f>AW1449+AX1449</f>
      </c>
      <c r="BD1449" s="111">
        <f>H1449/(100-BE1449)*100</f>
      </c>
      <c r="BE1449" s="111" t="n">
        <v>0</v>
      </c>
      <c r="BF1449" s="111">
        <f>1449</f>
      </c>
      <c r="BH1449" s="111">
        <f>G1449*AO1449</f>
      </c>
      <c r="BI1449" s="111">
        <f>G1449*AP1449</f>
      </c>
      <c r="BJ1449" s="111">
        <f>G1449*H1449</f>
      </c>
      <c r="BK1449" s="111"/>
      <c r="BL1449" s="111" t="n">
        <v>767</v>
      </c>
      <c r="BW1449" s="111" t="n">
        <v>21</v>
      </c>
      <c r="BX1449" s="14" t="s">
        <v>2359</v>
      </c>
    </row>
    <row r="1450" customHeight="true" ht="13.5">
      <c r="A1450" s="159"/>
      <c r="C1450" s="160" t="s">
        <v>146</v>
      </c>
      <c r="D1450" s="161" t="s">
        <v>2279</v>
      </c>
      <c r="E1450" s="156"/>
      <c r="F1450" s="156"/>
      <c r="G1450" s="156"/>
      <c r="H1450" s="162"/>
      <c r="I1450" s="156"/>
      <c r="J1450" s="156"/>
      <c r="K1450" s="163"/>
    </row>
    <row r="1451">
      <c r="A1451" s="154"/>
      <c r="B1451" s="155"/>
      <c r="C1451" s="155"/>
      <c r="D1451" s="156" t="s">
        <v>140</v>
      </c>
      <c r="E1451" s="156" t="s">
        <v>2360</v>
      </c>
      <c r="F1451" s="155"/>
      <c r="G1451" s="157" t="n">
        <v>2</v>
      </c>
      <c r="H1451" s="158"/>
      <c r="I1451" s="155"/>
      <c r="J1451" s="155"/>
      <c r="K1451" s="146"/>
    </row>
    <row r="1452">
      <c r="A1452" s="9" t="s">
        <v>2361</v>
      </c>
      <c r="B1452" s="10" t="s">
        <v>84</v>
      </c>
      <c r="C1452" s="10" t="s">
        <v>2362</v>
      </c>
      <c r="D1452" s="14" t="s">
        <v>2363</v>
      </c>
      <c r="E1452" s="10"/>
      <c r="F1452" s="10" t="s">
        <v>2277</v>
      </c>
      <c r="G1452" s="111" t="n">
        <v>2</v>
      </c>
      <c r="H1452" s="152" t="n">
        <v>0</v>
      </c>
      <c r="I1452" s="111">
        <f>G1452*H1452</f>
      </c>
      <c r="J1452" s="153" t="s">
        <v>134</v>
      </c>
      <c r="K1452" s="146"/>
      <c r="Z1452" s="111">
        <f>IF(AQ1452="5",BJ1452,0)</f>
      </c>
      <c r="AB1452" s="111">
        <f>IF(AQ1452="1",BH1452,0)</f>
      </c>
      <c r="AC1452" s="111">
        <f>IF(AQ1452="1",BI1452,0)</f>
      </c>
      <c r="AD1452" s="111">
        <f>IF(AQ1452="7",BH1452,0)</f>
      </c>
      <c r="AE1452" s="111">
        <f>IF(AQ1452="7",BI1452,0)</f>
      </c>
      <c r="AF1452" s="111">
        <f>IF(AQ1452="2",BH1452,0)</f>
      </c>
      <c r="AG1452" s="111">
        <f>IF(AQ1452="2",BI1452,0)</f>
      </c>
      <c r="AH1452" s="111">
        <f>IF(AQ1452="0",BJ1452,0)</f>
      </c>
      <c r="AI1452" s="132" t="s">
        <v>84</v>
      </c>
      <c r="AJ1452" s="111">
        <f>IF(AN1452=0,I1452,0)</f>
      </c>
      <c r="AK1452" s="111">
        <f>IF(AN1452=12,I1452,0)</f>
      </c>
      <c r="AL1452" s="111">
        <f>IF(AN1452=21,I1452,0)</f>
      </c>
      <c r="AN1452" s="111" t="n">
        <v>21</v>
      </c>
      <c r="AO1452" s="111">
        <f>H1452*0.003024286</f>
      </c>
      <c r="AP1452" s="111">
        <f>H1452*(1-0.003024286)</f>
      </c>
      <c r="AQ1452" s="153" t="s">
        <v>173</v>
      </c>
      <c r="AV1452" s="111">
        <f>AW1452+AX1452</f>
      </c>
      <c r="AW1452" s="111">
        <f>G1452*AO1452</f>
      </c>
      <c r="AX1452" s="111">
        <f>G1452*AP1452</f>
      </c>
      <c r="AY1452" s="153" t="s">
        <v>2278</v>
      </c>
      <c r="AZ1452" s="153" t="s">
        <v>1999</v>
      </c>
      <c r="BA1452" s="132" t="s">
        <v>137</v>
      </c>
      <c r="BC1452" s="111">
        <f>AW1452+AX1452</f>
      </c>
      <c r="BD1452" s="111">
        <f>H1452/(100-BE1452)*100</f>
      </c>
      <c r="BE1452" s="111" t="n">
        <v>0</v>
      </c>
      <c r="BF1452" s="111">
        <f>1452</f>
      </c>
      <c r="BH1452" s="111">
        <f>G1452*AO1452</f>
      </c>
      <c r="BI1452" s="111">
        <f>G1452*AP1452</f>
      </c>
      <c r="BJ1452" s="111">
        <f>G1452*H1452</f>
      </c>
      <c r="BK1452" s="111"/>
      <c r="BL1452" s="111" t="n">
        <v>767</v>
      </c>
      <c r="BW1452" s="111" t="n">
        <v>21</v>
      </c>
      <c r="BX1452" s="14" t="s">
        <v>2363</v>
      </c>
    </row>
    <row r="1453" customHeight="true" ht="13.5">
      <c r="A1453" s="159"/>
      <c r="C1453" s="160" t="s">
        <v>146</v>
      </c>
      <c r="D1453" s="161" t="s">
        <v>2279</v>
      </c>
      <c r="E1453" s="156"/>
      <c r="F1453" s="156"/>
      <c r="G1453" s="156"/>
      <c r="H1453" s="162"/>
      <c r="I1453" s="156"/>
      <c r="J1453" s="156"/>
      <c r="K1453" s="163"/>
    </row>
    <row r="1454">
      <c r="A1454" s="154"/>
      <c r="B1454" s="155"/>
      <c r="C1454" s="155"/>
      <c r="D1454" s="156" t="s">
        <v>140</v>
      </c>
      <c r="E1454" s="156" t="s">
        <v>2364</v>
      </c>
      <c r="F1454" s="155"/>
      <c r="G1454" s="157" t="n">
        <v>2</v>
      </c>
      <c r="H1454" s="158"/>
      <c r="I1454" s="155"/>
      <c r="J1454" s="155"/>
      <c r="K1454" s="146"/>
    </row>
    <row r="1455">
      <c r="A1455" s="9" t="s">
        <v>2365</v>
      </c>
      <c r="B1455" s="10" t="s">
        <v>84</v>
      </c>
      <c r="C1455" s="10" t="s">
        <v>2366</v>
      </c>
      <c r="D1455" s="14" t="s">
        <v>2367</v>
      </c>
      <c r="E1455" s="10"/>
      <c r="F1455" s="10" t="s">
        <v>1421</v>
      </c>
      <c r="G1455" s="111" t="n">
        <v>8</v>
      </c>
      <c r="H1455" s="152" t="n">
        <v>0</v>
      </c>
      <c r="I1455" s="111">
        <f>G1455*H1455</f>
      </c>
      <c r="J1455" s="153" t="s">
        <v>134</v>
      </c>
      <c r="K1455" s="146"/>
      <c r="Z1455" s="111">
        <f>IF(AQ1455="5",BJ1455,0)</f>
      </c>
      <c r="AB1455" s="111">
        <f>IF(AQ1455="1",BH1455,0)</f>
      </c>
      <c r="AC1455" s="111">
        <f>IF(AQ1455="1",BI1455,0)</f>
      </c>
      <c r="AD1455" s="111">
        <f>IF(AQ1455="7",BH1455,0)</f>
      </c>
      <c r="AE1455" s="111">
        <f>IF(AQ1455="7",BI1455,0)</f>
      </c>
      <c r="AF1455" s="111">
        <f>IF(AQ1455="2",BH1455,0)</f>
      </c>
      <c r="AG1455" s="111">
        <f>IF(AQ1455="2",BI1455,0)</f>
      </c>
      <c r="AH1455" s="111">
        <f>IF(AQ1455="0",BJ1455,0)</f>
      </c>
      <c r="AI1455" s="132" t="s">
        <v>84</v>
      </c>
      <c r="AJ1455" s="111">
        <f>IF(AN1455=0,I1455,0)</f>
      </c>
      <c r="AK1455" s="111">
        <f>IF(AN1455=12,I1455,0)</f>
      </c>
      <c r="AL1455" s="111">
        <f>IF(AN1455=21,I1455,0)</f>
      </c>
      <c r="AN1455" s="111" t="n">
        <v>21</v>
      </c>
      <c r="AO1455" s="111">
        <f>H1455*0.003297946</f>
      </c>
      <c r="AP1455" s="111">
        <f>H1455*(1-0.003297946)</f>
      </c>
      <c r="AQ1455" s="153" t="s">
        <v>173</v>
      </c>
      <c r="AV1455" s="111">
        <f>AW1455+AX1455</f>
      </c>
      <c r="AW1455" s="111">
        <f>G1455*AO1455</f>
      </c>
      <c r="AX1455" s="111">
        <f>G1455*AP1455</f>
      </c>
      <c r="AY1455" s="153" t="s">
        <v>2278</v>
      </c>
      <c r="AZ1455" s="153" t="s">
        <v>1999</v>
      </c>
      <c r="BA1455" s="132" t="s">
        <v>137</v>
      </c>
      <c r="BC1455" s="111">
        <f>AW1455+AX1455</f>
      </c>
      <c r="BD1455" s="111">
        <f>H1455/(100-BE1455)*100</f>
      </c>
      <c r="BE1455" s="111" t="n">
        <v>0</v>
      </c>
      <c r="BF1455" s="111">
        <f>1455</f>
      </c>
      <c r="BH1455" s="111">
        <f>G1455*AO1455</f>
      </c>
      <c r="BI1455" s="111">
        <f>G1455*AP1455</f>
      </c>
      <c r="BJ1455" s="111">
        <f>G1455*H1455</f>
      </c>
      <c r="BK1455" s="111"/>
      <c r="BL1455" s="111" t="n">
        <v>767</v>
      </c>
      <c r="BW1455" s="111" t="n">
        <v>21</v>
      </c>
      <c r="BX1455" s="14" t="s">
        <v>2367</v>
      </c>
    </row>
    <row r="1456" customHeight="true" ht="13.5">
      <c r="A1456" s="159"/>
      <c r="C1456" s="160" t="s">
        <v>146</v>
      </c>
      <c r="D1456" s="161" t="s">
        <v>2368</v>
      </c>
      <c r="E1456" s="156"/>
      <c r="F1456" s="156"/>
      <c r="G1456" s="156"/>
      <c r="H1456" s="162"/>
      <c r="I1456" s="156"/>
      <c r="J1456" s="156"/>
      <c r="K1456" s="163"/>
    </row>
    <row r="1457">
      <c r="A1457" s="154"/>
      <c r="B1457" s="155"/>
      <c r="C1457" s="155"/>
      <c r="D1457" s="156" t="s">
        <v>176</v>
      </c>
      <c r="E1457" s="156" t="s">
        <v>2369</v>
      </c>
      <c r="F1457" s="155"/>
      <c r="G1457" s="157" t="n">
        <v>8</v>
      </c>
      <c r="H1457" s="158"/>
      <c r="I1457" s="155"/>
      <c r="J1457" s="155"/>
      <c r="K1457" s="146"/>
    </row>
    <row r="1458">
      <c r="A1458" s="9" t="s">
        <v>2370</v>
      </c>
      <c r="B1458" s="10" t="s">
        <v>84</v>
      </c>
      <c r="C1458" s="10" t="s">
        <v>2371</v>
      </c>
      <c r="D1458" s="14" t="s">
        <v>2372</v>
      </c>
      <c r="E1458" s="10"/>
      <c r="F1458" s="10" t="s">
        <v>1421</v>
      </c>
      <c r="G1458" s="111" t="n">
        <v>8</v>
      </c>
      <c r="H1458" s="152" t="n">
        <v>0</v>
      </c>
      <c r="I1458" s="111">
        <f>G1458*H1458</f>
      </c>
      <c r="J1458" s="153" t="s">
        <v>134</v>
      </c>
      <c r="K1458" s="146"/>
      <c r="Z1458" s="111">
        <f>IF(AQ1458="5",BJ1458,0)</f>
      </c>
      <c r="AB1458" s="111">
        <f>IF(AQ1458="1",BH1458,0)</f>
      </c>
      <c r="AC1458" s="111">
        <f>IF(AQ1458="1",BI1458,0)</f>
      </c>
      <c r="AD1458" s="111">
        <f>IF(AQ1458="7",BH1458,0)</f>
      </c>
      <c r="AE1458" s="111">
        <f>IF(AQ1458="7",BI1458,0)</f>
      </c>
      <c r="AF1458" s="111">
        <f>IF(AQ1458="2",BH1458,0)</f>
      </c>
      <c r="AG1458" s="111">
        <f>IF(AQ1458="2",BI1458,0)</f>
      </c>
      <c r="AH1458" s="111">
        <f>IF(AQ1458="0",BJ1458,0)</f>
      </c>
      <c r="AI1458" s="132" t="s">
        <v>84</v>
      </c>
      <c r="AJ1458" s="111">
        <f>IF(AN1458=0,I1458,0)</f>
      </c>
      <c r="AK1458" s="111">
        <f>IF(AN1458=12,I1458,0)</f>
      </c>
      <c r="AL1458" s="111">
        <f>IF(AN1458=21,I1458,0)</f>
      </c>
      <c r="AN1458" s="111" t="n">
        <v>21</v>
      </c>
      <c r="AO1458" s="111">
        <f>H1458*1</f>
      </c>
      <c r="AP1458" s="111">
        <f>H1458*(1-1)</f>
      </c>
      <c r="AQ1458" s="153" t="s">
        <v>173</v>
      </c>
      <c r="AV1458" s="111">
        <f>AW1458+AX1458</f>
      </c>
      <c r="AW1458" s="111">
        <f>G1458*AO1458</f>
      </c>
      <c r="AX1458" s="111">
        <f>G1458*AP1458</f>
      </c>
      <c r="AY1458" s="153" t="s">
        <v>2278</v>
      </c>
      <c r="AZ1458" s="153" t="s">
        <v>1999</v>
      </c>
      <c r="BA1458" s="132" t="s">
        <v>137</v>
      </c>
      <c r="BC1458" s="111">
        <f>AW1458+AX1458</f>
      </c>
      <c r="BD1458" s="111">
        <f>H1458/(100-BE1458)*100</f>
      </c>
      <c r="BE1458" s="111" t="n">
        <v>0</v>
      </c>
      <c r="BF1458" s="111">
        <f>1458</f>
      </c>
      <c r="BH1458" s="111">
        <f>G1458*AO1458</f>
      </c>
      <c r="BI1458" s="111">
        <f>G1458*AP1458</f>
      </c>
      <c r="BJ1458" s="111">
        <f>G1458*H1458</f>
      </c>
      <c r="BK1458" s="111"/>
      <c r="BL1458" s="111" t="n">
        <v>767</v>
      </c>
      <c r="BW1458" s="111" t="n">
        <v>21</v>
      </c>
      <c r="BX1458" s="14" t="s">
        <v>2372</v>
      </c>
    </row>
    <row r="1459">
      <c r="A1459" s="154"/>
      <c r="B1459" s="155"/>
      <c r="C1459" s="155"/>
      <c r="D1459" s="156" t="s">
        <v>176</v>
      </c>
      <c r="E1459" s="156" t="s">
        <v>2373</v>
      </c>
      <c r="F1459" s="155"/>
      <c r="G1459" s="157" t="n">
        <v>8</v>
      </c>
      <c r="H1459" s="158"/>
      <c r="I1459" s="155"/>
      <c r="J1459" s="155"/>
      <c r="K1459" s="146"/>
    </row>
    <row r="1460">
      <c r="A1460" s="154"/>
      <c r="B1460" s="155"/>
      <c r="C1460" s="155"/>
      <c r="D1460" s="156" t="s">
        <v>4</v>
      </c>
      <c r="E1460" s="156" t="s">
        <v>2374</v>
      </c>
      <c r="F1460" s="155"/>
      <c r="G1460" s="157" t="n">
        <v>0</v>
      </c>
      <c r="H1460" s="158"/>
      <c r="I1460" s="155"/>
      <c r="J1460" s="155"/>
      <c r="K1460" s="146"/>
    </row>
    <row r="1461">
      <c r="A1461" s="154"/>
      <c r="B1461" s="155"/>
      <c r="C1461" s="155"/>
      <c r="D1461" s="156" t="s">
        <v>4</v>
      </c>
      <c r="E1461" s="156" t="s">
        <v>2375</v>
      </c>
      <c r="F1461" s="155"/>
      <c r="G1461" s="157" t="n">
        <v>0</v>
      </c>
      <c r="H1461" s="158"/>
      <c r="I1461" s="155"/>
      <c r="J1461" s="155"/>
      <c r="K1461" s="146"/>
    </row>
    <row r="1462">
      <c r="A1462" s="9" t="s">
        <v>2376</v>
      </c>
      <c r="B1462" s="10" t="s">
        <v>84</v>
      </c>
      <c r="C1462" s="10" t="s">
        <v>2377</v>
      </c>
      <c r="D1462" s="14" t="s">
        <v>2378</v>
      </c>
      <c r="E1462" s="10"/>
      <c r="F1462" s="10" t="s">
        <v>133</v>
      </c>
      <c r="G1462" s="111" t="n">
        <v>3</v>
      </c>
      <c r="H1462" s="152" t="n">
        <v>0</v>
      </c>
      <c r="I1462" s="111">
        <f>G1462*H1462</f>
      </c>
      <c r="J1462" s="153" t="s">
        <v>134</v>
      </c>
      <c r="K1462" s="146"/>
      <c r="Z1462" s="111">
        <f>IF(AQ1462="5",BJ1462,0)</f>
      </c>
      <c r="AB1462" s="111">
        <f>IF(AQ1462="1",BH1462,0)</f>
      </c>
      <c r="AC1462" s="111">
        <f>IF(AQ1462="1",BI1462,0)</f>
      </c>
      <c r="AD1462" s="111">
        <f>IF(AQ1462="7",BH1462,0)</f>
      </c>
      <c r="AE1462" s="111">
        <f>IF(AQ1462="7",BI1462,0)</f>
      </c>
      <c r="AF1462" s="111">
        <f>IF(AQ1462="2",BH1462,0)</f>
      </c>
      <c r="AG1462" s="111">
        <f>IF(AQ1462="2",BI1462,0)</f>
      </c>
      <c r="AH1462" s="111">
        <f>IF(AQ1462="0",BJ1462,0)</f>
      </c>
      <c r="AI1462" s="132" t="s">
        <v>84</v>
      </c>
      <c r="AJ1462" s="111">
        <f>IF(AN1462=0,I1462,0)</f>
      </c>
      <c r="AK1462" s="111">
        <f>IF(AN1462=12,I1462,0)</f>
      </c>
      <c r="AL1462" s="111">
        <f>IF(AN1462=21,I1462,0)</f>
      </c>
      <c r="AN1462" s="111" t="n">
        <v>21</v>
      </c>
      <c r="AO1462" s="111">
        <f>H1462*0.737908711</f>
      </c>
      <c r="AP1462" s="111">
        <f>H1462*(1-0.737908711)</f>
      </c>
      <c r="AQ1462" s="153" t="s">
        <v>173</v>
      </c>
      <c r="AV1462" s="111">
        <f>AW1462+AX1462</f>
      </c>
      <c r="AW1462" s="111">
        <f>G1462*AO1462</f>
      </c>
      <c r="AX1462" s="111">
        <f>G1462*AP1462</f>
      </c>
      <c r="AY1462" s="153" t="s">
        <v>2278</v>
      </c>
      <c r="AZ1462" s="153" t="s">
        <v>1999</v>
      </c>
      <c r="BA1462" s="132" t="s">
        <v>137</v>
      </c>
      <c r="BC1462" s="111">
        <f>AW1462+AX1462</f>
      </c>
      <c r="BD1462" s="111">
        <f>H1462/(100-BE1462)*100</f>
      </c>
      <c r="BE1462" s="111" t="n">
        <v>0</v>
      </c>
      <c r="BF1462" s="111">
        <f>1462</f>
      </c>
      <c r="BH1462" s="111">
        <f>G1462*AO1462</f>
      </c>
      <c r="BI1462" s="111">
        <f>G1462*AP1462</f>
      </c>
      <c r="BJ1462" s="111">
        <f>G1462*H1462</f>
      </c>
      <c r="BK1462" s="111"/>
      <c r="BL1462" s="111" t="n">
        <v>767</v>
      </c>
      <c r="BW1462" s="111" t="n">
        <v>21</v>
      </c>
      <c r="BX1462" s="14" t="s">
        <v>2378</v>
      </c>
    </row>
    <row r="1463" customHeight="true" ht="13.5">
      <c r="A1463" s="159"/>
      <c r="C1463" s="160" t="s">
        <v>146</v>
      </c>
      <c r="D1463" s="161" t="s">
        <v>2279</v>
      </c>
      <c r="E1463" s="156"/>
      <c r="F1463" s="156"/>
      <c r="G1463" s="156"/>
      <c r="H1463" s="162"/>
      <c r="I1463" s="156"/>
      <c r="J1463" s="156"/>
      <c r="K1463" s="163"/>
    </row>
    <row r="1464">
      <c r="A1464" s="154"/>
      <c r="B1464" s="155"/>
      <c r="C1464" s="155"/>
      <c r="D1464" s="156" t="s">
        <v>138</v>
      </c>
      <c r="E1464" s="156" t="s">
        <v>2379</v>
      </c>
      <c r="F1464" s="155"/>
      <c r="G1464" s="157" t="n">
        <v>3</v>
      </c>
      <c r="H1464" s="158"/>
      <c r="I1464" s="155"/>
      <c r="J1464" s="155"/>
      <c r="K1464" s="146"/>
    </row>
    <row r="1465">
      <c r="A1465" s="9" t="s">
        <v>2380</v>
      </c>
      <c r="B1465" s="10" t="s">
        <v>84</v>
      </c>
      <c r="C1465" s="10" t="s">
        <v>2381</v>
      </c>
      <c r="D1465" s="14" t="s">
        <v>2382</v>
      </c>
      <c r="E1465" s="10"/>
      <c r="F1465" s="10" t="s">
        <v>2277</v>
      </c>
      <c r="G1465" s="111" t="n">
        <v>1</v>
      </c>
      <c r="H1465" s="152" t="n">
        <v>0</v>
      </c>
      <c r="I1465" s="111">
        <f>G1465*H1465</f>
      </c>
      <c r="J1465" s="153" t="s">
        <v>134</v>
      </c>
      <c r="K1465" s="146"/>
      <c r="Z1465" s="111">
        <f>IF(AQ1465="5",BJ1465,0)</f>
      </c>
      <c r="AB1465" s="111">
        <f>IF(AQ1465="1",BH1465,0)</f>
      </c>
      <c r="AC1465" s="111">
        <f>IF(AQ1465="1",BI1465,0)</f>
      </c>
      <c r="AD1465" s="111">
        <f>IF(AQ1465="7",BH1465,0)</f>
      </c>
      <c r="AE1465" s="111">
        <f>IF(AQ1465="7",BI1465,0)</f>
      </c>
      <c r="AF1465" s="111">
        <f>IF(AQ1465="2",BH1465,0)</f>
      </c>
      <c r="AG1465" s="111">
        <f>IF(AQ1465="2",BI1465,0)</f>
      </c>
      <c r="AH1465" s="111">
        <f>IF(AQ1465="0",BJ1465,0)</f>
      </c>
      <c r="AI1465" s="132" t="s">
        <v>84</v>
      </c>
      <c r="AJ1465" s="111">
        <f>IF(AN1465=0,I1465,0)</f>
      </c>
      <c r="AK1465" s="111">
        <f>IF(AN1465=12,I1465,0)</f>
      </c>
      <c r="AL1465" s="111">
        <f>IF(AN1465=21,I1465,0)</f>
      </c>
      <c r="AN1465" s="111" t="n">
        <v>21</v>
      </c>
      <c r="AO1465" s="111">
        <f>H1465*0.033866559</f>
      </c>
      <c r="AP1465" s="111">
        <f>H1465*(1-0.033866559)</f>
      </c>
      <c r="AQ1465" s="153" t="s">
        <v>173</v>
      </c>
      <c r="AV1465" s="111">
        <f>AW1465+AX1465</f>
      </c>
      <c r="AW1465" s="111">
        <f>G1465*AO1465</f>
      </c>
      <c r="AX1465" s="111">
        <f>G1465*AP1465</f>
      </c>
      <c r="AY1465" s="153" t="s">
        <v>2278</v>
      </c>
      <c r="AZ1465" s="153" t="s">
        <v>1999</v>
      </c>
      <c r="BA1465" s="132" t="s">
        <v>137</v>
      </c>
      <c r="BC1465" s="111">
        <f>AW1465+AX1465</f>
      </c>
      <c r="BD1465" s="111">
        <f>H1465/(100-BE1465)*100</f>
      </c>
      <c r="BE1465" s="111" t="n">
        <v>0</v>
      </c>
      <c r="BF1465" s="111">
        <f>1465</f>
      </c>
      <c r="BH1465" s="111">
        <f>G1465*AO1465</f>
      </c>
      <c r="BI1465" s="111">
        <f>G1465*AP1465</f>
      </c>
      <c r="BJ1465" s="111">
        <f>G1465*H1465</f>
      </c>
      <c r="BK1465" s="111"/>
      <c r="BL1465" s="111" t="n">
        <v>767</v>
      </c>
      <c r="BW1465" s="111" t="n">
        <v>21</v>
      </c>
      <c r="BX1465" s="14" t="s">
        <v>2382</v>
      </c>
    </row>
    <row r="1466">
      <c r="A1466" s="154"/>
      <c r="B1466" s="155"/>
      <c r="C1466" s="155"/>
      <c r="D1466" s="156" t="s">
        <v>130</v>
      </c>
      <c r="E1466" s="156" t="s">
        <v>1964</v>
      </c>
      <c r="F1466" s="155"/>
      <c r="G1466" s="157" t="n">
        <v>1</v>
      </c>
      <c r="H1466" s="158"/>
      <c r="I1466" s="155"/>
      <c r="J1466" s="155"/>
      <c r="K1466" s="146"/>
    </row>
    <row r="1467">
      <c r="A1467" s="9" t="s">
        <v>2383</v>
      </c>
      <c r="B1467" s="10" t="s">
        <v>84</v>
      </c>
      <c r="C1467" s="10" t="s">
        <v>2384</v>
      </c>
      <c r="D1467" s="14" t="s">
        <v>2385</v>
      </c>
      <c r="E1467" s="10"/>
      <c r="F1467" s="10" t="s">
        <v>133</v>
      </c>
      <c r="G1467" s="111" t="n">
        <v>1</v>
      </c>
      <c r="H1467" s="152" t="n">
        <v>0</v>
      </c>
      <c r="I1467" s="111">
        <f>G1467*H1467</f>
      </c>
      <c r="J1467" s="153" t="s">
        <v>134</v>
      </c>
      <c r="K1467" s="146"/>
      <c r="Z1467" s="111">
        <f>IF(AQ1467="5",BJ1467,0)</f>
      </c>
      <c r="AB1467" s="111">
        <f>IF(AQ1467="1",BH1467,0)</f>
      </c>
      <c r="AC1467" s="111">
        <f>IF(AQ1467="1",BI1467,0)</f>
      </c>
      <c r="AD1467" s="111">
        <f>IF(AQ1467="7",BH1467,0)</f>
      </c>
      <c r="AE1467" s="111">
        <f>IF(AQ1467="7",BI1467,0)</f>
      </c>
      <c r="AF1467" s="111">
        <f>IF(AQ1467="2",BH1467,0)</f>
      </c>
      <c r="AG1467" s="111">
        <f>IF(AQ1467="2",BI1467,0)</f>
      </c>
      <c r="AH1467" s="111">
        <f>IF(AQ1467="0",BJ1467,0)</f>
      </c>
      <c r="AI1467" s="132" t="s">
        <v>84</v>
      </c>
      <c r="AJ1467" s="111">
        <f>IF(AN1467=0,I1467,0)</f>
      </c>
      <c r="AK1467" s="111">
        <f>IF(AN1467=12,I1467,0)</f>
      </c>
      <c r="AL1467" s="111">
        <f>IF(AN1467=21,I1467,0)</f>
      </c>
      <c r="AN1467" s="111" t="n">
        <v>21</v>
      </c>
      <c r="AO1467" s="111">
        <f>H1467*1</f>
      </c>
      <c r="AP1467" s="111">
        <f>H1467*(1-1)</f>
      </c>
      <c r="AQ1467" s="153" t="s">
        <v>173</v>
      </c>
      <c r="AV1467" s="111">
        <f>AW1467+AX1467</f>
      </c>
      <c r="AW1467" s="111">
        <f>G1467*AO1467</f>
      </c>
      <c r="AX1467" s="111">
        <f>G1467*AP1467</f>
      </c>
      <c r="AY1467" s="153" t="s">
        <v>2278</v>
      </c>
      <c r="AZ1467" s="153" t="s">
        <v>1999</v>
      </c>
      <c r="BA1467" s="132" t="s">
        <v>137</v>
      </c>
      <c r="BC1467" s="111">
        <f>AW1467+AX1467</f>
      </c>
      <c r="BD1467" s="111">
        <f>H1467/(100-BE1467)*100</f>
      </c>
      <c r="BE1467" s="111" t="n">
        <v>0</v>
      </c>
      <c r="BF1467" s="111">
        <f>1467</f>
      </c>
      <c r="BH1467" s="111">
        <f>G1467*AO1467</f>
      </c>
      <c r="BI1467" s="111">
        <f>G1467*AP1467</f>
      </c>
      <c r="BJ1467" s="111">
        <f>G1467*H1467</f>
      </c>
      <c r="BK1467" s="111"/>
      <c r="BL1467" s="111" t="n">
        <v>767</v>
      </c>
      <c r="BW1467" s="111" t="n">
        <v>21</v>
      </c>
      <c r="BX1467" s="14" t="s">
        <v>2385</v>
      </c>
    </row>
    <row r="1468">
      <c r="A1468" s="154"/>
      <c r="B1468" s="155"/>
      <c r="C1468" s="155"/>
      <c r="D1468" s="156" t="s">
        <v>130</v>
      </c>
      <c r="E1468" s="156" t="s">
        <v>2386</v>
      </c>
      <c r="F1468" s="155"/>
      <c r="G1468" s="157" t="n">
        <v>1</v>
      </c>
      <c r="H1468" s="158"/>
      <c r="I1468" s="155"/>
      <c r="J1468" s="155"/>
      <c r="K1468" s="146"/>
    </row>
    <row r="1469">
      <c r="A1469" s="9" t="s">
        <v>2387</v>
      </c>
      <c r="B1469" s="10" t="s">
        <v>84</v>
      </c>
      <c r="C1469" s="10" t="s">
        <v>2388</v>
      </c>
      <c r="D1469" s="14" t="s">
        <v>2389</v>
      </c>
      <c r="E1469" s="10"/>
      <c r="F1469" s="10" t="s">
        <v>145</v>
      </c>
      <c r="G1469" s="111" t="n">
        <v>9.1</v>
      </c>
      <c r="H1469" s="152" t="n">
        <v>0</v>
      </c>
      <c r="I1469" s="111">
        <f>G1469*H1469</f>
      </c>
      <c r="J1469" s="153" t="s">
        <v>134</v>
      </c>
      <c r="K1469" s="146"/>
      <c r="Z1469" s="111">
        <f>IF(AQ1469="5",BJ1469,0)</f>
      </c>
      <c r="AB1469" s="111">
        <f>IF(AQ1469="1",BH1469,0)</f>
      </c>
      <c r="AC1469" s="111">
        <f>IF(AQ1469="1",BI1469,0)</f>
      </c>
      <c r="AD1469" s="111">
        <f>IF(AQ1469="7",BH1469,0)</f>
      </c>
      <c r="AE1469" s="111">
        <f>IF(AQ1469="7",BI1469,0)</f>
      </c>
      <c r="AF1469" s="111">
        <f>IF(AQ1469="2",BH1469,0)</f>
      </c>
      <c r="AG1469" s="111">
        <f>IF(AQ1469="2",BI1469,0)</f>
      </c>
      <c r="AH1469" s="111">
        <f>IF(AQ1469="0",BJ1469,0)</f>
      </c>
      <c r="AI1469" s="132" t="s">
        <v>84</v>
      </c>
      <c r="AJ1469" s="111">
        <f>IF(AN1469=0,I1469,0)</f>
      </c>
      <c r="AK1469" s="111">
        <f>IF(AN1469=12,I1469,0)</f>
      </c>
      <c r="AL1469" s="111">
        <f>IF(AN1469=21,I1469,0)</f>
      </c>
      <c r="AN1469" s="111" t="n">
        <v>21</v>
      </c>
      <c r="AO1469" s="111">
        <f>H1469*0.091253846</f>
      </c>
      <c r="AP1469" s="111">
        <f>H1469*(1-0.091253846)</f>
      </c>
      <c r="AQ1469" s="153" t="s">
        <v>173</v>
      </c>
      <c r="AV1469" s="111">
        <f>AW1469+AX1469</f>
      </c>
      <c r="AW1469" s="111">
        <f>G1469*AO1469</f>
      </c>
      <c r="AX1469" s="111">
        <f>G1469*AP1469</f>
      </c>
      <c r="AY1469" s="153" t="s">
        <v>2278</v>
      </c>
      <c r="AZ1469" s="153" t="s">
        <v>1999</v>
      </c>
      <c r="BA1469" s="132" t="s">
        <v>137</v>
      </c>
      <c r="BC1469" s="111">
        <f>AW1469+AX1469</f>
      </c>
      <c r="BD1469" s="111">
        <f>H1469/(100-BE1469)*100</f>
      </c>
      <c r="BE1469" s="111" t="n">
        <v>0</v>
      </c>
      <c r="BF1469" s="111">
        <f>1469</f>
      </c>
      <c r="BH1469" s="111">
        <f>G1469*AO1469</f>
      </c>
      <c r="BI1469" s="111">
        <f>G1469*AP1469</f>
      </c>
      <c r="BJ1469" s="111">
        <f>G1469*H1469</f>
      </c>
      <c r="BK1469" s="111"/>
      <c r="BL1469" s="111" t="n">
        <v>767</v>
      </c>
      <c r="BW1469" s="111" t="n">
        <v>21</v>
      </c>
      <c r="BX1469" s="14" t="s">
        <v>2389</v>
      </c>
    </row>
    <row r="1470" customHeight="true" ht="13.5">
      <c r="A1470" s="159"/>
      <c r="C1470" s="160" t="s">
        <v>146</v>
      </c>
      <c r="D1470" s="161" t="s">
        <v>640</v>
      </c>
      <c r="E1470" s="156"/>
      <c r="F1470" s="156"/>
      <c r="G1470" s="156"/>
      <c r="H1470" s="162"/>
      <c r="I1470" s="156"/>
      <c r="J1470" s="156"/>
      <c r="K1470" s="163"/>
    </row>
    <row r="1471">
      <c r="A1471" s="154"/>
      <c r="B1471" s="155"/>
      <c r="C1471" s="155"/>
      <c r="D1471" s="156" t="s">
        <v>2390</v>
      </c>
      <c r="E1471" s="156" t="s">
        <v>2391</v>
      </c>
      <c r="F1471" s="155"/>
      <c r="G1471" s="157" t="n">
        <v>9.1</v>
      </c>
      <c r="H1471" s="158"/>
      <c r="I1471" s="155"/>
      <c r="J1471" s="155"/>
      <c r="K1471" s="146"/>
    </row>
    <row r="1472">
      <c r="A1472" s="9" t="s">
        <v>2392</v>
      </c>
      <c r="B1472" s="10" t="s">
        <v>84</v>
      </c>
      <c r="C1472" s="10" t="s">
        <v>2393</v>
      </c>
      <c r="D1472" s="14" t="s">
        <v>2394</v>
      </c>
      <c r="E1472" s="10"/>
      <c r="F1472" s="10" t="s">
        <v>133</v>
      </c>
      <c r="G1472" s="111" t="n">
        <v>55</v>
      </c>
      <c r="H1472" s="152" t="n">
        <v>0</v>
      </c>
      <c r="I1472" s="111">
        <f>G1472*H1472</f>
      </c>
      <c r="J1472" s="153" t="s">
        <v>134</v>
      </c>
      <c r="K1472" s="146"/>
      <c r="Z1472" s="111">
        <f>IF(AQ1472="5",BJ1472,0)</f>
      </c>
      <c r="AB1472" s="111">
        <f>IF(AQ1472="1",BH1472,0)</f>
      </c>
      <c r="AC1472" s="111">
        <f>IF(AQ1472="1",BI1472,0)</f>
      </c>
      <c r="AD1472" s="111">
        <f>IF(AQ1472="7",BH1472,0)</f>
      </c>
      <c r="AE1472" s="111">
        <f>IF(AQ1472="7",BI1472,0)</f>
      </c>
      <c r="AF1472" s="111">
        <f>IF(AQ1472="2",BH1472,0)</f>
      </c>
      <c r="AG1472" s="111">
        <f>IF(AQ1472="2",BI1472,0)</f>
      </c>
      <c r="AH1472" s="111">
        <f>IF(AQ1472="0",BJ1472,0)</f>
      </c>
      <c r="AI1472" s="132" t="s">
        <v>84</v>
      </c>
      <c r="AJ1472" s="111">
        <f>IF(AN1472=0,I1472,0)</f>
      </c>
      <c r="AK1472" s="111">
        <f>IF(AN1472=12,I1472,0)</f>
      </c>
      <c r="AL1472" s="111">
        <f>IF(AN1472=21,I1472,0)</f>
      </c>
      <c r="AN1472" s="111" t="n">
        <v>21</v>
      </c>
      <c r="AO1472" s="111">
        <f>H1472*0.676140655</f>
      </c>
      <c r="AP1472" s="111">
        <f>H1472*(1-0.676140655)</f>
      </c>
      <c r="AQ1472" s="153" t="s">
        <v>173</v>
      </c>
      <c r="AV1472" s="111">
        <f>AW1472+AX1472</f>
      </c>
      <c r="AW1472" s="111">
        <f>G1472*AO1472</f>
      </c>
      <c r="AX1472" s="111">
        <f>G1472*AP1472</f>
      </c>
      <c r="AY1472" s="153" t="s">
        <v>2278</v>
      </c>
      <c r="AZ1472" s="153" t="s">
        <v>1999</v>
      </c>
      <c r="BA1472" s="132" t="s">
        <v>137</v>
      </c>
      <c r="BC1472" s="111">
        <f>AW1472+AX1472</f>
      </c>
      <c r="BD1472" s="111">
        <f>H1472/(100-BE1472)*100</f>
      </c>
      <c r="BE1472" s="111" t="n">
        <v>0</v>
      </c>
      <c r="BF1472" s="111">
        <f>1472</f>
      </c>
      <c r="BH1472" s="111">
        <f>G1472*AO1472</f>
      </c>
      <c r="BI1472" s="111">
        <f>G1472*AP1472</f>
      </c>
      <c r="BJ1472" s="111">
        <f>G1472*H1472</f>
      </c>
      <c r="BK1472" s="111"/>
      <c r="BL1472" s="111" t="n">
        <v>767</v>
      </c>
      <c r="BW1472" s="111" t="n">
        <v>21</v>
      </c>
      <c r="BX1472" s="14" t="s">
        <v>2394</v>
      </c>
    </row>
    <row r="1473" customHeight="true" ht="13.5">
      <c r="A1473" s="159"/>
      <c r="C1473" s="160" t="s">
        <v>146</v>
      </c>
      <c r="D1473" s="161" t="s">
        <v>2395</v>
      </c>
      <c r="E1473" s="156"/>
      <c r="F1473" s="156"/>
      <c r="G1473" s="156"/>
      <c r="H1473" s="162"/>
      <c r="I1473" s="156"/>
      <c r="J1473" s="156"/>
      <c r="K1473" s="163"/>
    </row>
    <row r="1474">
      <c r="A1474" s="154"/>
      <c r="B1474" s="155"/>
      <c r="C1474" s="155"/>
      <c r="D1474" s="156" t="s">
        <v>2396</v>
      </c>
      <c r="E1474" s="156" t="s">
        <v>2397</v>
      </c>
      <c r="F1474" s="155"/>
      <c r="G1474" s="157" t="n">
        <v>55</v>
      </c>
      <c r="H1474" s="158"/>
      <c r="I1474" s="155"/>
      <c r="J1474" s="155"/>
      <c r="K1474" s="146"/>
    </row>
    <row r="1475">
      <c r="A1475" s="9" t="s">
        <v>2398</v>
      </c>
      <c r="B1475" s="10" t="s">
        <v>84</v>
      </c>
      <c r="C1475" s="10" t="s">
        <v>2399</v>
      </c>
      <c r="D1475" s="14" t="s">
        <v>2400</v>
      </c>
      <c r="E1475" s="10"/>
      <c r="F1475" s="10" t="s">
        <v>133</v>
      </c>
      <c r="G1475" s="111" t="n">
        <v>1</v>
      </c>
      <c r="H1475" s="152" t="n">
        <v>0</v>
      </c>
      <c r="I1475" s="111">
        <f>G1475*H1475</f>
      </c>
      <c r="J1475" s="153" t="s">
        <v>134</v>
      </c>
      <c r="K1475" s="146"/>
      <c r="Z1475" s="111">
        <f>IF(AQ1475="5",BJ1475,0)</f>
      </c>
      <c r="AB1475" s="111">
        <f>IF(AQ1475="1",BH1475,0)</f>
      </c>
      <c r="AC1475" s="111">
        <f>IF(AQ1475="1",BI1475,0)</f>
      </c>
      <c r="AD1475" s="111">
        <f>IF(AQ1475="7",BH1475,0)</f>
      </c>
      <c r="AE1475" s="111">
        <f>IF(AQ1475="7",BI1475,0)</f>
      </c>
      <c r="AF1475" s="111">
        <f>IF(AQ1475="2",BH1475,0)</f>
      </c>
      <c r="AG1475" s="111">
        <f>IF(AQ1475="2",BI1475,0)</f>
      </c>
      <c r="AH1475" s="111">
        <f>IF(AQ1475="0",BJ1475,0)</f>
      </c>
      <c r="AI1475" s="132" t="s">
        <v>84</v>
      </c>
      <c r="AJ1475" s="111">
        <f>IF(AN1475=0,I1475,0)</f>
      </c>
      <c r="AK1475" s="111">
        <f>IF(AN1475=12,I1475,0)</f>
      </c>
      <c r="AL1475" s="111">
        <f>IF(AN1475=21,I1475,0)</f>
      </c>
      <c r="AN1475" s="111" t="n">
        <v>21</v>
      </c>
      <c r="AO1475" s="111">
        <f>H1475*0.67614</f>
      </c>
      <c r="AP1475" s="111">
        <f>H1475*(1-0.67614)</f>
      </c>
      <c r="AQ1475" s="153" t="s">
        <v>173</v>
      </c>
      <c r="AV1475" s="111">
        <f>AW1475+AX1475</f>
      </c>
      <c r="AW1475" s="111">
        <f>G1475*AO1475</f>
      </c>
      <c r="AX1475" s="111">
        <f>G1475*AP1475</f>
      </c>
      <c r="AY1475" s="153" t="s">
        <v>2278</v>
      </c>
      <c r="AZ1475" s="153" t="s">
        <v>1999</v>
      </c>
      <c r="BA1475" s="132" t="s">
        <v>137</v>
      </c>
      <c r="BC1475" s="111">
        <f>AW1475+AX1475</f>
      </c>
      <c r="BD1475" s="111">
        <f>H1475/(100-BE1475)*100</f>
      </c>
      <c r="BE1475" s="111" t="n">
        <v>0</v>
      </c>
      <c r="BF1475" s="111">
        <f>1475</f>
      </c>
      <c r="BH1475" s="111">
        <f>G1475*AO1475</f>
      </c>
      <c r="BI1475" s="111">
        <f>G1475*AP1475</f>
      </c>
      <c r="BJ1475" s="111">
        <f>G1475*H1475</f>
      </c>
      <c r="BK1475" s="111"/>
      <c r="BL1475" s="111" t="n">
        <v>767</v>
      </c>
      <c r="BW1475" s="111" t="n">
        <v>21</v>
      </c>
      <c r="BX1475" s="14" t="s">
        <v>2400</v>
      </c>
    </row>
    <row r="1476">
      <c r="A1476" s="154"/>
      <c r="B1476" s="155"/>
      <c r="C1476" s="155"/>
      <c r="D1476" s="156" t="s">
        <v>130</v>
      </c>
      <c r="E1476" s="156" t="s">
        <v>2397</v>
      </c>
      <c r="F1476" s="155"/>
      <c r="G1476" s="157" t="n">
        <v>1</v>
      </c>
      <c r="H1476" s="158"/>
      <c r="I1476" s="155"/>
      <c r="J1476" s="155"/>
      <c r="K1476" s="146"/>
    </row>
    <row r="1477">
      <c r="A1477" s="9" t="s">
        <v>2401</v>
      </c>
      <c r="B1477" s="10" t="s">
        <v>84</v>
      </c>
      <c r="C1477" s="10" t="s">
        <v>2402</v>
      </c>
      <c r="D1477" s="14" t="s">
        <v>2403</v>
      </c>
      <c r="E1477" s="10"/>
      <c r="F1477" s="10" t="s">
        <v>282</v>
      </c>
      <c r="G1477" s="111" t="n">
        <v>162</v>
      </c>
      <c r="H1477" s="152" t="n">
        <v>0</v>
      </c>
      <c r="I1477" s="111">
        <f>G1477*H1477</f>
      </c>
      <c r="J1477" s="153" t="s">
        <v>134</v>
      </c>
      <c r="K1477" s="146"/>
      <c r="Z1477" s="111">
        <f>IF(AQ1477="5",BJ1477,0)</f>
      </c>
      <c r="AB1477" s="111">
        <f>IF(AQ1477="1",BH1477,0)</f>
      </c>
      <c r="AC1477" s="111">
        <f>IF(AQ1477="1",BI1477,0)</f>
      </c>
      <c r="AD1477" s="111">
        <f>IF(AQ1477="7",BH1477,0)</f>
      </c>
      <c r="AE1477" s="111">
        <f>IF(AQ1477="7",BI1477,0)</f>
      </c>
      <c r="AF1477" s="111">
        <f>IF(AQ1477="2",BH1477,0)</f>
      </c>
      <c r="AG1477" s="111">
        <f>IF(AQ1477="2",BI1477,0)</f>
      </c>
      <c r="AH1477" s="111">
        <f>IF(AQ1477="0",BJ1477,0)</f>
      </c>
      <c r="AI1477" s="132" t="s">
        <v>84</v>
      </c>
      <c r="AJ1477" s="111">
        <f>IF(AN1477=0,I1477,0)</f>
      </c>
      <c r="AK1477" s="111">
        <f>IF(AN1477=12,I1477,0)</f>
      </c>
      <c r="AL1477" s="111">
        <f>IF(AN1477=21,I1477,0)</f>
      </c>
      <c r="AN1477" s="111" t="n">
        <v>21</v>
      </c>
      <c r="AO1477" s="111">
        <f>H1477*1</f>
      </c>
      <c r="AP1477" s="111">
        <f>H1477*(1-1)</f>
      </c>
      <c r="AQ1477" s="153" t="s">
        <v>173</v>
      </c>
      <c r="AV1477" s="111">
        <f>AW1477+AX1477</f>
      </c>
      <c r="AW1477" s="111">
        <f>G1477*AO1477</f>
      </c>
      <c r="AX1477" s="111">
        <f>G1477*AP1477</f>
      </c>
      <c r="AY1477" s="153" t="s">
        <v>2278</v>
      </c>
      <c r="AZ1477" s="153" t="s">
        <v>1999</v>
      </c>
      <c r="BA1477" s="132" t="s">
        <v>137</v>
      </c>
      <c r="BC1477" s="111">
        <f>AW1477+AX1477</f>
      </c>
      <c r="BD1477" s="111">
        <f>H1477/(100-BE1477)*100</f>
      </c>
      <c r="BE1477" s="111" t="n">
        <v>0</v>
      </c>
      <c r="BF1477" s="111">
        <f>1477</f>
      </c>
      <c r="BH1477" s="111">
        <f>G1477*AO1477</f>
      </c>
      <c r="BI1477" s="111">
        <f>G1477*AP1477</f>
      </c>
      <c r="BJ1477" s="111">
        <f>G1477*H1477</f>
      </c>
      <c r="BK1477" s="111"/>
      <c r="BL1477" s="111" t="n">
        <v>767</v>
      </c>
      <c r="BW1477" s="111" t="n">
        <v>21</v>
      </c>
      <c r="BX1477" s="14" t="s">
        <v>2403</v>
      </c>
    </row>
    <row r="1478">
      <c r="A1478" s="154"/>
      <c r="B1478" s="155"/>
      <c r="C1478" s="155"/>
      <c r="D1478" s="156" t="s">
        <v>2404</v>
      </c>
      <c r="E1478" s="156" t="s">
        <v>2405</v>
      </c>
      <c r="F1478" s="155"/>
      <c r="G1478" s="157" t="n">
        <v>162</v>
      </c>
      <c r="H1478" s="158"/>
      <c r="I1478" s="155"/>
      <c r="J1478" s="155"/>
      <c r="K1478" s="146"/>
    </row>
    <row r="1479">
      <c r="A1479" s="9" t="s">
        <v>2406</v>
      </c>
      <c r="B1479" s="10" t="s">
        <v>84</v>
      </c>
      <c r="C1479" s="10" t="s">
        <v>2407</v>
      </c>
      <c r="D1479" s="14" t="s">
        <v>2408</v>
      </c>
      <c r="E1479" s="10"/>
      <c r="F1479" s="10" t="s">
        <v>133</v>
      </c>
      <c r="G1479" s="111" t="n">
        <v>2</v>
      </c>
      <c r="H1479" s="152" t="n">
        <v>0</v>
      </c>
      <c r="I1479" s="111">
        <f>G1479*H1479</f>
      </c>
      <c r="J1479" s="153" t="s">
        <v>134</v>
      </c>
      <c r="K1479" s="146"/>
      <c r="Z1479" s="111">
        <f>IF(AQ1479="5",BJ1479,0)</f>
      </c>
      <c r="AB1479" s="111">
        <f>IF(AQ1479="1",BH1479,0)</f>
      </c>
      <c r="AC1479" s="111">
        <f>IF(AQ1479="1",BI1479,0)</f>
      </c>
      <c r="AD1479" s="111">
        <f>IF(AQ1479="7",BH1479,0)</f>
      </c>
      <c r="AE1479" s="111">
        <f>IF(AQ1479="7",BI1479,0)</f>
      </c>
      <c r="AF1479" s="111">
        <f>IF(AQ1479="2",BH1479,0)</f>
      </c>
      <c r="AG1479" s="111">
        <f>IF(AQ1479="2",BI1479,0)</f>
      </c>
      <c r="AH1479" s="111">
        <f>IF(AQ1479="0",BJ1479,0)</f>
      </c>
      <c r="AI1479" s="132" t="s">
        <v>84</v>
      </c>
      <c r="AJ1479" s="111">
        <f>IF(AN1479=0,I1479,0)</f>
      </c>
      <c r="AK1479" s="111">
        <f>IF(AN1479=12,I1479,0)</f>
      </c>
      <c r="AL1479" s="111">
        <f>IF(AN1479=21,I1479,0)</f>
      </c>
      <c r="AN1479" s="111" t="n">
        <v>21</v>
      </c>
      <c r="AO1479" s="111">
        <f>H1479*0</f>
      </c>
      <c r="AP1479" s="111">
        <f>H1479*(1-0)</f>
      </c>
      <c r="AQ1479" s="153" t="s">
        <v>140</v>
      </c>
      <c r="AV1479" s="111">
        <f>AW1479+AX1479</f>
      </c>
      <c r="AW1479" s="111">
        <f>G1479*AO1479</f>
      </c>
      <c r="AX1479" s="111">
        <f>G1479*AP1479</f>
      </c>
      <c r="AY1479" s="153" t="s">
        <v>2278</v>
      </c>
      <c r="AZ1479" s="153" t="s">
        <v>1999</v>
      </c>
      <c r="BA1479" s="132" t="s">
        <v>137</v>
      </c>
      <c r="BC1479" s="111">
        <f>AW1479+AX1479</f>
      </c>
      <c r="BD1479" s="111">
        <f>H1479/(100-BE1479)*100</f>
      </c>
      <c r="BE1479" s="111" t="n">
        <v>0</v>
      </c>
      <c r="BF1479" s="111">
        <f>1479</f>
      </c>
      <c r="BH1479" s="111">
        <f>G1479*AO1479</f>
      </c>
      <c r="BI1479" s="111">
        <f>G1479*AP1479</f>
      </c>
      <c r="BJ1479" s="111">
        <f>G1479*H1479</f>
      </c>
      <c r="BK1479" s="111"/>
      <c r="BL1479" s="111" t="n">
        <v>767</v>
      </c>
      <c r="BW1479" s="111" t="n">
        <v>21</v>
      </c>
      <c r="BX1479" s="14" t="s">
        <v>2408</v>
      </c>
    </row>
    <row r="1480" customHeight="true" ht="13.5">
      <c r="A1480" s="159"/>
      <c r="C1480" s="160" t="s">
        <v>146</v>
      </c>
      <c r="D1480" s="161" t="s">
        <v>1437</v>
      </c>
      <c r="E1480" s="156"/>
      <c r="F1480" s="156"/>
      <c r="G1480" s="156"/>
      <c r="H1480" s="162"/>
      <c r="I1480" s="156"/>
      <c r="J1480" s="156"/>
      <c r="K1480" s="163"/>
    </row>
    <row r="1481">
      <c r="A1481" s="154"/>
      <c r="B1481" s="155"/>
      <c r="C1481" s="155"/>
      <c r="D1481" s="156" t="s">
        <v>140</v>
      </c>
      <c r="E1481" s="156" t="s">
        <v>2409</v>
      </c>
      <c r="F1481" s="155"/>
      <c r="G1481" s="157" t="n">
        <v>2</v>
      </c>
      <c r="H1481" s="158"/>
      <c r="I1481" s="155"/>
      <c r="J1481" s="155"/>
      <c r="K1481" s="146"/>
    </row>
    <row r="1482">
      <c r="A1482" s="9" t="s">
        <v>2410</v>
      </c>
      <c r="B1482" s="10" t="s">
        <v>84</v>
      </c>
      <c r="C1482" s="10" t="s">
        <v>2411</v>
      </c>
      <c r="D1482" s="14" t="s">
        <v>2412</v>
      </c>
      <c r="E1482" s="10"/>
      <c r="F1482" s="10" t="s">
        <v>133</v>
      </c>
      <c r="G1482" s="111" t="n">
        <v>1</v>
      </c>
      <c r="H1482" s="152" t="n">
        <v>0</v>
      </c>
      <c r="I1482" s="111">
        <f>G1482*H1482</f>
      </c>
      <c r="J1482" s="153" t="s">
        <v>134</v>
      </c>
      <c r="K1482" s="146"/>
      <c r="Z1482" s="111">
        <f>IF(AQ1482="5",BJ1482,0)</f>
      </c>
      <c r="AB1482" s="111">
        <f>IF(AQ1482="1",BH1482,0)</f>
      </c>
      <c r="AC1482" s="111">
        <f>IF(AQ1482="1",BI1482,0)</f>
      </c>
      <c r="AD1482" s="111">
        <f>IF(AQ1482="7",BH1482,0)</f>
      </c>
      <c r="AE1482" s="111">
        <f>IF(AQ1482="7",BI1482,0)</f>
      </c>
      <c r="AF1482" s="111">
        <f>IF(AQ1482="2",BH1482,0)</f>
      </c>
      <c r="AG1482" s="111">
        <f>IF(AQ1482="2",BI1482,0)</f>
      </c>
      <c r="AH1482" s="111">
        <f>IF(AQ1482="0",BJ1482,0)</f>
      </c>
      <c r="AI1482" s="132" t="s">
        <v>84</v>
      </c>
      <c r="AJ1482" s="111">
        <f>IF(AN1482=0,I1482,0)</f>
      </c>
      <c r="AK1482" s="111">
        <f>IF(AN1482=12,I1482,0)</f>
      </c>
      <c r="AL1482" s="111">
        <f>IF(AN1482=21,I1482,0)</f>
      </c>
      <c r="AN1482" s="111" t="n">
        <v>21</v>
      </c>
      <c r="AO1482" s="111">
        <f>H1482*1</f>
      </c>
      <c r="AP1482" s="111">
        <f>H1482*(1-1)</f>
      </c>
      <c r="AQ1482" s="153" t="s">
        <v>173</v>
      </c>
      <c r="AV1482" s="111">
        <f>AW1482+AX1482</f>
      </c>
      <c r="AW1482" s="111">
        <f>G1482*AO1482</f>
      </c>
      <c r="AX1482" s="111">
        <f>G1482*AP1482</f>
      </c>
      <c r="AY1482" s="153" t="s">
        <v>2278</v>
      </c>
      <c r="AZ1482" s="153" t="s">
        <v>1999</v>
      </c>
      <c r="BA1482" s="132" t="s">
        <v>137</v>
      </c>
      <c r="BC1482" s="111">
        <f>AW1482+AX1482</f>
      </c>
      <c r="BD1482" s="111">
        <f>H1482/(100-BE1482)*100</f>
      </c>
      <c r="BE1482" s="111" t="n">
        <v>0</v>
      </c>
      <c r="BF1482" s="111">
        <f>1482</f>
      </c>
      <c r="BH1482" s="111">
        <f>G1482*AO1482</f>
      </c>
      <c r="BI1482" s="111">
        <f>G1482*AP1482</f>
      </c>
      <c r="BJ1482" s="111">
        <f>G1482*H1482</f>
      </c>
      <c r="BK1482" s="111"/>
      <c r="BL1482" s="111" t="n">
        <v>767</v>
      </c>
      <c r="BW1482" s="111" t="n">
        <v>21</v>
      </c>
      <c r="BX1482" s="14" t="s">
        <v>2412</v>
      </c>
    </row>
    <row r="1483">
      <c r="A1483" s="154"/>
      <c r="B1483" s="155"/>
      <c r="C1483" s="155"/>
      <c r="D1483" s="156" t="s">
        <v>130</v>
      </c>
      <c r="E1483" s="156" t="s">
        <v>2413</v>
      </c>
      <c r="F1483" s="155"/>
      <c r="G1483" s="157" t="n">
        <v>1</v>
      </c>
      <c r="H1483" s="158"/>
      <c r="I1483" s="155"/>
      <c r="J1483" s="155"/>
      <c r="K1483" s="146"/>
    </row>
    <row r="1484">
      <c r="A1484" s="9" t="s">
        <v>2414</v>
      </c>
      <c r="B1484" s="10" t="s">
        <v>84</v>
      </c>
      <c r="C1484" s="10" t="s">
        <v>2415</v>
      </c>
      <c r="D1484" s="14" t="s">
        <v>2416</v>
      </c>
      <c r="E1484" s="10"/>
      <c r="F1484" s="10" t="s">
        <v>133</v>
      </c>
      <c r="G1484" s="111" t="n">
        <v>1</v>
      </c>
      <c r="H1484" s="152" t="n">
        <v>0</v>
      </c>
      <c r="I1484" s="111">
        <f>G1484*H1484</f>
      </c>
      <c r="J1484" s="153" t="s">
        <v>134</v>
      </c>
      <c r="K1484" s="146"/>
      <c r="Z1484" s="111">
        <f>IF(AQ1484="5",BJ1484,0)</f>
      </c>
      <c r="AB1484" s="111">
        <f>IF(AQ1484="1",BH1484,0)</f>
      </c>
      <c r="AC1484" s="111">
        <f>IF(AQ1484="1",BI1484,0)</f>
      </c>
      <c r="AD1484" s="111">
        <f>IF(AQ1484="7",BH1484,0)</f>
      </c>
      <c r="AE1484" s="111">
        <f>IF(AQ1484="7",BI1484,0)</f>
      </c>
      <c r="AF1484" s="111">
        <f>IF(AQ1484="2",BH1484,0)</f>
      </c>
      <c r="AG1484" s="111">
        <f>IF(AQ1484="2",BI1484,0)</f>
      </c>
      <c r="AH1484" s="111">
        <f>IF(AQ1484="0",BJ1484,0)</f>
      </c>
      <c r="AI1484" s="132" t="s">
        <v>84</v>
      </c>
      <c r="AJ1484" s="111">
        <f>IF(AN1484=0,I1484,0)</f>
      </c>
      <c r="AK1484" s="111">
        <f>IF(AN1484=12,I1484,0)</f>
      </c>
      <c r="AL1484" s="111">
        <f>IF(AN1484=21,I1484,0)</f>
      </c>
      <c r="AN1484" s="111" t="n">
        <v>21</v>
      </c>
      <c r="AO1484" s="111">
        <f>H1484*1</f>
      </c>
      <c r="AP1484" s="111">
        <f>H1484*(1-1)</f>
      </c>
      <c r="AQ1484" s="153" t="s">
        <v>173</v>
      </c>
      <c r="AV1484" s="111">
        <f>AW1484+AX1484</f>
      </c>
      <c r="AW1484" s="111">
        <f>G1484*AO1484</f>
      </c>
      <c r="AX1484" s="111">
        <f>G1484*AP1484</f>
      </c>
      <c r="AY1484" s="153" t="s">
        <v>2278</v>
      </c>
      <c r="AZ1484" s="153" t="s">
        <v>1999</v>
      </c>
      <c r="BA1484" s="132" t="s">
        <v>137</v>
      </c>
      <c r="BC1484" s="111">
        <f>AW1484+AX1484</f>
      </c>
      <c r="BD1484" s="111">
        <f>H1484/(100-BE1484)*100</f>
      </c>
      <c r="BE1484" s="111" t="n">
        <v>0</v>
      </c>
      <c r="BF1484" s="111">
        <f>1484</f>
      </c>
      <c r="BH1484" s="111">
        <f>G1484*AO1484</f>
      </c>
      <c r="BI1484" s="111">
        <f>G1484*AP1484</f>
      </c>
      <c r="BJ1484" s="111">
        <f>G1484*H1484</f>
      </c>
      <c r="BK1484" s="111"/>
      <c r="BL1484" s="111" t="n">
        <v>767</v>
      </c>
      <c r="BW1484" s="111" t="n">
        <v>21</v>
      </c>
      <c r="BX1484" s="14" t="s">
        <v>2416</v>
      </c>
    </row>
    <row r="1485">
      <c r="A1485" s="154"/>
      <c r="B1485" s="155"/>
      <c r="C1485" s="155"/>
      <c r="D1485" s="156" t="s">
        <v>130</v>
      </c>
      <c r="E1485" s="156" t="s">
        <v>2417</v>
      </c>
      <c r="F1485" s="155"/>
      <c r="G1485" s="157" t="n">
        <v>1</v>
      </c>
      <c r="H1485" s="158"/>
      <c r="I1485" s="155"/>
      <c r="J1485" s="155"/>
      <c r="K1485" s="146"/>
    </row>
    <row r="1486">
      <c r="A1486" s="9" t="s">
        <v>2418</v>
      </c>
      <c r="B1486" s="10" t="s">
        <v>84</v>
      </c>
      <c r="C1486" s="10" t="s">
        <v>2419</v>
      </c>
      <c r="D1486" s="14" t="s">
        <v>2420</v>
      </c>
      <c r="E1486" s="10"/>
      <c r="F1486" s="10" t="s">
        <v>145</v>
      </c>
      <c r="G1486" s="111" t="n">
        <v>5.1</v>
      </c>
      <c r="H1486" s="152" t="n">
        <v>0</v>
      </c>
      <c r="I1486" s="111">
        <f>G1486*H1486</f>
      </c>
      <c r="J1486" s="153" t="s">
        <v>134</v>
      </c>
      <c r="K1486" s="146"/>
      <c r="Z1486" s="111">
        <f>IF(AQ1486="5",BJ1486,0)</f>
      </c>
      <c r="AB1486" s="111">
        <f>IF(AQ1486="1",BH1486,0)</f>
      </c>
      <c r="AC1486" s="111">
        <f>IF(AQ1486="1",BI1486,0)</f>
      </c>
      <c r="AD1486" s="111">
        <f>IF(AQ1486="7",BH1486,0)</f>
      </c>
      <c r="AE1486" s="111">
        <f>IF(AQ1486="7",BI1486,0)</f>
      </c>
      <c r="AF1486" s="111">
        <f>IF(AQ1486="2",BH1486,0)</f>
      </c>
      <c r="AG1486" s="111">
        <f>IF(AQ1486="2",BI1486,0)</f>
      </c>
      <c r="AH1486" s="111">
        <f>IF(AQ1486="0",BJ1486,0)</f>
      </c>
      <c r="AI1486" s="132" t="s">
        <v>84</v>
      </c>
      <c r="AJ1486" s="111">
        <f>IF(AN1486=0,I1486,0)</f>
      </c>
      <c r="AK1486" s="111">
        <f>IF(AN1486=12,I1486,0)</f>
      </c>
      <c r="AL1486" s="111">
        <f>IF(AN1486=21,I1486,0)</f>
      </c>
      <c r="AN1486" s="111" t="n">
        <v>21</v>
      </c>
      <c r="AO1486" s="111">
        <f>H1486*0.091253846</f>
      </c>
      <c r="AP1486" s="111">
        <f>H1486*(1-0.091253846)</f>
      </c>
      <c r="AQ1486" s="153" t="s">
        <v>173</v>
      </c>
      <c r="AV1486" s="111">
        <f>AW1486+AX1486</f>
      </c>
      <c r="AW1486" s="111">
        <f>G1486*AO1486</f>
      </c>
      <c r="AX1486" s="111">
        <f>G1486*AP1486</f>
      </c>
      <c r="AY1486" s="153" t="s">
        <v>2278</v>
      </c>
      <c r="AZ1486" s="153" t="s">
        <v>1999</v>
      </c>
      <c r="BA1486" s="132" t="s">
        <v>137</v>
      </c>
      <c r="BC1486" s="111">
        <f>AW1486+AX1486</f>
      </c>
      <c r="BD1486" s="111">
        <f>H1486/(100-BE1486)*100</f>
      </c>
      <c r="BE1486" s="111" t="n">
        <v>0</v>
      </c>
      <c r="BF1486" s="111">
        <f>1486</f>
      </c>
      <c r="BH1486" s="111">
        <f>G1486*AO1486</f>
      </c>
      <c r="BI1486" s="111">
        <f>G1486*AP1486</f>
      </c>
      <c r="BJ1486" s="111">
        <f>G1486*H1486</f>
      </c>
      <c r="BK1486" s="111"/>
      <c r="BL1486" s="111" t="n">
        <v>767</v>
      </c>
      <c r="BW1486" s="111" t="n">
        <v>21</v>
      </c>
      <c r="BX1486" s="14" t="s">
        <v>2420</v>
      </c>
    </row>
    <row r="1487" customHeight="true" ht="13.5">
      <c r="A1487" s="159"/>
      <c r="C1487" s="160" t="s">
        <v>146</v>
      </c>
      <c r="D1487" s="161" t="s">
        <v>640</v>
      </c>
      <c r="E1487" s="156"/>
      <c r="F1487" s="156"/>
      <c r="G1487" s="156"/>
      <c r="H1487" s="162"/>
      <c r="I1487" s="156"/>
      <c r="J1487" s="156"/>
      <c r="K1487" s="163"/>
    </row>
    <row r="1488">
      <c r="A1488" s="154"/>
      <c r="B1488" s="155"/>
      <c r="C1488" s="155"/>
      <c r="D1488" s="156" t="s">
        <v>2421</v>
      </c>
      <c r="E1488" s="156" t="s">
        <v>2422</v>
      </c>
      <c r="F1488" s="155"/>
      <c r="G1488" s="157" t="n">
        <v>5.1</v>
      </c>
      <c r="H1488" s="158"/>
      <c r="I1488" s="155"/>
      <c r="J1488" s="155"/>
      <c r="K1488" s="146"/>
    </row>
    <row r="1489">
      <c r="A1489" s="9" t="s">
        <v>2423</v>
      </c>
      <c r="B1489" s="10" t="s">
        <v>84</v>
      </c>
      <c r="C1489" s="10" t="s">
        <v>2424</v>
      </c>
      <c r="D1489" s="14" t="s">
        <v>2425</v>
      </c>
      <c r="E1489" s="10"/>
      <c r="F1489" s="10" t="s">
        <v>2426</v>
      </c>
      <c r="G1489" s="111" t="n">
        <v>1344.8695</v>
      </c>
      <c r="H1489" s="152" t="n">
        <v>0</v>
      </c>
      <c r="I1489" s="111">
        <f>G1489*H1489</f>
      </c>
      <c r="J1489" s="153" t="s">
        <v>134</v>
      </c>
      <c r="K1489" s="146"/>
      <c r="Z1489" s="111">
        <f>IF(AQ1489="5",BJ1489,0)</f>
      </c>
      <c r="AB1489" s="111">
        <f>IF(AQ1489="1",BH1489,0)</f>
      </c>
      <c r="AC1489" s="111">
        <f>IF(AQ1489="1",BI1489,0)</f>
      </c>
      <c r="AD1489" s="111">
        <f>IF(AQ1489="7",BH1489,0)</f>
      </c>
      <c r="AE1489" s="111">
        <f>IF(AQ1489="7",BI1489,0)</f>
      </c>
      <c r="AF1489" s="111">
        <f>IF(AQ1489="2",BH1489,0)</f>
      </c>
      <c r="AG1489" s="111">
        <f>IF(AQ1489="2",BI1489,0)</f>
      </c>
      <c r="AH1489" s="111">
        <f>IF(AQ1489="0",BJ1489,0)</f>
      </c>
      <c r="AI1489" s="132" t="s">
        <v>84</v>
      </c>
      <c r="AJ1489" s="111">
        <f>IF(AN1489=0,I1489,0)</f>
      </c>
      <c r="AK1489" s="111">
        <f>IF(AN1489=12,I1489,0)</f>
      </c>
      <c r="AL1489" s="111">
        <f>IF(AN1489=21,I1489,0)</f>
      </c>
      <c r="AN1489" s="111" t="n">
        <v>21</v>
      </c>
      <c r="AO1489" s="111">
        <f>H1489*0.565422218</f>
      </c>
      <c r="AP1489" s="111">
        <f>H1489*(1-0.565422218)</f>
      </c>
      <c r="AQ1489" s="153" t="s">
        <v>173</v>
      </c>
      <c r="AV1489" s="111">
        <f>AW1489+AX1489</f>
      </c>
      <c r="AW1489" s="111">
        <f>G1489*AO1489</f>
      </c>
      <c r="AX1489" s="111">
        <f>G1489*AP1489</f>
      </c>
      <c r="AY1489" s="153" t="s">
        <v>2278</v>
      </c>
      <c r="AZ1489" s="153" t="s">
        <v>1999</v>
      </c>
      <c r="BA1489" s="132" t="s">
        <v>137</v>
      </c>
      <c r="BC1489" s="111">
        <f>AW1489+AX1489</f>
      </c>
      <c r="BD1489" s="111">
        <f>H1489/(100-BE1489)*100</f>
      </c>
      <c r="BE1489" s="111" t="n">
        <v>0</v>
      </c>
      <c r="BF1489" s="111">
        <f>1489</f>
      </c>
      <c r="BH1489" s="111">
        <f>G1489*AO1489</f>
      </c>
      <c r="BI1489" s="111">
        <f>G1489*AP1489</f>
      </c>
      <c r="BJ1489" s="111">
        <f>G1489*H1489</f>
      </c>
      <c r="BK1489" s="111"/>
      <c r="BL1489" s="111" t="n">
        <v>767</v>
      </c>
      <c r="BW1489" s="111" t="n">
        <v>21</v>
      </c>
      <c r="BX1489" s="14" t="s">
        <v>2425</v>
      </c>
    </row>
    <row r="1490" customHeight="true" ht="13.5">
      <c r="A1490" s="159"/>
      <c r="C1490" s="160" t="s">
        <v>146</v>
      </c>
      <c r="D1490" s="161" t="s">
        <v>2427</v>
      </c>
      <c r="E1490" s="156"/>
      <c r="F1490" s="156"/>
      <c r="G1490" s="156"/>
      <c r="H1490" s="162"/>
      <c r="I1490" s="156"/>
      <c r="J1490" s="156"/>
      <c r="K1490" s="163"/>
    </row>
    <row r="1491">
      <c r="A1491" s="154"/>
      <c r="B1491" s="155"/>
      <c r="C1491" s="155"/>
      <c r="D1491" s="156" t="s">
        <v>2428</v>
      </c>
      <c r="E1491" s="156" t="s">
        <v>2429</v>
      </c>
      <c r="F1491" s="155"/>
      <c r="G1491" s="157" t="n">
        <v>604.6645</v>
      </c>
      <c r="H1491" s="158"/>
      <c r="I1491" s="155"/>
      <c r="J1491" s="155"/>
      <c r="K1491" s="146"/>
    </row>
    <row r="1492">
      <c r="A1492" s="154"/>
      <c r="B1492" s="155"/>
      <c r="C1492" s="155"/>
      <c r="D1492" s="156" t="s">
        <v>2430</v>
      </c>
      <c r="E1492" s="156" t="s">
        <v>2431</v>
      </c>
      <c r="F1492" s="155"/>
      <c r="G1492" s="157" t="n">
        <v>150</v>
      </c>
      <c r="H1492" s="158"/>
      <c r="I1492" s="155"/>
      <c r="J1492" s="155"/>
      <c r="K1492" s="146"/>
    </row>
    <row r="1493">
      <c r="A1493" s="154"/>
      <c r="B1493" s="155"/>
      <c r="C1493" s="155"/>
      <c r="D1493" s="156" t="s">
        <v>2432</v>
      </c>
      <c r="E1493" s="156" t="s">
        <v>2433</v>
      </c>
      <c r="F1493" s="155"/>
      <c r="G1493" s="157" t="n">
        <v>590.205</v>
      </c>
      <c r="H1493" s="158"/>
      <c r="I1493" s="155"/>
      <c r="J1493" s="155"/>
      <c r="K1493" s="146"/>
    </row>
    <row r="1494">
      <c r="A1494" s="9" t="s">
        <v>2434</v>
      </c>
      <c r="B1494" s="10" t="s">
        <v>84</v>
      </c>
      <c r="C1494" s="10" t="s">
        <v>2435</v>
      </c>
      <c r="D1494" s="14" t="s">
        <v>2436</v>
      </c>
      <c r="E1494" s="10"/>
      <c r="F1494" s="10" t="s">
        <v>2426</v>
      </c>
      <c r="G1494" s="111" t="n">
        <v>1344.8695</v>
      </c>
      <c r="H1494" s="152" t="n">
        <v>0</v>
      </c>
      <c r="I1494" s="111">
        <f>G1494*H1494</f>
      </c>
      <c r="J1494" s="153" t="s">
        <v>134</v>
      </c>
      <c r="K1494" s="146"/>
      <c r="Z1494" s="111">
        <f>IF(AQ1494="5",BJ1494,0)</f>
      </c>
      <c r="AB1494" s="111">
        <f>IF(AQ1494="1",BH1494,0)</f>
      </c>
      <c r="AC1494" s="111">
        <f>IF(AQ1494="1",BI1494,0)</f>
      </c>
      <c r="AD1494" s="111">
        <f>IF(AQ1494="7",BH1494,0)</f>
      </c>
      <c r="AE1494" s="111">
        <f>IF(AQ1494="7",BI1494,0)</f>
      </c>
      <c r="AF1494" s="111">
        <f>IF(AQ1494="2",BH1494,0)</f>
      </c>
      <c r="AG1494" s="111">
        <f>IF(AQ1494="2",BI1494,0)</f>
      </c>
      <c r="AH1494" s="111">
        <f>IF(AQ1494="0",BJ1494,0)</f>
      </c>
      <c r="AI1494" s="132" t="s">
        <v>84</v>
      </c>
      <c r="AJ1494" s="111">
        <f>IF(AN1494=0,I1494,0)</f>
      </c>
      <c r="AK1494" s="111">
        <f>IF(AN1494=12,I1494,0)</f>
      </c>
      <c r="AL1494" s="111">
        <f>IF(AN1494=21,I1494,0)</f>
      </c>
      <c r="AN1494" s="111" t="n">
        <v>21</v>
      </c>
      <c r="AO1494" s="111">
        <f>H1494*1</f>
      </c>
      <c r="AP1494" s="111">
        <f>H1494*(1-1)</f>
      </c>
      <c r="AQ1494" s="153" t="s">
        <v>173</v>
      </c>
      <c r="AV1494" s="111">
        <f>AW1494+AX1494</f>
      </c>
      <c r="AW1494" s="111">
        <f>G1494*AO1494</f>
      </c>
      <c r="AX1494" s="111">
        <f>G1494*AP1494</f>
      </c>
      <c r="AY1494" s="153" t="s">
        <v>2278</v>
      </c>
      <c r="AZ1494" s="153" t="s">
        <v>1999</v>
      </c>
      <c r="BA1494" s="132" t="s">
        <v>137</v>
      </c>
      <c r="BC1494" s="111">
        <f>AW1494+AX1494</f>
      </c>
      <c r="BD1494" s="111">
        <f>H1494/(100-BE1494)*100</f>
      </c>
      <c r="BE1494" s="111" t="n">
        <v>0</v>
      </c>
      <c r="BF1494" s="111">
        <f>1494</f>
      </c>
      <c r="BH1494" s="111">
        <f>G1494*AO1494</f>
      </c>
      <c r="BI1494" s="111">
        <f>G1494*AP1494</f>
      </c>
      <c r="BJ1494" s="111">
        <f>G1494*H1494</f>
      </c>
      <c r="BK1494" s="111"/>
      <c r="BL1494" s="111" t="n">
        <v>767</v>
      </c>
      <c r="BW1494" s="111" t="n">
        <v>21</v>
      </c>
      <c r="BX1494" s="14" t="s">
        <v>2436</v>
      </c>
    </row>
    <row r="1495">
      <c r="A1495" s="154"/>
      <c r="B1495" s="155"/>
      <c r="C1495" s="155"/>
      <c r="D1495" s="156" t="s">
        <v>2428</v>
      </c>
      <c r="E1495" s="156" t="s">
        <v>2429</v>
      </c>
      <c r="F1495" s="155"/>
      <c r="G1495" s="157" t="n">
        <v>604.6645</v>
      </c>
      <c r="H1495" s="158"/>
      <c r="I1495" s="155"/>
      <c r="J1495" s="155"/>
      <c r="K1495" s="146"/>
    </row>
    <row r="1496">
      <c r="A1496" s="154"/>
      <c r="B1496" s="155"/>
      <c r="C1496" s="155"/>
      <c r="D1496" s="156" t="s">
        <v>2430</v>
      </c>
      <c r="E1496" s="156" t="s">
        <v>2431</v>
      </c>
      <c r="F1496" s="155"/>
      <c r="G1496" s="157" t="n">
        <v>150</v>
      </c>
      <c r="H1496" s="158"/>
      <c r="I1496" s="155"/>
      <c r="J1496" s="155"/>
      <c r="K1496" s="146"/>
    </row>
    <row r="1497">
      <c r="A1497" s="154"/>
      <c r="B1497" s="155"/>
      <c r="C1497" s="155"/>
      <c r="D1497" s="156" t="s">
        <v>2432</v>
      </c>
      <c r="E1497" s="156" t="s">
        <v>2433</v>
      </c>
      <c r="F1497" s="155"/>
      <c r="G1497" s="157" t="n">
        <v>590.205</v>
      </c>
      <c r="H1497" s="158"/>
      <c r="I1497" s="155"/>
      <c r="J1497" s="155"/>
      <c r="K1497" s="146"/>
    </row>
    <row r="1498">
      <c r="A1498" s="9" t="s">
        <v>2437</v>
      </c>
      <c r="B1498" s="10" t="s">
        <v>84</v>
      </c>
      <c r="C1498" s="10" t="s">
        <v>2438</v>
      </c>
      <c r="D1498" s="14" t="s">
        <v>2439</v>
      </c>
      <c r="E1498" s="10"/>
      <c r="F1498" s="10" t="s">
        <v>282</v>
      </c>
      <c r="G1498" s="111" t="n">
        <v>155</v>
      </c>
      <c r="H1498" s="152" t="n">
        <v>0</v>
      </c>
      <c r="I1498" s="111">
        <f>G1498*H1498</f>
      </c>
      <c r="J1498" s="153" t="s">
        <v>134</v>
      </c>
      <c r="K1498" s="146"/>
      <c r="Z1498" s="111">
        <f>IF(AQ1498="5",BJ1498,0)</f>
      </c>
      <c r="AB1498" s="111">
        <f>IF(AQ1498="1",BH1498,0)</f>
      </c>
      <c r="AC1498" s="111">
        <f>IF(AQ1498="1",BI1498,0)</f>
      </c>
      <c r="AD1498" s="111">
        <f>IF(AQ1498="7",BH1498,0)</f>
      </c>
      <c r="AE1498" s="111">
        <f>IF(AQ1498="7",BI1498,0)</f>
      </c>
      <c r="AF1498" s="111">
        <f>IF(AQ1498="2",BH1498,0)</f>
      </c>
      <c r="AG1498" s="111">
        <f>IF(AQ1498="2",BI1498,0)</f>
      </c>
      <c r="AH1498" s="111">
        <f>IF(AQ1498="0",BJ1498,0)</f>
      </c>
      <c r="AI1498" s="132" t="s">
        <v>84</v>
      </c>
      <c r="AJ1498" s="111">
        <f>IF(AN1498=0,I1498,0)</f>
      </c>
      <c r="AK1498" s="111">
        <f>IF(AN1498=12,I1498,0)</f>
      </c>
      <c r="AL1498" s="111">
        <f>IF(AN1498=21,I1498,0)</f>
      </c>
      <c r="AN1498" s="111" t="n">
        <v>21</v>
      </c>
      <c r="AO1498" s="111">
        <f>H1498*0.329041667</f>
      </c>
      <c r="AP1498" s="111">
        <f>H1498*(1-0.329041667)</f>
      </c>
      <c r="AQ1498" s="153" t="s">
        <v>173</v>
      </c>
      <c r="AV1498" s="111">
        <f>AW1498+AX1498</f>
      </c>
      <c r="AW1498" s="111">
        <f>G1498*AO1498</f>
      </c>
      <c r="AX1498" s="111">
        <f>G1498*AP1498</f>
      </c>
      <c r="AY1498" s="153" t="s">
        <v>2278</v>
      </c>
      <c r="AZ1498" s="153" t="s">
        <v>1999</v>
      </c>
      <c r="BA1498" s="132" t="s">
        <v>137</v>
      </c>
      <c r="BC1498" s="111">
        <f>AW1498+AX1498</f>
      </c>
      <c r="BD1498" s="111">
        <f>H1498/(100-BE1498)*100</f>
      </c>
      <c r="BE1498" s="111" t="n">
        <v>0</v>
      </c>
      <c r="BF1498" s="111">
        <f>1498</f>
      </c>
      <c r="BH1498" s="111">
        <f>G1498*AO1498</f>
      </c>
      <c r="BI1498" s="111">
        <f>G1498*AP1498</f>
      </c>
      <c r="BJ1498" s="111">
        <f>G1498*H1498</f>
      </c>
      <c r="BK1498" s="111"/>
      <c r="BL1498" s="111" t="n">
        <v>767</v>
      </c>
      <c r="BW1498" s="111" t="n">
        <v>21</v>
      </c>
      <c r="BX1498" s="14" t="s">
        <v>2439</v>
      </c>
    </row>
    <row r="1499" customHeight="true" ht="13.5">
      <c r="A1499" s="159"/>
      <c r="C1499" s="160" t="s">
        <v>146</v>
      </c>
      <c r="D1499" s="161" t="s">
        <v>2440</v>
      </c>
      <c r="E1499" s="156"/>
      <c r="F1499" s="156"/>
      <c r="G1499" s="156"/>
      <c r="H1499" s="162"/>
      <c r="I1499" s="156"/>
      <c r="J1499" s="156"/>
      <c r="K1499" s="163"/>
    </row>
    <row r="1500">
      <c r="A1500" s="154"/>
      <c r="B1500" s="155"/>
      <c r="C1500" s="155"/>
      <c r="D1500" s="156" t="s">
        <v>2441</v>
      </c>
      <c r="E1500" s="156" t="s">
        <v>2442</v>
      </c>
      <c r="F1500" s="155"/>
      <c r="G1500" s="157" t="n">
        <v>155</v>
      </c>
      <c r="H1500" s="158"/>
      <c r="I1500" s="155"/>
      <c r="J1500" s="155"/>
      <c r="K1500" s="146"/>
    </row>
    <row r="1501">
      <c r="A1501" s="9" t="s">
        <v>2443</v>
      </c>
      <c r="B1501" s="10" t="s">
        <v>84</v>
      </c>
      <c r="C1501" s="10" t="s">
        <v>2444</v>
      </c>
      <c r="D1501" s="14" t="s">
        <v>2445</v>
      </c>
      <c r="E1501" s="10"/>
      <c r="F1501" s="10" t="s">
        <v>133</v>
      </c>
      <c r="G1501" s="111" t="n">
        <v>2</v>
      </c>
      <c r="H1501" s="152" t="n">
        <v>0</v>
      </c>
      <c r="I1501" s="111">
        <f>G1501*H1501</f>
      </c>
      <c r="J1501" s="153" t="s">
        <v>134</v>
      </c>
      <c r="K1501" s="146"/>
      <c r="Z1501" s="111">
        <f>IF(AQ1501="5",BJ1501,0)</f>
      </c>
      <c r="AB1501" s="111">
        <f>IF(AQ1501="1",BH1501,0)</f>
      </c>
      <c r="AC1501" s="111">
        <f>IF(AQ1501="1",BI1501,0)</f>
      </c>
      <c r="AD1501" s="111">
        <f>IF(AQ1501="7",BH1501,0)</f>
      </c>
      <c r="AE1501" s="111">
        <f>IF(AQ1501="7",BI1501,0)</f>
      </c>
      <c r="AF1501" s="111">
        <f>IF(AQ1501="2",BH1501,0)</f>
      </c>
      <c r="AG1501" s="111">
        <f>IF(AQ1501="2",BI1501,0)</f>
      </c>
      <c r="AH1501" s="111">
        <f>IF(AQ1501="0",BJ1501,0)</f>
      </c>
      <c r="AI1501" s="132" t="s">
        <v>84</v>
      </c>
      <c r="AJ1501" s="111">
        <f>IF(AN1501=0,I1501,0)</f>
      </c>
      <c r="AK1501" s="111">
        <f>IF(AN1501=12,I1501,0)</f>
      </c>
      <c r="AL1501" s="111">
        <f>IF(AN1501=21,I1501,0)</f>
      </c>
      <c r="AN1501" s="111" t="n">
        <v>21</v>
      </c>
      <c r="AO1501" s="111">
        <f>H1501*1</f>
      </c>
      <c r="AP1501" s="111">
        <f>H1501*(1-1)</f>
      </c>
      <c r="AQ1501" s="153" t="s">
        <v>173</v>
      </c>
      <c r="AV1501" s="111">
        <f>AW1501+AX1501</f>
      </c>
      <c r="AW1501" s="111">
        <f>G1501*AO1501</f>
      </c>
      <c r="AX1501" s="111">
        <f>G1501*AP1501</f>
      </c>
      <c r="AY1501" s="153" t="s">
        <v>2278</v>
      </c>
      <c r="AZ1501" s="153" t="s">
        <v>1999</v>
      </c>
      <c r="BA1501" s="132" t="s">
        <v>137</v>
      </c>
      <c r="BC1501" s="111">
        <f>AW1501+AX1501</f>
      </c>
      <c r="BD1501" s="111">
        <f>H1501/(100-BE1501)*100</f>
      </c>
      <c r="BE1501" s="111" t="n">
        <v>0</v>
      </c>
      <c r="BF1501" s="111">
        <f>1501</f>
      </c>
      <c r="BH1501" s="111">
        <f>G1501*AO1501</f>
      </c>
      <c r="BI1501" s="111">
        <f>G1501*AP1501</f>
      </c>
      <c r="BJ1501" s="111">
        <f>G1501*H1501</f>
      </c>
      <c r="BK1501" s="111"/>
      <c r="BL1501" s="111" t="n">
        <v>767</v>
      </c>
      <c r="BW1501" s="111" t="n">
        <v>21</v>
      </c>
      <c r="BX1501" s="14" t="s">
        <v>2445</v>
      </c>
    </row>
    <row r="1502">
      <c r="A1502" s="154"/>
      <c r="B1502" s="155"/>
      <c r="C1502" s="155"/>
      <c r="D1502" s="156" t="s">
        <v>140</v>
      </c>
      <c r="E1502" s="156" t="s">
        <v>2446</v>
      </c>
      <c r="F1502" s="155"/>
      <c r="G1502" s="157" t="n">
        <v>2</v>
      </c>
      <c r="H1502" s="158"/>
      <c r="I1502" s="155"/>
      <c r="J1502" s="155"/>
      <c r="K1502" s="146"/>
    </row>
    <row r="1503">
      <c r="A1503" s="9" t="s">
        <v>2447</v>
      </c>
      <c r="B1503" s="10" t="s">
        <v>84</v>
      </c>
      <c r="C1503" s="10" t="s">
        <v>2448</v>
      </c>
      <c r="D1503" s="14" t="s">
        <v>2449</v>
      </c>
      <c r="E1503" s="10"/>
      <c r="F1503" s="10" t="s">
        <v>2277</v>
      </c>
      <c r="G1503" s="111" t="n">
        <v>2</v>
      </c>
      <c r="H1503" s="152" t="n">
        <v>0</v>
      </c>
      <c r="I1503" s="111">
        <f>G1503*H1503</f>
      </c>
      <c r="J1503" s="153" t="s">
        <v>134</v>
      </c>
      <c r="K1503" s="146"/>
      <c r="Z1503" s="111">
        <f>IF(AQ1503="5",BJ1503,0)</f>
      </c>
      <c r="AB1503" s="111">
        <f>IF(AQ1503="1",BH1503,0)</f>
      </c>
      <c r="AC1503" s="111">
        <f>IF(AQ1503="1",BI1503,0)</f>
      </c>
      <c r="AD1503" s="111">
        <f>IF(AQ1503="7",BH1503,0)</f>
      </c>
      <c r="AE1503" s="111">
        <f>IF(AQ1503="7",BI1503,0)</f>
      </c>
      <c r="AF1503" s="111">
        <f>IF(AQ1503="2",BH1503,0)</f>
      </c>
      <c r="AG1503" s="111">
        <f>IF(AQ1503="2",BI1503,0)</f>
      </c>
      <c r="AH1503" s="111">
        <f>IF(AQ1503="0",BJ1503,0)</f>
      </c>
      <c r="AI1503" s="132" t="s">
        <v>84</v>
      </c>
      <c r="AJ1503" s="111">
        <f>IF(AN1503=0,I1503,0)</f>
      </c>
      <c r="AK1503" s="111">
        <f>IF(AN1503=12,I1503,0)</f>
      </c>
      <c r="AL1503" s="111">
        <f>IF(AN1503=21,I1503,0)</f>
      </c>
      <c r="AN1503" s="111" t="n">
        <v>21</v>
      </c>
      <c r="AO1503" s="111">
        <f>H1503*0.078505455</f>
      </c>
      <c r="AP1503" s="111">
        <f>H1503*(1-0.078505455)</f>
      </c>
      <c r="AQ1503" s="153" t="s">
        <v>173</v>
      </c>
      <c r="AV1503" s="111">
        <f>AW1503+AX1503</f>
      </c>
      <c r="AW1503" s="111">
        <f>G1503*AO1503</f>
      </c>
      <c r="AX1503" s="111">
        <f>G1503*AP1503</f>
      </c>
      <c r="AY1503" s="153" t="s">
        <v>2278</v>
      </c>
      <c r="AZ1503" s="153" t="s">
        <v>1999</v>
      </c>
      <c r="BA1503" s="132" t="s">
        <v>137</v>
      </c>
      <c r="BC1503" s="111">
        <f>AW1503+AX1503</f>
      </c>
      <c r="BD1503" s="111">
        <f>H1503/(100-BE1503)*100</f>
      </c>
      <c r="BE1503" s="111" t="n">
        <v>0</v>
      </c>
      <c r="BF1503" s="111">
        <f>1503</f>
      </c>
      <c r="BH1503" s="111">
        <f>G1503*AO1503</f>
      </c>
      <c r="BI1503" s="111">
        <f>G1503*AP1503</f>
      </c>
      <c r="BJ1503" s="111">
        <f>G1503*H1503</f>
      </c>
      <c r="BK1503" s="111"/>
      <c r="BL1503" s="111" t="n">
        <v>767</v>
      </c>
      <c r="BW1503" s="111" t="n">
        <v>21</v>
      </c>
      <c r="BX1503" s="14" t="s">
        <v>2449</v>
      </c>
    </row>
    <row r="1504" customHeight="true" ht="13.5">
      <c r="A1504" s="159"/>
      <c r="C1504" s="160" t="s">
        <v>146</v>
      </c>
      <c r="D1504" s="161" t="s">
        <v>1437</v>
      </c>
      <c r="E1504" s="156"/>
      <c r="F1504" s="156"/>
      <c r="G1504" s="156"/>
      <c r="H1504" s="162"/>
      <c r="I1504" s="156"/>
      <c r="J1504" s="156"/>
      <c r="K1504" s="163"/>
    </row>
    <row r="1505">
      <c r="A1505" s="154"/>
      <c r="B1505" s="155"/>
      <c r="C1505" s="155"/>
      <c r="D1505" s="156" t="s">
        <v>140</v>
      </c>
      <c r="E1505" s="156" t="s">
        <v>2450</v>
      </c>
      <c r="F1505" s="155"/>
      <c r="G1505" s="157" t="n">
        <v>2</v>
      </c>
      <c r="H1505" s="158"/>
      <c r="I1505" s="155"/>
      <c r="J1505" s="155"/>
      <c r="K1505" s="146"/>
    </row>
    <row r="1506">
      <c r="A1506" s="9" t="s">
        <v>2451</v>
      </c>
      <c r="B1506" s="10" t="s">
        <v>84</v>
      </c>
      <c r="C1506" s="10" t="s">
        <v>2452</v>
      </c>
      <c r="D1506" s="14" t="s">
        <v>2453</v>
      </c>
      <c r="E1506" s="10"/>
      <c r="F1506" s="10" t="s">
        <v>145</v>
      </c>
      <c r="G1506" s="111" t="n">
        <v>1.7575</v>
      </c>
      <c r="H1506" s="152" t="n">
        <v>0</v>
      </c>
      <c r="I1506" s="111">
        <f>G1506*H1506</f>
      </c>
      <c r="J1506" s="153" t="s">
        <v>134</v>
      </c>
      <c r="K1506" s="146"/>
      <c r="Z1506" s="111">
        <f>IF(AQ1506="5",BJ1506,0)</f>
      </c>
      <c r="AB1506" s="111">
        <f>IF(AQ1506="1",BH1506,0)</f>
      </c>
      <c r="AC1506" s="111">
        <f>IF(AQ1506="1",BI1506,0)</f>
      </c>
      <c r="AD1506" s="111">
        <f>IF(AQ1506="7",BH1506,0)</f>
      </c>
      <c r="AE1506" s="111">
        <f>IF(AQ1506="7",BI1506,0)</f>
      </c>
      <c r="AF1506" s="111">
        <f>IF(AQ1506="2",BH1506,0)</f>
      </c>
      <c r="AG1506" s="111">
        <f>IF(AQ1506="2",BI1506,0)</f>
      </c>
      <c r="AH1506" s="111">
        <f>IF(AQ1506="0",BJ1506,0)</f>
      </c>
      <c r="AI1506" s="132" t="s">
        <v>84</v>
      </c>
      <c r="AJ1506" s="111">
        <f>IF(AN1506=0,I1506,0)</f>
      </c>
      <c r="AK1506" s="111">
        <f>IF(AN1506=12,I1506,0)</f>
      </c>
      <c r="AL1506" s="111">
        <f>IF(AN1506=21,I1506,0)</f>
      </c>
      <c r="AN1506" s="111" t="n">
        <v>21</v>
      </c>
      <c r="AO1506" s="111">
        <f>H1506*1</f>
      </c>
      <c r="AP1506" s="111">
        <f>H1506*(1-1)</f>
      </c>
      <c r="AQ1506" s="153" t="s">
        <v>173</v>
      </c>
      <c r="AV1506" s="111">
        <f>AW1506+AX1506</f>
      </c>
      <c r="AW1506" s="111">
        <f>G1506*AO1506</f>
      </c>
      <c r="AX1506" s="111">
        <f>G1506*AP1506</f>
      </c>
      <c r="AY1506" s="153" t="s">
        <v>2278</v>
      </c>
      <c r="AZ1506" s="153" t="s">
        <v>1999</v>
      </c>
      <c r="BA1506" s="132" t="s">
        <v>137</v>
      </c>
      <c r="BC1506" s="111">
        <f>AW1506+AX1506</f>
      </c>
      <c r="BD1506" s="111">
        <f>H1506/(100-BE1506)*100</f>
      </c>
      <c r="BE1506" s="111" t="n">
        <v>0</v>
      </c>
      <c r="BF1506" s="111">
        <f>1506</f>
      </c>
      <c r="BH1506" s="111">
        <f>G1506*AO1506</f>
      </c>
      <c r="BI1506" s="111">
        <f>G1506*AP1506</f>
      </c>
      <c r="BJ1506" s="111">
        <f>G1506*H1506</f>
      </c>
      <c r="BK1506" s="111"/>
      <c r="BL1506" s="111" t="n">
        <v>767</v>
      </c>
      <c r="BW1506" s="111" t="n">
        <v>21</v>
      </c>
      <c r="BX1506" s="14" t="s">
        <v>2453</v>
      </c>
    </row>
    <row r="1507">
      <c r="A1507" s="154"/>
      <c r="B1507" s="155"/>
      <c r="C1507" s="155"/>
      <c r="D1507" s="156" t="s">
        <v>2454</v>
      </c>
      <c r="E1507" s="156" t="s">
        <v>2455</v>
      </c>
      <c r="F1507" s="155"/>
      <c r="G1507" s="157" t="n">
        <v>1.7575</v>
      </c>
      <c r="H1507" s="158"/>
      <c r="I1507" s="155"/>
      <c r="J1507" s="155"/>
      <c r="K1507" s="146"/>
    </row>
    <row r="1508">
      <c r="A1508" s="9" t="s">
        <v>2456</v>
      </c>
      <c r="B1508" s="10" t="s">
        <v>84</v>
      </c>
      <c r="C1508" s="10" t="s">
        <v>2457</v>
      </c>
      <c r="D1508" s="14" t="s">
        <v>2458</v>
      </c>
      <c r="E1508" s="10"/>
      <c r="F1508" s="10" t="s">
        <v>145</v>
      </c>
      <c r="G1508" s="111" t="n">
        <v>2.975</v>
      </c>
      <c r="H1508" s="152" t="n">
        <v>0</v>
      </c>
      <c r="I1508" s="111">
        <f>G1508*H1508</f>
      </c>
      <c r="J1508" s="153" t="s">
        <v>134</v>
      </c>
      <c r="K1508" s="146"/>
      <c r="Z1508" s="111">
        <f>IF(AQ1508="5",BJ1508,0)</f>
      </c>
      <c r="AB1508" s="111">
        <f>IF(AQ1508="1",BH1508,0)</f>
      </c>
      <c r="AC1508" s="111">
        <f>IF(AQ1508="1",BI1508,0)</f>
      </c>
      <c r="AD1508" s="111">
        <f>IF(AQ1508="7",BH1508,0)</f>
      </c>
      <c r="AE1508" s="111">
        <f>IF(AQ1508="7",BI1508,0)</f>
      </c>
      <c r="AF1508" s="111">
        <f>IF(AQ1508="2",BH1508,0)</f>
      </c>
      <c r="AG1508" s="111">
        <f>IF(AQ1508="2",BI1508,0)</f>
      </c>
      <c r="AH1508" s="111">
        <f>IF(AQ1508="0",BJ1508,0)</f>
      </c>
      <c r="AI1508" s="132" t="s">
        <v>84</v>
      </c>
      <c r="AJ1508" s="111">
        <f>IF(AN1508=0,I1508,0)</f>
      </c>
      <c r="AK1508" s="111">
        <f>IF(AN1508=12,I1508,0)</f>
      </c>
      <c r="AL1508" s="111">
        <f>IF(AN1508=21,I1508,0)</f>
      </c>
      <c r="AN1508" s="111" t="n">
        <v>21</v>
      </c>
      <c r="AO1508" s="111">
        <f>H1508*0.091253846</f>
      </c>
      <c r="AP1508" s="111">
        <f>H1508*(1-0.091253846)</f>
      </c>
      <c r="AQ1508" s="153" t="s">
        <v>173</v>
      </c>
      <c r="AV1508" s="111">
        <f>AW1508+AX1508</f>
      </c>
      <c r="AW1508" s="111">
        <f>G1508*AO1508</f>
      </c>
      <c r="AX1508" s="111">
        <f>G1508*AP1508</f>
      </c>
      <c r="AY1508" s="153" t="s">
        <v>2278</v>
      </c>
      <c r="AZ1508" s="153" t="s">
        <v>1999</v>
      </c>
      <c r="BA1508" s="132" t="s">
        <v>137</v>
      </c>
      <c r="BC1508" s="111">
        <f>AW1508+AX1508</f>
      </c>
      <c r="BD1508" s="111">
        <f>H1508/(100-BE1508)*100</f>
      </c>
      <c r="BE1508" s="111" t="n">
        <v>0</v>
      </c>
      <c r="BF1508" s="111">
        <f>1508</f>
      </c>
      <c r="BH1508" s="111">
        <f>G1508*AO1508</f>
      </c>
      <c r="BI1508" s="111">
        <f>G1508*AP1508</f>
      </c>
      <c r="BJ1508" s="111">
        <f>G1508*H1508</f>
      </c>
      <c r="BK1508" s="111"/>
      <c r="BL1508" s="111" t="n">
        <v>767</v>
      </c>
      <c r="BW1508" s="111" t="n">
        <v>21</v>
      </c>
      <c r="BX1508" s="14" t="s">
        <v>2458</v>
      </c>
    </row>
    <row r="1509" customHeight="true" ht="13.5">
      <c r="A1509" s="159"/>
      <c r="C1509" s="160" t="s">
        <v>146</v>
      </c>
      <c r="D1509" s="161" t="s">
        <v>640</v>
      </c>
      <c r="E1509" s="156"/>
      <c r="F1509" s="156"/>
      <c r="G1509" s="156"/>
      <c r="H1509" s="162"/>
      <c r="I1509" s="156"/>
      <c r="J1509" s="156"/>
      <c r="K1509" s="163"/>
    </row>
    <row r="1510">
      <c r="A1510" s="154"/>
      <c r="B1510" s="155"/>
      <c r="C1510" s="155"/>
      <c r="D1510" s="156" t="s">
        <v>2459</v>
      </c>
      <c r="E1510" s="156" t="s">
        <v>2460</v>
      </c>
      <c r="F1510" s="155"/>
      <c r="G1510" s="157" t="n">
        <v>2.975</v>
      </c>
      <c r="H1510" s="158"/>
      <c r="I1510" s="155"/>
      <c r="J1510" s="155"/>
      <c r="K1510" s="146"/>
    </row>
    <row r="1511">
      <c r="A1511" s="9" t="s">
        <v>2461</v>
      </c>
      <c r="B1511" s="10" t="s">
        <v>84</v>
      </c>
      <c r="C1511" s="10" t="s">
        <v>2462</v>
      </c>
      <c r="D1511" s="14" t="s">
        <v>2463</v>
      </c>
      <c r="E1511" s="10"/>
      <c r="F1511" s="10" t="s">
        <v>1962</v>
      </c>
      <c r="G1511" s="111" t="n">
        <v>1</v>
      </c>
      <c r="H1511" s="152" t="n">
        <v>0</v>
      </c>
      <c r="I1511" s="111">
        <f>G1511*H1511</f>
      </c>
      <c r="J1511" s="153" t="s">
        <v>134</v>
      </c>
      <c r="K1511" s="146"/>
      <c r="Z1511" s="111">
        <f>IF(AQ1511="5",BJ1511,0)</f>
      </c>
      <c r="AB1511" s="111">
        <f>IF(AQ1511="1",BH1511,0)</f>
      </c>
      <c r="AC1511" s="111">
        <f>IF(AQ1511="1",BI1511,0)</f>
      </c>
      <c r="AD1511" s="111">
        <f>IF(AQ1511="7",BH1511,0)</f>
      </c>
      <c r="AE1511" s="111">
        <f>IF(AQ1511="7",BI1511,0)</f>
      </c>
      <c r="AF1511" s="111">
        <f>IF(AQ1511="2",BH1511,0)</f>
      </c>
      <c r="AG1511" s="111">
        <f>IF(AQ1511="2",BI1511,0)</f>
      </c>
      <c r="AH1511" s="111">
        <f>IF(AQ1511="0",BJ1511,0)</f>
      </c>
      <c r="AI1511" s="132" t="s">
        <v>84</v>
      </c>
      <c r="AJ1511" s="111">
        <f>IF(AN1511=0,I1511,0)</f>
      </c>
      <c r="AK1511" s="111">
        <f>IF(AN1511=12,I1511,0)</f>
      </c>
      <c r="AL1511" s="111">
        <f>IF(AN1511=21,I1511,0)</f>
      </c>
      <c r="AN1511" s="111" t="n">
        <v>21</v>
      </c>
      <c r="AO1511" s="111">
        <f>H1511*0.166281111</f>
      </c>
      <c r="AP1511" s="111">
        <f>H1511*(1-0.166281111)</f>
      </c>
      <c r="AQ1511" s="153" t="s">
        <v>173</v>
      </c>
      <c r="AV1511" s="111">
        <f>AW1511+AX1511</f>
      </c>
      <c r="AW1511" s="111">
        <f>G1511*AO1511</f>
      </c>
      <c r="AX1511" s="111">
        <f>G1511*AP1511</f>
      </c>
      <c r="AY1511" s="153" t="s">
        <v>2278</v>
      </c>
      <c r="AZ1511" s="153" t="s">
        <v>1999</v>
      </c>
      <c r="BA1511" s="132" t="s">
        <v>137</v>
      </c>
      <c r="BC1511" s="111">
        <f>AW1511+AX1511</f>
      </c>
      <c r="BD1511" s="111">
        <f>H1511/(100-BE1511)*100</f>
      </c>
      <c r="BE1511" s="111" t="n">
        <v>0</v>
      </c>
      <c r="BF1511" s="111">
        <f>1511</f>
      </c>
      <c r="BH1511" s="111">
        <f>G1511*AO1511</f>
      </c>
      <c r="BI1511" s="111">
        <f>G1511*AP1511</f>
      </c>
      <c r="BJ1511" s="111">
        <f>G1511*H1511</f>
      </c>
      <c r="BK1511" s="111"/>
      <c r="BL1511" s="111" t="n">
        <v>767</v>
      </c>
      <c r="BW1511" s="111" t="n">
        <v>21</v>
      </c>
      <c r="BX1511" s="14" t="s">
        <v>2463</v>
      </c>
    </row>
    <row r="1512" customHeight="true" ht="13.5">
      <c r="A1512" s="159"/>
      <c r="C1512" s="160" t="s">
        <v>146</v>
      </c>
      <c r="D1512" s="161" t="s">
        <v>1437</v>
      </c>
      <c r="E1512" s="156"/>
      <c r="F1512" s="156"/>
      <c r="G1512" s="156"/>
      <c r="H1512" s="162"/>
      <c r="I1512" s="156"/>
      <c r="J1512" s="156"/>
      <c r="K1512" s="163"/>
    </row>
    <row r="1513">
      <c r="A1513" s="154"/>
      <c r="B1513" s="155"/>
      <c r="C1513" s="155"/>
      <c r="D1513" s="156" t="s">
        <v>130</v>
      </c>
      <c r="E1513" s="156" t="s">
        <v>2464</v>
      </c>
      <c r="F1513" s="155"/>
      <c r="G1513" s="157" t="n">
        <v>1</v>
      </c>
      <c r="H1513" s="158"/>
      <c r="I1513" s="155"/>
      <c r="J1513" s="155"/>
      <c r="K1513" s="146"/>
    </row>
    <row r="1514">
      <c r="A1514" s="9" t="s">
        <v>2465</v>
      </c>
      <c r="B1514" s="10" t="s">
        <v>84</v>
      </c>
      <c r="C1514" s="10" t="s">
        <v>2466</v>
      </c>
      <c r="D1514" s="14" t="s">
        <v>2467</v>
      </c>
      <c r="E1514" s="10"/>
      <c r="F1514" s="10" t="s">
        <v>133</v>
      </c>
      <c r="G1514" s="111" t="n">
        <v>1</v>
      </c>
      <c r="H1514" s="152" t="n">
        <v>0</v>
      </c>
      <c r="I1514" s="111">
        <f>G1514*H1514</f>
      </c>
      <c r="J1514" s="153" t="s">
        <v>134</v>
      </c>
      <c r="K1514" s="146"/>
      <c r="Z1514" s="111">
        <f>IF(AQ1514="5",BJ1514,0)</f>
      </c>
      <c r="AB1514" s="111">
        <f>IF(AQ1514="1",BH1514,0)</f>
      </c>
      <c r="AC1514" s="111">
        <f>IF(AQ1514="1",BI1514,0)</f>
      </c>
      <c r="AD1514" s="111">
        <f>IF(AQ1514="7",BH1514,0)</f>
      </c>
      <c r="AE1514" s="111">
        <f>IF(AQ1514="7",BI1514,0)</f>
      </c>
      <c r="AF1514" s="111">
        <f>IF(AQ1514="2",BH1514,0)</f>
      </c>
      <c r="AG1514" s="111">
        <f>IF(AQ1514="2",BI1514,0)</f>
      </c>
      <c r="AH1514" s="111">
        <f>IF(AQ1514="0",BJ1514,0)</f>
      </c>
      <c r="AI1514" s="132" t="s">
        <v>84</v>
      </c>
      <c r="AJ1514" s="111">
        <f>IF(AN1514=0,I1514,0)</f>
      </c>
      <c r="AK1514" s="111">
        <f>IF(AN1514=12,I1514,0)</f>
      </c>
      <c r="AL1514" s="111">
        <f>IF(AN1514=21,I1514,0)</f>
      </c>
      <c r="AN1514" s="111" t="n">
        <v>21</v>
      </c>
      <c r="AO1514" s="111">
        <f>H1514*0</f>
      </c>
      <c r="AP1514" s="111">
        <f>H1514*(1-0)</f>
      </c>
      <c r="AQ1514" s="153" t="s">
        <v>173</v>
      </c>
      <c r="AV1514" s="111">
        <f>AW1514+AX1514</f>
      </c>
      <c r="AW1514" s="111">
        <f>G1514*AO1514</f>
      </c>
      <c r="AX1514" s="111">
        <f>G1514*AP1514</f>
      </c>
      <c r="AY1514" s="153" t="s">
        <v>2278</v>
      </c>
      <c r="AZ1514" s="153" t="s">
        <v>1999</v>
      </c>
      <c r="BA1514" s="132" t="s">
        <v>137</v>
      </c>
      <c r="BC1514" s="111">
        <f>AW1514+AX1514</f>
      </c>
      <c r="BD1514" s="111">
        <f>H1514/(100-BE1514)*100</f>
      </c>
      <c r="BE1514" s="111" t="n">
        <v>0</v>
      </c>
      <c r="BF1514" s="111">
        <f>1514</f>
      </c>
      <c r="BH1514" s="111">
        <f>G1514*AO1514</f>
      </c>
      <c r="BI1514" s="111">
        <f>G1514*AP1514</f>
      </c>
      <c r="BJ1514" s="111">
        <f>G1514*H1514</f>
      </c>
      <c r="BK1514" s="111"/>
      <c r="BL1514" s="111" t="n">
        <v>767</v>
      </c>
      <c r="BW1514" s="111" t="n">
        <v>21</v>
      </c>
      <c r="BX1514" s="14" t="s">
        <v>2467</v>
      </c>
    </row>
    <row r="1515" customHeight="true" ht="13.5">
      <c r="A1515" s="159"/>
      <c r="C1515" s="160" t="s">
        <v>146</v>
      </c>
      <c r="D1515" s="161" t="s">
        <v>2468</v>
      </c>
      <c r="E1515" s="156"/>
      <c r="F1515" s="156"/>
      <c r="G1515" s="156"/>
      <c r="H1515" s="162"/>
      <c r="I1515" s="156"/>
      <c r="J1515" s="156"/>
      <c r="K1515" s="163"/>
    </row>
    <row r="1516">
      <c r="A1516" s="154"/>
      <c r="B1516" s="155"/>
      <c r="C1516" s="155"/>
      <c r="D1516" s="156" t="s">
        <v>130</v>
      </c>
      <c r="E1516" s="156" t="s">
        <v>1437</v>
      </c>
      <c r="F1516" s="155"/>
      <c r="G1516" s="157" t="n">
        <v>1</v>
      </c>
      <c r="H1516" s="158"/>
      <c r="I1516" s="155"/>
      <c r="J1516" s="155"/>
      <c r="K1516" s="146"/>
    </row>
    <row r="1517">
      <c r="A1517" s="9" t="s">
        <v>1454</v>
      </c>
      <c r="B1517" s="10" t="s">
        <v>84</v>
      </c>
      <c r="C1517" s="10" t="s">
        <v>2424</v>
      </c>
      <c r="D1517" s="14" t="s">
        <v>2469</v>
      </c>
      <c r="E1517" s="10"/>
      <c r="F1517" s="10" t="s">
        <v>2426</v>
      </c>
      <c r="G1517" s="111" t="n">
        <v>451.35486</v>
      </c>
      <c r="H1517" s="152" t="n">
        <v>0</v>
      </c>
      <c r="I1517" s="111">
        <f>G1517*H1517</f>
      </c>
      <c r="J1517" s="153" t="s">
        <v>134</v>
      </c>
      <c r="K1517" s="146"/>
      <c r="Z1517" s="111">
        <f>IF(AQ1517="5",BJ1517,0)</f>
      </c>
      <c r="AB1517" s="111">
        <f>IF(AQ1517="1",BH1517,0)</f>
      </c>
      <c r="AC1517" s="111">
        <f>IF(AQ1517="1",BI1517,0)</f>
      </c>
      <c r="AD1517" s="111">
        <f>IF(AQ1517="7",BH1517,0)</f>
      </c>
      <c r="AE1517" s="111">
        <f>IF(AQ1517="7",BI1517,0)</f>
      </c>
      <c r="AF1517" s="111">
        <f>IF(AQ1517="2",BH1517,0)</f>
      </c>
      <c r="AG1517" s="111">
        <f>IF(AQ1517="2",BI1517,0)</f>
      </c>
      <c r="AH1517" s="111">
        <f>IF(AQ1517="0",BJ1517,0)</f>
      </c>
      <c r="AI1517" s="132" t="s">
        <v>84</v>
      </c>
      <c r="AJ1517" s="111">
        <f>IF(AN1517=0,I1517,0)</f>
      </c>
      <c r="AK1517" s="111">
        <f>IF(AN1517=12,I1517,0)</f>
      </c>
      <c r="AL1517" s="111">
        <f>IF(AN1517=21,I1517,0)</f>
      </c>
      <c r="AN1517" s="111" t="n">
        <v>21</v>
      </c>
      <c r="AO1517" s="111">
        <f>H1517*0.565422242</f>
      </c>
      <c r="AP1517" s="111">
        <f>H1517*(1-0.565422242)</f>
      </c>
      <c r="AQ1517" s="153" t="s">
        <v>173</v>
      </c>
      <c r="AV1517" s="111">
        <f>AW1517+AX1517</f>
      </c>
      <c r="AW1517" s="111">
        <f>G1517*AO1517</f>
      </c>
      <c r="AX1517" s="111">
        <f>G1517*AP1517</f>
      </c>
      <c r="AY1517" s="153" t="s">
        <v>2278</v>
      </c>
      <c r="AZ1517" s="153" t="s">
        <v>1999</v>
      </c>
      <c r="BA1517" s="132" t="s">
        <v>137</v>
      </c>
      <c r="BC1517" s="111">
        <f>AW1517+AX1517</f>
      </c>
      <c r="BD1517" s="111">
        <f>H1517/(100-BE1517)*100</f>
      </c>
      <c r="BE1517" s="111" t="n">
        <v>0</v>
      </c>
      <c r="BF1517" s="111">
        <f>1517</f>
      </c>
      <c r="BH1517" s="111">
        <f>G1517*AO1517</f>
      </c>
      <c r="BI1517" s="111">
        <f>G1517*AP1517</f>
      </c>
      <c r="BJ1517" s="111">
        <f>G1517*H1517</f>
      </c>
      <c r="BK1517" s="111"/>
      <c r="BL1517" s="111" t="n">
        <v>767</v>
      </c>
      <c r="BW1517" s="111" t="n">
        <v>21</v>
      </c>
      <c r="BX1517" s="14" t="s">
        <v>2469</v>
      </c>
    </row>
    <row r="1518" customHeight="true" ht="13.5">
      <c r="A1518" s="159"/>
      <c r="C1518" s="160" t="s">
        <v>146</v>
      </c>
      <c r="D1518" s="161" t="s">
        <v>2427</v>
      </c>
      <c r="E1518" s="156"/>
      <c r="F1518" s="156"/>
      <c r="G1518" s="156"/>
      <c r="H1518" s="162"/>
      <c r="I1518" s="156"/>
      <c r="J1518" s="156"/>
      <c r="K1518" s="163"/>
    </row>
    <row r="1519">
      <c r="A1519" s="154"/>
      <c r="B1519" s="155"/>
      <c r="C1519" s="155"/>
      <c r="D1519" s="156" t="s">
        <v>2470</v>
      </c>
      <c r="E1519" s="156" t="s">
        <v>2471</v>
      </c>
      <c r="F1519" s="155"/>
      <c r="G1519" s="157" t="n">
        <v>375.9624</v>
      </c>
      <c r="H1519" s="158"/>
      <c r="I1519" s="155"/>
      <c r="J1519" s="155"/>
      <c r="K1519" s="146"/>
    </row>
    <row r="1520">
      <c r="A1520" s="154"/>
      <c r="B1520" s="155"/>
      <c r="C1520" s="155"/>
      <c r="D1520" s="156" t="s">
        <v>2472</v>
      </c>
      <c r="E1520" s="156" t="s">
        <v>2473</v>
      </c>
      <c r="F1520" s="155"/>
      <c r="G1520" s="157" t="n">
        <v>75.39246</v>
      </c>
      <c r="H1520" s="158"/>
      <c r="I1520" s="155"/>
      <c r="J1520" s="155"/>
      <c r="K1520" s="146"/>
    </row>
    <row r="1521">
      <c r="A1521" s="9" t="s">
        <v>2474</v>
      </c>
      <c r="B1521" s="10" t="s">
        <v>84</v>
      </c>
      <c r="C1521" s="10" t="s">
        <v>2475</v>
      </c>
      <c r="D1521" s="14" t="s">
        <v>2476</v>
      </c>
      <c r="E1521" s="10"/>
      <c r="F1521" s="10" t="s">
        <v>61</v>
      </c>
      <c r="G1521" s="111" t="n">
        <v>2.35</v>
      </c>
      <c r="H1521" s="152" t="n">
        <v>0</v>
      </c>
      <c r="I1521" s="111">
        <f>G1521*H1521</f>
      </c>
      <c r="J1521" s="153" t="s">
        <v>134</v>
      </c>
      <c r="K1521" s="146"/>
      <c r="Z1521" s="111">
        <f>IF(AQ1521="5",BJ1521,0)</f>
      </c>
      <c r="AB1521" s="111">
        <f>IF(AQ1521="1",BH1521,0)</f>
      </c>
      <c r="AC1521" s="111">
        <f>IF(AQ1521="1",BI1521,0)</f>
      </c>
      <c r="AD1521" s="111">
        <f>IF(AQ1521="7",BH1521,0)</f>
      </c>
      <c r="AE1521" s="111">
        <f>IF(AQ1521="7",BI1521,0)</f>
      </c>
      <c r="AF1521" s="111">
        <f>IF(AQ1521="2",BH1521,0)</f>
      </c>
      <c r="AG1521" s="111">
        <f>IF(AQ1521="2",BI1521,0)</f>
      </c>
      <c r="AH1521" s="111">
        <f>IF(AQ1521="0",BJ1521,0)</f>
      </c>
      <c r="AI1521" s="132" t="s">
        <v>84</v>
      </c>
      <c r="AJ1521" s="111">
        <f>IF(AN1521=0,I1521,0)</f>
      </c>
      <c r="AK1521" s="111">
        <f>IF(AN1521=12,I1521,0)</f>
      </c>
      <c r="AL1521" s="111">
        <f>IF(AN1521=21,I1521,0)</f>
      </c>
      <c r="AN1521" s="111" t="n">
        <v>21</v>
      </c>
      <c r="AO1521" s="111">
        <f>H1521*0</f>
      </c>
      <c r="AP1521" s="111">
        <f>H1521*(1-0)</f>
      </c>
      <c r="AQ1521" s="153" t="s">
        <v>156</v>
      </c>
      <c r="AV1521" s="111">
        <f>AW1521+AX1521</f>
      </c>
      <c r="AW1521" s="111">
        <f>G1521*AO1521</f>
      </c>
      <c r="AX1521" s="111">
        <f>G1521*AP1521</f>
      </c>
      <c r="AY1521" s="153" t="s">
        <v>2278</v>
      </c>
      <c r="AZ1521" s="153" t="s">
        <v>1999</v>
      </c>
      <c r="BA1521" s="132" t="s">
        <v>137</v>
      </c>
      <c r="BC1521" s="111">
        <f>AW1521+AX1521</f>
      </c>
      <c r="BD1521" s="111">
        <f>H1521/(100-BE1521)*100</f>
      </c>
      <c r="BE1521" s="111" t="n">
        <v>0</v>
      </c>
      <c r="BF1521" s="111">
        <f>1521</f>
      </c>
      <c r="BH1521" s="111">
        <f>G1521*AO1521</f>
      </c>
      <c r="BI1521" s="111">
        <f>G1521*AP1521</f>
      </c>
      <c r="BJ1521" s="111">
        <f>G1521*H1521</f>
      </c>
      <c r="BK1521" s="111"/>
      <c r="BL1521" s="111" t="n">
        <v>767</v>
      </c>
      <c r="BW1521" s="111" t="n">
        <v>21</v>
      </c>
      <c r="BX1521" s="14" t="s">
        <v>2476</v>
      </c>
    </row>
    <row r="1522">
      <c r="A1522" s="9" t="s">
        <v>2477</v>
      </c>
      <c r="B1522" s="10" t="s">
        <v>84</v>
      </c>
      <c r="C1522" s="10" t="s">
        <v>2478</v>
      </c>
      <c r="D1522" s="14" t="s">
        <v>2479</v>
      </c>
      <c r="E1522" s="10"/>
      <c r="F1522" s="10" t="s">
        <v>61</v>
      </c>
      <c r="G1522" s="111" t="n">
        <v>1.45</v>
      </c>
      <c r="H1522" s="152" t="n">
        <v>0</v>
      </c>
      <c r="I1522" s="111">
        <f>G1522*H1522</f>
      </c>
      <c r="J1522" s="153" t="s">
        <v>134</v>
      </c>
      <c r="K1522" s="146"/>
      <c r="Z1522" s="111">
        <f>IF(AQ1522="5",BJ1522,0)</f>
      </c>
      <c r="AB1522" s="111">
        <f>IF(AQ1522="1",BH1522,0)</f>
      </c>
      <c r="AC1522" s="111">
        <f>IF(AQ1522="1",BI1522,0)</f>
      </c>
      <c r="AD1522" s="111">
        <f>IF(AQ1522="7",BH1522,0)</f>
      </c>
      <c r="AE1522" s="111">
        <f>IF(AQ1522="7",BI1522,0)</f>
      </c>
      <c r="AF1522" s="111">
        <f>IF(AQ1522="2",BH1522,0)</f>
      </c>
      <c r="AG1522" s="111">
        <f>IF(AQ1522="2",BI1522,0)</f>
      </c>
      <c r="AH1522" s="111">
        <f>IF(AQ1522="0",BJ1522,0)</f>
      </c>
      <c r="AI1522" s="132" t="s">
        <v>84</v>
      </c>
      <c r="AJ1522" s="111">
        <f>IF(AN1522=0,I1522,0)</f>
      </c>
      <c r="AK1522" s="111">
        <f>IF(AN1522=12,I1522,0)</f>
      </c>
      <c r="AL1522" s="111">
        <f>IF(AN1522=21,I1522,0)</f>
      </c>
      <c r="AN1522" s="111" t="n">
        <v>21</v>
      </c>
      <c r="AO1522" s="111">
        <f>H1522*0</f>
      </c>
      <c r="AP1522" s="111">
        <f>H1522*(1-0)</f>
      </c>
      <c r="AQ1522" s="153" t="s">
        <v>156</v>
      </c>
      <c r="AV1522" s="111">
        <f>AW1522+AX1522</f>
      </c>
      <c r="AW1522" s="111">
        <f>G1522*AO1522</f>
      </c>
      <c r="AX1522" s="111">
        <f>G1522*AP1522</f>
      </c>
      <c r="AY1522" s="153" t="s">
        <v>2278</v>
      </c>
      <c r="AZ1522" s="153" t="s">
        <v>1999</v>
      </c>
      <c r="BA1522" s="132" t="s">
        <v>137</v>
      </c>
      <c r="BC1522" s="111">
        <f>AW1522+AX1522</f>
      </c>
      <c r="BD1522" s="111">
        <f>H1522/(100-BE1522)*100</f>
      </c>
      <c r="BE1522" s="111" t="n">
        <v>0</v>
      </c>
      <c r="BF1522" s="111">
        <f>1522</f>
      </c>
      <c r="BH1522" s="111">
        <f>G1522*AO1522</f>
      </c>
      <c r="BI1522" s="111">
        <f>G1522*AP1522</f>
      </c>
      <c r="BJ1522" s="111">
        <f>G1522*H1522</f>
      </c>
      <c r="BK1522" s="111"/>
      <c r="BL1522" s="111" t="n">
        <v>767</v>
      </c>
      <c r="BW1522" s="111" t="n">
        <v>21</v>
      </c>
      <c r="BX1522" s="14" t="s">
        <v>2479</v>
      </c>
    </row>
    <row r="1523">
      <c r="A1523" s="147" t="s">
        <v>4</v>
      </c>
      <c r="B1523" s="148" t="s">
        <v>84</v>
      </c>
      <c r="C1523" s="148" t="s">
        <v>2480</v>
      </c>
      <c r="D1523" s="149" t="s">
        <v>2481</v>
      </c>
      <c r="E1523" s="148"/>
      <c r="F1523" s="150" t="s">
        <v>79</v>
      </c>
      <c r="G1523" s="150" t="s">
        <v>79</v>
      </c>
      <c r="H1523" s="151" t="s">
        <v>79</v>
      </c>
      <c r="I1523" s="117">
        <f>SUM(I1524:I1607)</f>
      </c>
      <c r="J1523" s="132" t="s">
        <v>4</v>
      </c>
      <c r="K1523" s="146"/>
      <c r="AI1523" s="132" t="s">
        <v>84</v>
      </c>
      <c r="AS1523" s="117">
        <f>SUM(AJ1524:AJ1607)</f>
      </c>
      <c r="AT1523" s="117">
        <f>SUM(AK1524:AK1607)</f>
      </c>
      <c r="AU1523" s="117">
        <f>SUM(AL1524:AL1607)</f>
      </c>
    </row>
    <row r="1524">
      <c r="A1524" s="9" t="s">
        <v>2482</v>
      </c>
      <c r="B1524" s="10" t="s">
        <v>84</v>
      </c>
      <c r="C1524" s="10" t="s">
        <v>2483</v>
      </c>
      <c r="D1524" s="14" t="s">
        <v>2484</v>
      </c>
      <c r="E1524" s="10"/>
      <c r="F1524" s="10" t="s">
        <v>145</v>
      </c>
      <c r="G1524" s="111" t="n">
        <v>54.9</v>
      </c>
      <c r="H1524" s="152" t="n">
        <v>0</v>
      </c>
      <c r="I1524" s="111">
        <f>G1524*H1524</f>
      </c>
      <c r="J1524" s="153" t="s">
        <v>134</v>
      </c>
      <c r="K1524" s="146"/>
      <c r="Z1524" s="111">
        <f>IF(AQ1524="5",BJ1524,0)</f>
      </c>
      <c r="AB1524" s="111">
        <f>IF(AQ1524="1",BH1524,0)</f>
      </c>
      <c r="AC1524" s="111">
        <f>IF(AQ1524="1",BI1524,0)</f>
      </c>
      <c r="AD1524" s="111">
        <f>IF(AQ1524="7",BH1524,0)</f>
      </c>
      <c r="AE1524" s="111">
        <f>IF(AQ1524="7",BI1524,0)</f>
      </c>
      <c r="AF1524" s="111">
        <f>IF(AQ1524="2",BH1524,0)</f>
      </c>
      <c r="AG1524" s="111">
        <f>IF(AQ1524="2",BI1524,0)</f>
      </c>
      <c r="AH1524" s="111">
        <f>IF(AQ1524="0",BJ1524,0)</f>
      </c>
      <c r="AI1524" s="132" t="s">
        <v>84</v>
      </c>
      <c r="AJ1524" s="111">
        <f>IF(AN1524=0,I1524,0)</f>
      </c>
      <c r="AK1524" s="111">
        <f>IF(AN1524=12,I1524,0)</f>
      </c>
      <c r="AL1524" s="111">
        <f>IF(AN1524=21,I1524,0)</f>
      </c>
      <c r="AN1524" s="111" t="n">
        <v>21</v>
      </c>
      <c r="AO1524" s="111">
        <f>H1524*0</f>
      </c>
      <c r="AP1524" s="111">
        <f>H1524*(1-0)</f>
      </c>
      <c r="AQ1524" s="153" t="s">
        <v>173</v>
      </c>
      <c r="AV1524" s="111">
        <f>AW1524+AX1524</f>
      </c>
      <c r="AW1524" s="111">
        <f>G1524*AO1524</f>
      </c>
      <c r="AX1524" s="111">
        <f>G1524*AP1524</f>
      </c>
      <c r="AY1524" s="153" t="s">
        <v>2485</v>
      </c>
      <c r="AZ1524" s="153" t="s">
        <v>2486</v>
      </c>
      <c r="BA1524" s="132" t="s">
        <v>137</v>
      </c>
      <c r="BC1524" s="111">
        <f>AW1524+AX1524</f>
      </c>
      <c r="BD1524" s="111">
        <f>H1524/(100-BE1524)*100</f>
      </c>
      <c r="BE1524" s="111" t="n">
        <v>0</v>
      </c>
      <c r="BF1524" s="111">
        <f>1524</f>
      </c>
      <c r="BH1524" s="111">
        <f>G1524*AO1524</f>
      </c>
      <c r="BI1524" s="111">
        <f>G1524*AP1524</f>
      </c>
      <c r="BJ1524" s="111">
        <f>G1524*H1524</f>
      </c>
      <c r="BK1524" s="111"/>
      <c r="BL1524" s="111" t="n">
        <v>771</v>
      </c>
      <c r="BW1524" s="111" t="n">
        <v>21</v>
      </c>
      <c r="BX1524" s="14" t="s">
        <v>2484</v>
      </c>
    </row>
    <row r="1525">
      <c r="A1525" s="154"/>
      <c r="B1525" s="155"/>
      <c r="C1525" s="155"/>
      <c r="D1525" s="156" t="s">
        <v>1250</v>
      </c>
      <c r="E1525" s="156" t="s">
        <v>2487</v>
      </c>
      <c r="F1525" s="155"/>
      <c r="G1525" s="157" t="n">
        <v>7.6</v>
      </c>
      <c r="H1525" s="158"/>
      <c r="I1525" s="155"/>
      <c r="J1525" s="155"/>
      <c r="K1525" s="146"/>
    </row>
    <row r="1526">
      <c r="A1526" s="154"/>
      <c r="B1526" s="155"/>
      <c r="C1526" s="155"/>
      <c r="D1526" s="156" t="s">
        <v>1252</v>
      </c>
      <c r="E1526" s="156" t="s">
        <v>2488</v>
      </c>
      <c r="F1526" s="155"/>
      <c r="G1526" s="157" t="n">
        <v>47.3</v>
      </c>
      <c r="H1526" s="158"/>
      <c r="I1526" s="155"/>
      <c r="J1526" s="155"/>
      <c r="K1526" s="146"/>
    </row>
    <row r="1527">
      <c r="A1527" s="9" t="s">
        <v>2489</v>
      </c>
      <c r="B1527" s="10" t="s">
        <v>84</v>
      </c>
      <c r="C1527" s="10" t="s">
        <v>2490</v>
      </c>
      <c r="D1527" s="14" t="s">
        <v>2491</v>
      </c>
      <c r="E1527" s="10"/>
      <c r="F1527" s="10" t="s">
        <v>145</v>
      </c>
      <c r="G1527" s="111" t="n">
        <v>54.9</v>
      </c>
      <c r="H1527" s="152" t="n">
        <v>0</v>
      </c>
      <c r="I1527" s="111">
        <f>G1527*H1527</f>
      </c>
      <c r="J1527" s="153" t="s">
        <v>134</v>
      </c>
      <c r="K1527" s="146"/>
      <c r="Z1527" s="111">
        <f>IF(AQ1527="5",BJ1527,0)</f>
      </c>
      <c r="AB1527" s="111">
        <f>IF(AQ1527="1",BH1527,0)</f>
      </c>
      <c r="AC1527" s="111">
        <f>IF(AQ1527="1",BI1527,0)</f>
      </c>
      <c r="AD1527" s="111">
        <f>IF(AQ1527="7",BH1527,0)</f>
      </c>
      <c r="AE1527" s="111">
        <f>IF(AQ1527="7",BI1527,0)</f>
      </c>
      <c r="AF1527" s="111">
        <f>IF(AQ1527="2",BH1527,0)</f>
      </c>
      <c r="AG1527" s="111">
        <f>IF(AQ1527="2",BI1527,0)</f>
      </c>
      <c r="AH1527" s="111">
        <f>IF(AQ1527="0",BJ1527,0)</f>
      </c>
      <c r="AI1527" s="132" t="s">
        <v>84</v>
      </c>
      <c r="AJ1527" s="111">
        <f>IF(AN1527=0,I1527,0)</f>
      </c>
      <c r="AK1527" s="111">
        <f>IF(AN1527=12,I1527,0)</f>
      </c>
      <c r="AL1527" s="111">
        <f>IF(AN1527=21,I1527,0)</f>
      </c>
      <c r="AN1527" s="111" t="n">
        <v>21</v>
      </c>
      <c r="AO1527" s="111">
        <f>H1527*0.643868521</f>
      </c>
      <c r="AP1527" s="111">
        <f>H1527*(1-0.643868521)</f>
      </c>
      <c r="AQ1527" s="153" t="s">
        <v>173</v>
      </c>
      <c r="AV1527" s="111">
        <f>AW1527+AX1527</f>
      </c>
      <c r="AW1527" s="111">
        <f>G1527*AO1527</f>
      </c>
      <c r="AX1527" s="111">
        <f>G1527*AP1527</f>
      </c>
      <c r="AY1527" s="153" t="s">
        <v>2485</v>
      </c>
      <c r="AZ1527" s="153" t="s">
        <v>2486</v>
      </c>
      <c r="BA1527" s="132" t="s">
        <v>137</v>
      </c>
      <c r="BC1527" s="111">
        <f>AW1527+AX1527</f>
      </c>
      <c r="BD1527" s="111">
        <f>H1527/(100-BE1527)*100</f>
      </c>
      <c r="BE1527" s="111" t="n">
        <v>0</v>
      </c>
      <c r="BF1527" s="111">
        <f>1527</f>
      </c>
      <c r="BH1527" s="111">
        <f>G1527*AO1527</f>
      </c>
      <c r="BI1527" s="111">
        <f>G1527*AP1527</f>
      </c>
      <c r="BJ1527" s="111">
        <f>G1527*H1527</f>
      </c>
      <c r="BK1527" s="111"/>
      <c r="BL1527" s="111" t="n">
        <v>771</v>
      </c>
      <c r="BW1527" s="111" t="n">
        <v>21</v>
      </c>
      <c r="BX1527" s="14" t="s">
        <v>2491</v>
      </c>
    </row>
    <row r="1528" customHeight="true" ht="13.5">
      <c r="A1528" s="159"/>
      <c r="C1528" s="160" t="s">
        <v>146</v>
      </c>
      <c r="D1528" s="161" t="s">
        <v>2492</v>
      </c>
      <c r="E1528" s="156"/>
      <c r="F1528" s="156"/>
      <c r="G1528" s="156"/>
      <c r="H1528" s="162"/>
      <c r="I1528" s="156"/>
      <c r="J1528" s="156"/>
      <c r="K1528" s="163"/>
    </row>
    <row r="1529">
      <c r="A1529" s="154"/>
      <c r="B1529" s="155"/>
      <c r="C1529" s="155"/>
      <c r="D1529" s="156" t="s">
        <v>1250</v>
      </c>
      <c r="E1529" s="156" t="s">
        <v>2487</v>
      </c>
      <c r="F1529" s="155"/>
      <c r="G1529" s="157" t="n">
        <v>7.6</v>
      </c>
      <c r="H1529" s="158"/>
      <c r="I1529" s="155"/>
      <c r="J1529" s="155"/>
      <c r="K1529" s="146"/>
    </row>
    <row r="1530">
      <c r="A1530" s="154"/>
      <c r="B1530" s="155"/>
      <c r="C1530" s="155"/>
      <c r="D1530" s="156" t="s">
        <v>1252</v>
      </c>
      <c r="E1530" s="156" t="s">
        <v>2488</v>
      </c>
      <c r="F1530" s="155"/>
      <c r="G1530" s="157" t="n">
        <v>47.3</v>
      </c>
      <c r="H1530" s="158"/>
      <c r="I1530" s="155"/>
      <c r="J1530" s="155"/>
      <c r="K1530" s="146"/>
    </row>
    <row r="1531">
      <c r="A1531" s="9" t="s">
        <v>2493</v>
      </c>
      <c r="B1531" s="10" t="s">
        <v>84</v>
      </c>
      <c r="C1531" s="10" t="s">
        <v>2494</v>
      </c>
      <c r="D1531" s="14" t="s">
        <v>2495</v>
      </c>
      <c r="E1531" s="10"/>
      <c r="F1531" s="10" t="s">
        <v>145</v>
      </c>
      <c r="G1531" s="111" t="n">
        <v>54.9</v>
      </c>
      <c r="H1531" s="152" t="n">
        <v>0</v>
      </c>
      <c r="I1531" s="111">
        <f>G1531*H1531</f>
      </c>
      <c r="J1531" s="153" t="s">
        <v>134</v>
      </c>
      <c r="K1531" s="146"/>
      <c r="Z1531" s="111">
        <f>IF(AQ1531="5",BJ1531,0)</f>
      </c>
      <c r="AB1531" s="111">
        <f>IF(AQ1531="1",BH1531,0)</f>
      </c>
      <c r="AC1531" s="111">
        <f>IF(AQ1531="1",BI1531,0)</f>
      </c>
      <c r="AD1531" s="111">
        <f>IF(AQ1531="7",BH1531,0)</f>
      </c>
      <c r="AE1531" s="111">
        <f>IF(AQ1531="7",BI1531,0)</f>
      </c>
      <c r="AF1531" s="111">
        <f>IF(AQ1531="2",BH1531,0)</f>
      </c>
      <c r="AG1531" s="111">
        <f>IF(AQ1531="2",BI1531,0)</f>
      </c>
      <c r="AH1531" s="111">
        <f>IF(AQ1531="0",BJ1531,0)</f>
      </c>
      <c r="AI1531" s="132" t="s">
        <v>84</v>
      </c>
      <c r="AJ1531" s="111">
        <f>IF(AN1531=0,I1531,0)</f>
      </c>
      <c r="AK1531" s="111">
        <f>IF(AN1531=12,I1531,0)</f>
      </c>
      <c r="AL1531" s="111">
        <f>IF(AN1531=21,I1531,0)</f>
      </c>
      <c r="AN1531" s="111" t="n">
        <v>21</v>
      </c>
      <c r="AO1531" s="111">
        <f>H1531*0</f>
      </c>
      <c r="AP1531" s="111">
        <f>H1531*(1-0)</f>
      </c>
      <c r="AQ1531" s="153" t="s">
        <v>173</v>
      </c>
      <c r="AV1531" s="111">
        <f>AW1531+AX1531</f>
      </c>
      <c r="AW1531" s="111">
        <f>G1531*AO1531</f>
      </c>
      <c r="AX1531" s="111">
        <f>G1531*AP1531</f>
      </c>
      <c r="AY1531" s="153" t="s">
        <v>2485</v>
      </c>
      <c r="AZ1531" s="153" t="s">
        <v>2486</v>
      </c>
      <c r="BA1531" s="132" t="s">
        <v>137</v>
      </c>
      <c r="BC1531" s="111">
        <f>AW1531+AX1531</f>
      </c>
      <c r="BD1531" s="111">
        <f>H1531/(100-BE1531)*100</f>
      </c>
      <c r="BE1531" s="111" t="n">
        <v>0</v>
      </c>
      <c r="BF1531" s="111">
        <f>1531</f>
      </c>
      <c r="BH1531" s="111">
        <f>G1531*AO1531</f>
      </c>
      <c r="BI1531" s="111">
        <f>G1531*AP1531</f>
      </c>
      <c r="BJ1531" s="111">
        <f>G1531*H1531</f>
      </c>
      <c r="BK1531" s="111"/>
      <c r="BL1531" s="111" t="n">
        <v>771</v>
      </c>
      <c r="BW1531" s="111" t="n">
        <v>21</v>
      </c>
      <c r="BX1531" s="14" t="s">
        <v>2495</v>
      </c>
    </row>
    <row r="1532" customHeight="true" ht="13.5">
      <c r="A1532" s="159"/>
      <c r="C1532" s="160" t="s">
        <v>146</v>
      </c>
      <c r="D1532" s="161" t="s">
        <v>2496</v>
      </c>
      <c r="E1532" s="156"/>
      <c r="F1532" s="156"/>
      <c r="G1532" s="156"/>
      <c r="H1532" s="162"/>
      <c r="I1532" s="156"/>
      <c r="J1532" s="156"/>
      <c r="K1532" s="163"/>
    </row>
    <row r="1533">
      <c r="A1533" s="154"/>
      <c r="B1533" s="155"/>
      <c r="C1533" s="155"/>
      <c r="D1533" s="156" t="s">
        <v>1250</v>
      </c>
      <c r="E1533" s="156" t="s">
        <v>2487</v>
      </c>
      <c r="F1533" s="155"/>
      <c r="G1533" s="157" t="n">
        <v>7.6</v>
      </c>
      <c r="H1533" s="158"/>
      <c r="I1533" s="155"/>
      <c r="J1533" s="155"/>
      <c r="K1533" s="146"/>
    </row>
    <row r="1534">
      <c r="A1534" s="154"/>
      <c r="B1534" s="155"/>
      <c r="C1534" s="155"/>
      <c r="D1534" s="156" t="s">
        <v>1252</v>
      </c>
      <c r="E1534" s="156" t="s">
        <v>2488</v>
      </c>
      <c r="F1534" s="155"/>
      <c r="G1534" s="157" t="n">
        <v>47.3</v>
      </c>
      <c r="H1534" s="158"/>
      <c r="I1534" s="155"/>
      <c r="J1534" s="155"/>
      <c r="K1534" s="146"/>
    </row>
    <row r="1535">
      <c r="A1535" s="9" t="s">
        <v>2497</v>
      </c>
      <c r="B1535" s="10" t="s">
        <v>84</v>
      </c>
      <c r="C1535" s="10" t="s">
        <v>2498</v>
      </c>
      <c r="D1535" s="14" t="s">
        <v>2499</v>
      </c>
      <c r="E1535" s="10"/>
      <c r="F1535" s="10" t="s">
        <v>2426</v>
      </c>
      <c r="G1535" s="111" t="n">
        <v>362.34</v>
      </c>
      <c r="H1535" s="152" t="n">
        <v>0</v>
      </c>
      <c r="I1535" s="111">
        <f>G1535*H1535</f>
      </c>
      <c r="J1535" s="153" t="s">
        <v>134</v>
      </c>
      <c r="K1535" s="146"/>
      <c r="Z1535" s="111">
        <f>IF(AQ1535="5",BJ1535,0)</f>
      </c>
      <c r="AB1535" s="111">
        <f>IF(AQ1535="1",BH1535,0)</f>
      </c>
      <c r="AC1535" s="111">
        <f>IF(AQ1535="1",BI1535,0)</f>
      </c>
      <c r="AD1535" s="111">
        <f>IF(AQ1535="7",BH1535,0)</f>
      </c>
      <c r="AE1535" s="111">
        <f>IF(AQ1535="7",BI1535,0)</f>
      </c>
      <c r="AF1535" s="111">
        <f>IF(AQ1535="2",BH1535,0)</f>
      </c>
      <c r="AG1535" s="111">
        <f>IF(AQ1535="2",BI1535,0)</f>
      </c>
      <c r="AH1535" s="111">
        <f>IF(AQ1535="0",BJ1535,0)</f>
      </c>
      <c r="AI1535" s="132" t="s">
        <v>84</v>
      </c>
      <c r="AJ1535" s="111">
        <f>IF(AN1535=0,I1535,0)</f>
      </c>
      <c r="AK1535" s="111">
        <f>IF(AN1535=12,I1535,0)</f>
      </c>
      <c r="AL1535" s="111">
        <f>IF(AN1535=21,I1535,0)</f>
      </c>
      <c r="AN1535" s="111" t="n">
        <v>21</v>
      </c>
      <c r="AO1535" s="111">
        <f>H1535*1</f>
      </c>
      <c r="AP1535" s="111">
        <f>H1535*(1-1)</f>
      </c>
      <c r="AQ1535" s="153" t="s">
        <v>173</v>
      </c>
      <c r="AV1535" s="111">
        <f>AW1535+AX1535</f>
      </c>
      <c r="AW1535" s="111">
        <f>G1535*AO1535</f>
      </c>
      <c r="AX1535" s="111">
        <f>G1535*AP1535</f>
      </c>
      <c r="AY1535" s="153" t="s">
        <v>2485</v>
      </c>
      <c r="AZ1535" s="153" t="s">
        <v>2486</v>
      </c>
      <c r="BA1535" s="132" t="s">
        <v>137</v>
      </c>
      <c r="BC1535" s="111">
        <f>AW1535+AX1535</f>
      </c>
      <c r="BD1535" s="111">
        <f>H1535/(100-BE1535)*100</f>
      </c>
      <c r="BE1535" s="111" t="n">
        <v>0</v>
      </c>
      <c r="BF1535" s="111">
        <f>1535</f>
      </c>
      <c r="BH1535" s="111">
        <f>G1535*AO1535</f>
      </c>
      <c r="BI1535" s="111">
        <f>G1535*AP1535</f>
      </c>
      <c r="BJ1535" s="111">
        <f>G1535*H1535</f>
      </c>
      <c r="BK1535" s="111"/>
      <c r="BL1535" s="111" t="n">
        <v>771</v>
      </c>
      <c r="BW1535" s="111" t="n">
        <v>21</v>
      </c>
      <c r="BX1535" s="14" t="s">
        <v>2499</v>
      </c>
    </row>
    <row r="1536">
      <c r="A1536" s="154"/>
      <c r="B1536" s="155"/>
      <c r="C1536" s="155"/>
      <c r="D1536" s="156" t="s">
        <v>4</v>
      </c>
      <c r="E1536" s="156" t="s">
        <v>2500</v>
      </c>
      <c r="F1536" s="155"/>
      <c r="G1536" s="157" t="n">
        <v>0</v>
      </c>
      <c r="H1536" s="158"/>
      <c r="I1536" s="155"/>
      <c r="J1536" s="155"/>
      <c r="K1536" s="146"/>
    </row>
    <row r="1537">
      <c r="A1537" s="154"/>
      <c r="B1537" s="155"/>
      <c r="C1537" s="155"/>
      <c r="D1537" s="156" t="s">
        <v>2501</v>
      </c>
      <c r="E1537" s="156" t="s">
        <v>1730</v>
      </c>
      <c r="F1537" s="155"/>
      <c r="G1537" s="157" t="n">
        <v>32.94</v>
      </c>
      <c r="H1537" s="158"/>
      <c r="I1537" s="155"/>
      <c r="J1537" s="155"/>
      <c r="K1537" s="146"/>
    </row>
    <row r="1538">
      <c r="A1538" s="154"/>
      <c r="B1538" s="155"/>
      <c r="C1538" s="155"/>
      <c r="D1538" s="156" t="s">
        <v>2502</v>
      </c>
      <c r="E1538" s="156" t="s">
        <v>2487</v>
      </c>
      <c r="F1538" s="155"/>
      <c r="G1538" s="157" t="n">
        <v>45.6</v>
      </c>
      <c r="H1538" s="158"/>
      <c r="I1538" s="155"/>
      <c r="J1538" s="155"/>
      <c r="K1538" s="146"/>
    </row>
    <row r="1539">
      <c r="A1539" s="154"/>
      <c r="B1539" s="155"/>
      <c r="C1539" s="155"/>
      <c r="D1539" s="156" t="s">
        <v>2503</v>
      </c>
      <c r="E1539" s="156" t="s">
        <v>2488</v>
      </c>
      <c r="F1539" s="155"/>
      <c r="G1539" s="157" t="n">
        <v>283.8</v>
      </c>
      <c r="H1539" s="158"/>
      <c r="I1539" s="155"/>
      <c r="J1539" s="155"/>
      <c r="K1539" s="146"/>
    </row>
    <row r="1540">
      <c r="A1540" s="9" t="s">
        <v>2504</v>
      </c>
      <c r="B1540" s="10" t="s">
        <v>84</v>
      </c>
      <c r="C1540" s="10" t="s">
        <v>2505</v>
      </c>
      <c r="D1540" s="14" t="s">
        <v>2506</v>
      </c>
      <c r="E1540" s="10"/>
      <c r="F1540" s="10" t="s">
        <v>145</v>
      </c>
      <c r="G1540" s="111" t="n">
        <v>54.9</v>
      </c>
      <c r="H1540" s="152" t="n">
        <v>0</v>
      </c>
      <c r="I1540" s="111">
        <f>G1540*H1540</f>
      </c>
      <c r="J1540" s="153" t="s">
        <v>134</v>
      </c>
      <c r="K1540" s="146"/>
      <c r="Z1540" s="111">
        <f>IF(AQ1540="5",BJ1540,0)</f>
      </c>
      <c r="AB1540" s="111">
        <f>IF(AQ1540="1",BH1540,0)</f>
      </c>
      <c r="AC1540" s="111">
        <f>IF(AQ1540="1",BI1540,0)</f>
      </c>
      <c r="AD1540" s="111">
        <f>IF(AQ1540="7",BH1540,0)</f>
      </c>
      <c r="AE1540" s="111">
        <f>IF(AQ1540="7",BI1540,0)</f>
      </c>
      <c r="AF1540" s="111">
        <f>IF(AQ1540="2",BH1540,0)</f>
      </c>
      <c r="AG1540" s="111">
        <f>IF(AQ1540="2",BI1540,0)</f>
      </c>
      <c r="AH1540" s="111">
        <f>IF(AQ1540="0",BJ1540,0)</f>
      </c>
      <c r="AI1540" s="132" t="s">
        <v>84</v>
      </c>
      <c r="AJ1540" s="111">
        <f>IF(AN1540=0,I1540,0)</f>
      </c>
      <c r="AK1540" s="111">
        <f>IF(AN1540=12,I1540,0)</f>
      </c>
      <c r="AL1540" s="111">
        <f>IF(AN1540=21,I1540,0)</f>
      </c>
      <c r="AN1540" s="111" t="n">
        <v>21</v>
      </c>
      <c r="AO1540" s="111">
        <f>H1540*0</f>
      </c>
      <c r="AP1540" s="111">
        <f>H1540*(1-0)</f>
      </c>
      <c r="AQ1540" s="153" t="s">
        <v>173</v>
      </c>
      <c r="AV1540" s="111">
        <f>AW1540+AX1540</f>
      </c>
      <c r="AW1540" s="111">
        <f>G1540*AO1540</f>
      </c>
      <c r="AX1540" s="111">
        <f>G1540*AP1540</f>
      </c>
      <c r="AY1540" s="153" t="s">
        <v>2485</v>
      </c>
      <c r="AZ1540" s="153" t="s">
        <v>2486</v>
      </c>
      <c r="BA1540" s="132" t="s">
        <v>137</v>
      </c>
      <c r="BC1540" s="111">
        <f>AW1540+AX1540</f>
      </c>
      <c r="BD1540" s="111">
        <f>H1540/(100-BE1540)*100</f>
      </c>
      <c r="BE1540" s="111" t="n">
        <v>0</v>
      </c>
      <c r="BF1540" s="111">
        <f>1540</f>
      </c>
      <c r="BH1540" s="111">
        <f>G1540*AO1540</f>
      </c>
      <c r="BI1540" s="111">
        <f>G1540*AP1540</f>
      </c>
      <c r="BJ1540" s="111">
        <f>G1540*H1540</f>
      </c>
      <c r="BK1540" s="111"/>
      <c r="BL1540" s="111" t="n">
        <v>771</v>
      </c>
      <c r="BW1540" s="111" t="n">
        <v>21</v>
      </c>
      <c r="BX1540" s="14" t="s">
        <v>2506</v>
      </c>
    </row>
    <row r="1541" customHeight="true" ht="13.5">
      <c r="A1541" s="159"/>
      <c r="C1541" s="160" t="s">
        <v>146</v>
      </c>
      <c r="D1541" s="161" t="s">
        <v>2191</v>
      </c>
      <c r="E1541" s="156"/>
      <c r="F1541" s="156"/>
      <c r="G1541" s="156"/>
      <c r="H1541" s="162"/>
      <c r="I1541" s="156"/>
      <c r="J1541" s="156"/>
      <c r="K1541" s="163"/>
    </row>
    <row r="1542">
      <c r="A1542" s="154"/>
      <c r="B1542" s="155"/>
      <c r="C1542" s="155"/>
      <c r="D1542" s="156" t="s">
        <v>1250</v>
      </c>
      <c r="E1542" s="156" t="s">
        <v>2487</v>
      </c>
      <c r="F1542" s="155"/>
      <c r="G1542" s="157" t="n">
        <v>7.6</v>
      </c>
      <c r="H1542" s="158"/>
      <c r="I1542" s="155"/>
      <c r="J1542" s="155"/>
      <c r="K1542" s="146"/>
    </row>
    <row r="1543">
      <c r="A1543" s="154"/>
      <c r="B1543" s="155"/>
      <c r="C1543" s="155"/>
      <c r="D1543" s="156" t="s">
        <v>1252</v>
      </c>
      <c r="E1543" s="156" t="s">
        <v>2488</v>
      </c>
      <c r="F1543" s="155"/>
      <c r="G1543" s="157" t="n">
        <v>47.3</v>
      </c>
      <c r="H1543" s="158"/>
      <c r="I1543" s="155"/>
      <c r="J1543" s="155"/>
      <c r="K1543" s="146"/>
    </row>
    <row r="1544">
      <c r="A1544" s="9" t="s">
        <v>2507</v>
      </c>
      <c r="B1544" s="10" t="s">
        <v>84</v>
      </c>
      <c r="C1544" s="10" t="s">
        <v>2508</v>
      </c>
      <c r="D1544" s="14" t="s">
        <v>2509</v>
      </c>
      <c r="E1544" s="10"/>
      <c r="F1544" s="10" t="s">
        <v>2426</v>
      </c>
      <c r="G1544" s="111" t="n">
        <v>169.092</v>
      </c>
      <c r="H1544" s="152" t="n">
        <v>0</v>
      </c>
      <c r="I1544" s="111">
        <f>G1544*H1544</f>
      </c>
      <c r="J1544" s="153" t="s">
        <v>134</v>
      </c>
      <c r="K1544" s="146"/>
      <c r="Z1544" s="111">
        <f>IF(AQ1544="5",BJ1544,0)</f>
      </c>
      <c r="AB1544" s="111">
        <f>IF(AQ1544="1",BH1544,0)</f>
      </c>
      <c r="AC1544" s="111">
        <f>IF(AQ1544="1",BI1544,0)</f>
      </c>
      <c r="AD1544" s="111">
        <f>IF(AQ1544="7",BH1544,0)</f>
      </c>
      <c r="AE1544" s="111">
        <f>IF(AQ1544="7",BI1544,0)</f>
      </c>
      <c r="AF1544" s="111">
        <f>IF(AQ1544="2",BH1544,0)</f>
      </c>
      <c r="AG1544" s="111">
        <f>IF(AQ1544="2",BI1544,0)</f>
      </c>
      <c r="AH1544" s="111">
        <f>IF(AQ1544="0",BJ1544,0)</f>
      </c>
      <c r="AI1544" s="132" t="s">
        <v>84</v>
      </c>
      <c r="AJ1544" s="111">
        <f>IF(AN1544=0,I1544,0)</f>
      </c>
      <c r="AK1544" s="111">
        <f>IF(AN1544=12,I1544,0)</f>
      </c>
      <c r="AL1544" s="111">
        <f>IF(AN1544=21,I1544,0)</f>
      </c>
      <c r="AN1544" s="111" t="n">
        <v>21</v>
      </c>
      <c r="AO1544" s="111">
        <f>H1544*1</f>
      </c>
      <c r="AP1544" s="111">
        <f>H1544*(1-1)</f>
      </c>
      <c r="AQ1544" s="153" t="s">
        <v>173</v>
      </c>
      <c r="AV1544" s="111">
        <f>AW1544+AX1544</f>
      </c>
      <c r="AW1544" s="111">
        <f>G1544*AO1544</f>
      </c>
      <c r="AX1544" s="111">
        <f>G1544*AP1544</f>
      </c>
      <c r="AY1544" s="153" t="s">
        <v>2485</v>
      </c>
      <c r="AZ1544" s="153" t="s">
        <v>2486</v>
      </c>
      <c r="BA1544" s="132" t="s">
        <v>137</v>
      </c>
      <c r="BC1544" s="111">
        <f>AW1544+AX1544</f>
      </c>
      <c r="BD1544" s="111">
        <f>H1544/(100-BE1544)*100</f>
      </c>
      <c r="BE1544" s="111" t="n">
        <v>0</v>
      </c>
      <c r="BF1544" s="111">
        <f>1544</f>
      </c>
      <c r="BH1544" s="111">
        <f>G1544*AO1544</f>
      </c>
      <c r="BI1544" s="111">
        <f>G1544*AP1544</f>
      </c>
      <c r="BJ1544" s="111">
        <f>G1544*H1544</f>
      </c>
      <c r="BK1544" s="111"/>
      <c r="BL1544" s="111" t="n">
        <v>771</v>
      </c>
      <c r="BW1544" s="111" t="n">
        <v>21</v>
      </c>
      <c r="BX1544" s="14" t="s">
        <v>2509</v>
      </c>
    </row>
    <row r="1545">
      <c r="A1545" s="154"/>
      <c r="B1545" s="155"/>
      <c r="C1545" s="155"/>
      <c r="D1545" s="156" t="s">
        <v>4</v>
      </c>
      <c r="E1545" s="156" t="s">
        <v>2510</v>
      </c>
      <c r="F1545" s="155"/>
      <c r="G1545" s="157" t="n">
        <v>0</v>
      </c>
      <c r="H1545" s="158"/>
      <c r="I1545" s="155"/>
      <c r="J1545" s="155"/>
      <c r="K1545" s="146"/>
    </row>
    <row r="1546">
      <c r="A1546" s="154"/>
      <c r="B1546" s="155"/>
      <c r="C1546" s="155"/>
      <c r="D1546" s="156" t="s">
        <v>2511</v>
      </c>
      <c r="E1546" s="156" t="s">
        <v>2487</v>
      </c>
      <c r="F1546" s="155"/>
      <c r="G1546" s="157" t="n">
        <v>23.408</v>
      </c>
      <c r="H1546" s="158"/>
      <c r="I1546" s="155"/>
      <c r="J1546" s="155"/>
      <c r="K1546" s="146"/>
    </row>
    <row r="1547">
      <c r="A1547" s="154"/>
      <c r="B1547" s="155"/>
      <c r="C1547" s="155"/>
      <c r="D1547" s="156" t="s">
        <v>2512</v>
      </c>
      <c r="E1547" s="156" t="s">
        <v>2488</v>
      </c>
      <c r="F1547" s="155"/>
      <c r="G1547" s="157" t="n">
        <v>145.684</v>
      </c>
      <c r="H1547" s="158"/>
      <c r="I1547" s="155"/>
      <c r="J1547" s="155"/>
      <c r="K1547" s="146"/>
    </row>
    <row r="1548">
      <c r="A1548" s="9" t="s">
        <v>2513</v>
      </c>
      <c r="B1548" s="10" t="s">
        <v>84</v>
      </c>
      <c r="C1548" s="10" t="s">
        <v>2514</v>
      </c>
      <c r="D1548" s="14" t="s">
        <v>2515</v>
      </c>
      <c r="E1548" s="10"/>
      <c r="F1548" s="10" t="s">
        <v>145</v>
      </c>
      <c r="G1548" s="111" t="n">
        <v>54.9</v>
      </c>
      <c r="H1548" s="152" t="n">
        <v>0</v>
      </c>
      <c r="I1548" s="111">
        <f>G1548*H1548</f>
      </c>
      <c r="J1548" s="153" t="s">
        <v>134</v>
      </c>
      <c r="K1548" s="146"/>
      <c r="Z1548" s="111">
        <f>IF(AQ1548="5",BJ1548,0)</f>
      </c>
      <c r="AB1548" s="111">
        <f>IF(AQ1548="1",BH1548,0)</f>
      </c>
      <c r="AC1548" s="111">
        <f>IF(AQ1548="1",BI1548,0)</f>
      </c>
      <c r="AD1548" s="111">
        <f>IF(AQ1548="7",BH1548,0)</f>
      </c>
      <c r="AE1548" s="111">
        <f>IF(AQ1548="7",BI1548,0)</f>
      </c>
      <c r="AF1548" s="111">
        <f>IF(AQ1548="2",BH1548,0)</f>
      </c>
      <c r="AG1548" s="111">
        <f>IF(AQ1548="2",BI1548,0)</f>
      </c>
      <c r="AH1548" s="111">
        <f>IF(AQ1548="0",BJ1548,0)</f>
      </c>
      <c r="AI1548" s="132" t="s">
        <v>84</v>
      </c>
      <c r="AJ1548" s="111">
        <f>IF(AN1548=0,I1548,0)</f>
      </c>
      <c r="AK1548" s="111">
        <f>IF(AN1548=12,I1548,0)</f>
      </c>
      <c r="AL1548" s="111">
        <f>IF(AN1548=21,I1548,0)</f>
      </c>
      <c r="AN1548" s="111" t="n">
        <v>21</v>
      </c>
      <c r="AO1548" s="111">
        <f>H1548*0.477365492</f>
      </c>
      <c r="AP1548" s="111">
        <f>H1548*(1-0.477365492)</f>
      </c>
      <c r="AQ1548" s="153" t="s">
        <v>173</v>
      </c>
      <c r="AV1548" s="111">
        <f>AW1548+AX1548</f>
      </c>
      <c r="AW1548" s="111">
        <f>G1548*AO1548</f>
      </c>
      <c r="AX1548" s="111">
        <f>G1548*AP1548</f>
      </c>
      <c r="AY1548" s="153" t="s">
        <v>2485</v>
      </c>
      <c r="AZ1548" s="153" t="s">
        <v>2486</v>
      </c>
      <c r="BA1548" s="132" t="s">
        <v>137</v>
      </c>
      <c r="BC1548" s="111">
        <f>AW1548+AX1548</f>
      </c>
      <c r="BD1548" s="111">
        <f>H1548/(100-BE1548)*100</f>
      </c>
      <c r="BE1548" s="111" t="n">
        <v>0</v>
      </c>
      <c r="BF1548" s="111">
        <f>1548</f>
      </c>
      <c r="BH1548" s="111">
        <f>G1548*AO1548</f>
      </c>
      <c r="BI1548" s="111">
        <f>G1548*AP1548</f>
      </c>
      <c r="BJ1548" s="111">
        <f>G1548*H1548</f>
      </c>
      <c r="BK1548" s="111"/>
      <c r="BL1548" s="111" t="n">
        <v>771</v>
      </c>
      <c r="BW1548" s="111" t="n">
        <v>21</v>
      </c>
      <c r="BX1548" s="14" t="s">
        <v>2515</v>
      </c>
    </row>
    <row r="1549" customHeight="true" ht="13.5">
      <c r="A1549" s="159"/>
      <c r="C1549" s="160" t="s">
        <v>146</v>
      </c>
      <c r="D1549" s="161" t="s">
        <v>897</v>
      </c>
      <c r="E1549" s="156"/>
      <c r="F1549" s="156"/>
      <c r="G1549" s="156"/>
      <c r="H1549" s="162"/>
      <c r="I1549" s="156"/>
      <c r="J1549" s="156"/>
      <c r="K1549" s="163"/>
    </row>
    <row r="1550">
      <c r="A1550" s="154"/>
      <c r="B1550" s="155"/>
      <c r="C1550" s="155"/>
      <c r="D1550" s="156" t="s">
        <v>1250</v>
      </c>
      <c r="E1550" s="156" t="s">
        <v>2487</v>
      </c>
      <c r="F1550" s="155"/>
      <c r="G1550" s="157" t="n">
        <v>7.6</v>
      </c>
      <c r="H1550" s="158"/>
      <c r="I1550" s="155"/>
      <c r="J1550" s="155"/>
      <c r="K1550" s="146"/>
    </row>
    <row r="1551">
      <c r="A1551" s="154"/>
      <c r="B1551" s="155"/>
      <c r="C1551" s="155"/>
      <c r="D1551" s="156" t="s">
        <v>1252</v>
      </c>
      <c r="E1551" s="156" t="s">
        <v>2488</v>
      </c>
      <c r="F1551" s="155"/>
      <c r="G1551" s="157" t="n">
        <v>47.3</v>
      </c>
      <c r="H1551" s="158"/>
      <c r="I1551" s="155"/>
      <c r="J1551" s="155"/>
      <c r="K1551" s="146"/>
    </row>
    <row r="1552">
      <c r="A1552" s="9" t="s">
        <v>2516</v>
      </c>
      <c r="B1552" s="10" t="s">
        <v>84</v>
      </c>
      <c r="C1552" s="10" t="s">
        <v>2517</v>
      </c>
      <c r="D1552" s="14" t="s">
        <v>2518</v>
      </c>
      <c r="E1552" s="10"/>
      <c r="F1552" s="10" t="s">
        <v>145</v>
      </c>
      <c r="G1552" s="111" t="n">
        <v>54.9</v>
      </c>
      <c r="H1552" s="152" t="n">
        <v>0</v>
      </c>
      <c r="I1552" s="111">
        <f>G1552*H1552</f>
      </c>
      <c r="J1552" s="153" t="s">
        <v>134</v>
      </c>
      <c r="K1552" s="146"/>
      <c r="Z1552" s="111">
        <f>IF(AQ1552="5",BJ1552,0)</f>
      </c>
      <c r="AB1552" s="111">
        <f>IF(AQ1552="1",BH1552,0)</f>
      </c>
      <c r="AC1552" s="111">
        <f>IF(AQ1552="1",BI1552,0)</f>
      </c>
      <c r="AD1552" s="111">
        <f>IF(AQ1552="7",BH1552,0)</f>
      </c>
      <c r="AE1552" s="111">
        <f>IF(AQ1552="7",BI1552,0)</f>
      </c>
      <c r="AF1552" s="111">
        <f>IF(AQ1552="2",BH1552,0)</f>
      </c>
      <c r="AG1552" s="111">
        <f>IF(AQ1552="2",BI1552,0)</f>
      </c>
      <c r="AH1552" s="111">
        <f>IF(AQ1552="0",BJ1552,0)</f>
      </c>
      <c r="AI1552" s="132" t="s">
        <v>84</v>
      </c>
      <c r="AJ1552" s="111">
        <f>IF(AN1552=0,I1552,0)</f>
      </c>
      <c r="AK1552" s="111">
        <f>IF(AN1552=12,I1552,0)</f>
      </c>
      <c r="AL1552" s="111">
        <f>IF(AN1552=21,I1552,0)</f>
      </c>
      <c r="AN1552" s="111" t="n">
        <v>21</v>
      </c>
      <c r="AO1552" s="111">
        <f>H1552*0.218135942</f>
      </c>
      <c r="AP1552" s="111">
        <f>H1552*(1-0.218135942)</f>
      </c>
      <c r="AQ1552" s="153" t="s">
        <v>173</v>
      </c>
      <c r="AV1552" s="111">
        <f>AW1552+AX1552</f>
      </c>
      <c r="AW1552" s="111">
        <f>G1552*AO1552</f>
      </c>
      <c r="AX1552" s="111">
        <f>G1552*AP1552</f>
      </c>
      <c r="AY1552" s="153" t="s">
        <v>2485</v>
      </c>
      <c r="AZ1552" s="153" t="s">
        <v>2486</v>
      </c>
      <c r="BA1552" s="132" t="s">
        <v>137</v>
      </c>
      <c r="BC1552" s="111">
        <f>AW1552+AX1552</f>
      </c>
      <c r="BD1552" s="111">
        <f>H1552/(100-BE1552)*100</f>
      </c>
      <c r="BE1552" s="111" t="n">
        <v>0</v>
      </c>
      <c r="BF1552" s="111">
        <f>1552</f>
      </c>
      <c r="BH1552" s="111">
        <f>G1552*AO1552</f>
      </c>
      <c r="BI1552" s="111">
        <f>G1552*AP1552</f>
      </c>
      <c r="BJ1552" s="111">
        <f>G1552*H1552</f>
      </c>
      <c r="BK1552" s="111"/>
      <c r="BL1552" s="111" t="n">
        <v>771</v>
      </c>
      <c r="BW1552" s="111" t="n">
        <v>21</v>
      </c>
      <c r="BX1552" s="14" t="s">
        <v>2518</v>
      </c>
    </row>
    <row r="1553">
      <c r="A1553" s="154"/>
      <c r="B1553" s="155"/>
      <c r="C1553" s="155"/>
      <c r="D1553" s="156" t="s">
        <v>1250</v>
      </c>
      <c r="E1553" s="156" t="s">
        <v>2487</v>
      </c>
      <c r="F1553" s="155"/>
      <c r="G1553" s="157" t="n">
        <v>7.6</v>
      </c>
      <c r="H1553" s="158"/>
      <c r="I1553" s="155"/>
      <c r="J1553" s="155"/>
      <c r="K1553" s="146"/>
    </row>
    <row r="1554">
      <c r="A1554" s="154"/>
      <c r="B1554" s="155"/>
      <c r="C1554" s="155"/>
      <c r="D1554" s="156" t="s">
        <v>1252</v>
      </c>
      <c r="E1554" s="156" t="s">
        <v>2488</v>
      </c>
      <c r="F1554" s="155"/>
      <c r="G1554" s="157" t="n">
        <v>47.3</v>
      </c>
      <c r="H1554" s="158"/>
      <c r="I1554" s="155"/>
      <c r="J1554" s="155"/>
      <c r="K1554" s="146"/>
    </row>
    <row r="1555">
      <c r="A1555" s="9" t="s">
        <v>2519</v>
      </c>
      <c r="B1555" s="10" t="s">
        <v>84</v>
      </c>
      <c r="C1555" s="10" t="s">
        <v>2520</v>
      </c>
      <c r="D1555" s="14" t="s">
        <v>2521</v>
      </c>
      <c r="E1555" s="10"/>
      <c r="F1555" s="10" t="s">
        <v>145</v>
      </c>
      <c r="G1555" s="111" t="n">
        <v>62.0653</v>
      </c>
      <c r="H1555" s="152" t="n">
        <v>0</v>
      </c>
      <c r="I1555" s="111">
        <f>G1555*H1555</f>
      </c>
      <c r="J1555" s="153" t="s">
        <v>134</v>
      </c>
      <c r="K1555" s="146"/>
      <c r="Z1555" s="111">
        <f>IF(AQ1555="5",BJ1555,0)</f>
      </c>
      <c r="AB1555" s="111">
        <f>IF(AQ1555="1",BH1555,0)</f>
      </c>
      <c r="AC1555" s="111">
        <f>IF(AQ1555="1",BI1555,0)</f>
      </c>
      <c r="AD1555" s="111">
        <f>IF(AQ1555="7",BH1555,0)</f>
      </c>
      <c r="AE1555" s="111">
        <f>IF(AQ1555="7",BI1555,0)</f>
      </c>
      <c r="AF1555" s="111">
        <f>IF(AQ1555="2",BH1555,0)</f>
      </c>
      <c r="AG1555" s="111">
        <f>IF(AQ1555="2",BI1555,0)</f>
      </c>
      <c r="AH1555" s="111">
        <f>IF(AQ1555="0",BJ1555,0)</f>
      </c>
      <c r="AI1555" s="132" t="s">
        <v>84</v>
      </c>
      <c r="AJ1555" s="111">
        <f>IF(AN1555=0,I1555,0)</f>
      </c>
      <c r="AK1555" s="111">
        <f>IF(AN1555=12,I1555,0)</f>
      </c>
      <c r="AL1555" s="111">
        <f>IF(AN1555=21,I1555,0)</f>
      </c>
      <c r="AN1555" s="111" t="n">
        <v>21</v>
      </c>
      <c r="AO1555" s="111">
        <f>H1555*1</f>
      </c>
      <c r="AP1555" s="111">
        <f>H1555*(1-1)</f>
      </c>
      <c r="AQ1555" s="153" t="s">
        <v>173</v>
      </c>
      <c r="AV1555" s="111">
        <f>AW1555+AX1555</f>
      </c>
      <c r="AW1555" s="111">
        <f>G1555*AO1555</f>
      </c>
      <c r="AX1555" s="111">
        <f>G1555*AP1555</f>
      </c>
      <c r="AY1555" s="153" t="s">
        <v>2485</v>
      </c>
      <c r="AZ1555" s="153" t="s">
        <v>2486</v>
      </c>
      <c r="BA1555" s="132" t="s">
        <v>137</v>
      </c>
      <c r="BC1555" s="111">
        <f>AW1555+AX1555</f>
      </c>
      <c r="BD1555" s="111">
        <f>H1555/(100-BE1555)*100</f>
      </c>
      <c r="BE1555" s="111" t="n">
        <v>0</v>
      </c>
      <c r="BF1555" s="111">
        <f>1555</f>
      </c>
      <c r="BH1555" s="111">
        <f>G1555*AO1555</f>
      </c>
      <c r="BI1555" s="111">
        <f>G1555*AP1555</f>
      </c>
      <c r="BJ1555" s="111">
        <f>G1555*H1555</f>
      </c>
      <c r="BK1555" s="111"/>
      <c r="BL1555" s="111" t="n">
        <v>771</v>
      </c>
      <c r="BW1555" s="111" t="n">
        <v>21</v>
      </c>
      <c r="BX1555" s="14" t="s">
        <v>2521</v>
      </c>
    </row>
    <row r="1556">
      <c r="A1556" s="154"/>
      <c r="B1556" s="155"/>
      <c r="C1556" s="155"/>
      <c r="D1556" s="156" t="s">
        <v>1250</v>
      </c>
      <c r="E1556" s="156" t="s">
        <v>2487</v>
      </c>
      <c r="F1556" s="155"/>
      <c r="G1556" s="157" t="n">
        <v>7.6</v>
      </c>
      <c r="H1556" s="158"/>
      <c r="I1556" s="155"/>
      <c r="J1556" s="155"/>
      <c r="K1556" s="146"/>
    </row>
    <row r="1557">
      <c r="A1557" s="154"/>
      <c r="B1557" s="155"/>
      <c r="C1557" s="155"/>
      <c r="D1557" s="156" t="s">
        <v>1252</v>
      </c>
      <c r="E1557" s="156" t="s">
        <v>2488</v>
      </c>
      <c r="F1557" s="155"/>
      <c r="G1557" s="157" t="n">
        <v>47.3</v>
      </c>
      <c r="H1557" s="158"/>
      <c r="I1557" s="155"/>
      <c r="J1557" s="155"/>
      <c r="K1557" s="146"/>
    </row>
    <row r="1558">
      <c r="A1558" s="154"/>
      <c r="B1558" s="155"/>
      <c r="C1558" s="155"/>
      <c r="D1558" s="156" t="s">
        <v>2522</v>
      </c>
      <c r="E1558" s="156" t="s">
        <v>2523</v>
      </c>
      <c r="F1558" s="155"/>
      <c r="G1558" s="157" t="n">
        <v>1.523</v>
      </c>
      <c r="H1558" s="158"/>
      <c r="I1558" s="155"/>
      <c r="J1558" s="155"/>
      <c r="K1558" s="146"/>
    </row>
    <row r="1559">
      <c r="A1559" s="154"/>
      <c r="B1559" s="155"/>
      <c r="C1559" s="155"/>
      <c r="D1559" s="156" t="s">
        <v>2524</v>
      </c>
      <c r="E1559" s="156" t="s">
        <v>1730</v>
      </c>
      <c r="F1559" s="155"/>
      <c r="G1559" s="157" t="n">
        <v>5.6423</v>
      </c>
      <c r="H1559" s="158"/>
      <c r="I1559" s="155"/>
      <c r="J1559" s="155"/>
      <c r="K1559" s="146"/>
    </row>
    <row r="1560">
      <c r="A1560" s="9" t="s">
        <v>2525</v>
      </c>
      <c r="B1560" s="10" t="s">
        <v>84</v>
      </c>
      <c r="C1560" s="10" t="s">
        <v>2526</v>
      </c>
      <c r="D1560" s="14" t="s">
        <v>2527</v>
      </c>
      <c r="E1560" s="10"/>
      <c r="F1560" s="10" t="s">
        <v>282</v>
      </c>
      <c r="G1560" s="111" t="n">
        <v>15.23</v>
      </c>
      <c r="H1560" s="152" t="n">
        <v>0</v>
      </c>
      <c r="I1560" s="111">
        <f>G1560*H1560</f>
      </c>
      <c r="J1560" s="153" t="s">
        <v>134</v>
      </c>
      <c r="K1560" s="146"/>
      <c r="Z1560" s="111">
        <f>IF(AQ1560="5",BJ1560,0)</f>
      </c>
      <c r="AB1560" s="111">
        <f>IF(AQ1560="1",BH1560,0)</f>
      </c>
      <c r="AC1560" s="111">
        <f>IF(AQ1560="1",BI1560,0)</f>
      </c>
      <c r="AD1560" s="111">
        <f>IF(AQ1560="7",BH1560,0)</f>
      </c>
      <c r="AE1560" s="111">
        <f>IF(AQ1560="7",BI1560,0)</f>
      </c>
      <c r="AF1560" s="111">
        <f>IF(AQ1560="2",BH1560,0)</f>
      </c>
      <c r="AG1560" s="111">
        <f>IF(AQ1560="2",BI1560,0)</f>
      </c>
      <c r="AH1560" s="111">
        <f>IF(AQ1560="0",BJ1560,0)</f>
      </c>
      <c r="AI1560" s="132" t="s">
        <v>84</v>
      </c>
      <c r="AJ1560" s="111">
        <f>IF(AN1560=0,I1560,0)</f>
      </c>
      <c r="AK1560" s="111">
        <f>IF(AN1560=12,I1560,0)</f>
      </c>
      <c r="AL1560" s="111">
        <f>IF(AN1560=21,I1560,0)</f>
      </c>
      <c r="AN1560" s="111" t="n">
        <v>21</v>
      </c>
      <c r="AO1560" s="111">
        <f>H1560*0</f>
      </c>
      <c r="AP1560" s="111">
        <f>H1560*(1-0)</f>
      </c>
      <c r="AQ1560" s="153" t="s">
        <v>173</v>
      </c>
      <c r="AV1560" s="111">
        <f>AW1560+AX1560</f>
      </c>
      <c r="AW1560" s="111">
        <f>G1560*AO1560</f>
      </c>
      <c r="AX1560" s="111">
        <f>G1560*AP1560</f>
      </c>
      <c r="AY1560" s="153" t="s">
        <v>2485</v>
      </c>
      <c r="AZ1560" s="153" t="s">
        <v>2486</v>
      </c>
      <c r="BA1560" s="132" t="s">
        <v>137</v>
      </c>
      <c r="BC1560" s="111">
        <f>AW1560+AX1560</f>
      </c>
      <c r="BD1560" s="111">
        <f>H1560/(100-BE1560)*100</f>
      </c>
      <c r="BE1560" s="111" t="n">
        <v>0</v>
      </c>
      <c r="BF1560" s="111">
        <f>1560</f>
      </c>
      <c r="BH1560" s="111">
        <f>G1560*AO1560</f>
      </c>
      <c r="BI1560" s="111">
        <f>G1560*AP1560</f>
      </c>
      <c r="BJ1560" s="111">
        <f>G1560*H1560</f>
      </c>
      <c r="BK1560" s="111"/>
      <c r="BL1560" s="111" t="n">
        <v>771</v>
      </c>
      <c r="BW1560" s="111" t="n">
        <v>21</v>
      </c>
      <c r="BX1560" s="14" t="s">
        <v>2527</v>
      </c>
    </row>
    <row r="1561">
      <c r="A1561" s="154"/>
      <c r="B1561" s="155"/>
      <c r="C1561" s="155"/>
      <c r="D1561" s="156" t="s">
        <v>2528</v>
      </c>
      <c r="E1561" s="156" t="s">
        <v>989</v>
      </c>
      <c r="F1561" s="155"/>
      <c r="G1561" s="157" t="n">
        <v>15.23</v>
      </c>
      <c r="H1561" s="158"/>
      <c r="I1561" s="155"/>
      <c r="J1561" s="155"/>
      <c r="K1561" s="146"/>
    </row>
    <row r="1562">
      <c r="A1562" s="9" t="s">
        <v>2529</v>
      </c>
      <c r="B1562" s="10" t="s">
        <v>84</v>
      </c>
      <c r="C1562" s="10" t="s">
        <v>2530</v>
      </c>
      <c r="D1562" s="14" t="s">
        <v>2531</v>
      </c>
      <c r="E1562" s="10"/>
      <c r="F1562" s="10" t="s">
        <v>282</v>
      </c>
      <c r="G1562" s="111" t="n">
        <v>15.23</v>
      </c>
      <c r="H1562" s="152" t="n">
        <v>0</v>
      </c>
      <c r="I1562" s="111">
        <f>G1562*H1562</f>
      </c>
      <c r="J1562" s="153" t="s">
        <v>134</v>
      </c>
      <c r="K1562" s="146"/>
      <c r="Z1562" s="111">
        <f>IF(AQ1562="5",BJ1562,0)</f>
      </c>
      <c r="AB1562" s="111">
        <f>IF(AQ1562="1",BH1562,0)</f>
      </c>
      <c r="AC1562" s="111">
        <f>IF(AQ1562="1",BI1562,0)</f>
      </c>
      <c r="AD1562" s="111">
        <f>IF(AQ1562="7",BH1562,0)</f>
      </c>
      <c r="AE1562" s="111">
        <f>IF(AQ1562="7",BI1562,0)</f>
      </c>
      <c r="AF1562" s="111">
        <f>IF(AQ1562="2",BH1562,0)</f>
      </c>
      <c r="AG1562" s="111">
        <f>IF(AQ1562="2",BI1562,0)</f>
      </c>
      <c r="AH1562" s="111">
        <f>IF(AQ1562="0",BJ1562,0)</f>
      </c>
      <c r="AI1562" s="132" t="s">
        <v>84</v>
      </c>
      <c r="AJ1562" s="111">
        <f>IF(AN1562=0,I1562,0)</f>
      </c>
      <c r="AK1562" s="111">
        <f>IF(AN1562=12,I1562,0)</f>
      </c>
      <c r="AL1562" s="111">
        <f>IF(AN1562=21,I1562,0)</f>
      </c>
      <c r="AN1562" s="111" t="n">
        <v>21</v>
      </c>
      <c r="AO1562" s="111">
        <f>H1562*0.053904762</f>
      </c>
      <c r="AP1562" s="111">
        <f>H1562*(1-0.053904762)</f>
      </c>
      <c r="AQ1562" s="153" t="s">
        <v>173</v>
      </c>
      <c r="AV1562" s="111">
        <f>AW1562+AX1562</f>
      </c>
      <c r="AW1562" s="111">
        <f>G1562*AO1562</f>
      </c>
      <c r="AX1562" s="111">
        <f>G1562*AP1562</f>
      </c>
      <c r="AY1562" s="153" t="s">
        <v>2485</v>
      </c>
      <c r="AZ1562" s="153" t="s">
        <v>2486</v>
      </c>
      <c r="BA1562" s="132" t="s">
        <v>137</v>
      </c>
      <c r="BC1562" s="111">
        <f>AW1562+AX1562</f>
      </c>
      <c r="BD1562" s="111">
        <f>H1562/(100-BE1562)*100</f>
      </c>
      <c r="BE1562" s="111" t="n">
        <v>0</v>
      </c>
      <c r="BF1562" s="111">
        <f>1562</f>
      </c>
      <c r="BH1562" s="111">
        <f>G1562*AO1562</f>
      </c>
      <c r="BI1562" s="111">
        <f>G1562*AP1562</f>
      </c>
      <c r="BJ1562" s="111">
        <f>G1562*H1562</f>
      </c>
      <c r="BK1562" s="111"/>
      <c r="BL1562" s="111" t="n">
        <v>771</v>
      </c>
      <c r="BW1562" s="111" t="n">
        <v>21</v>
      </c>
      <c r="BX1562" s="14" t="s">
        <v>2531</v>
      </c>
    </row>
    <row r="1563">
      <c r="A1563" s="154"/>
      <c r="B1563" s="155"/>
      <c r="C1563" s="155"/>
      <c r="D1563" s="156" t="s">
        <v>2528</v>
      </c>
      <c r="E1563" s="156" t="s">
        <v>989</v>
      </c>
      <c r="F1563" s="155"/>
      <c r="G1563" s="157" t="n">
        <v>15.23</v>
      </c>
      <c r="H1563" s="158"/>
      <c r="I1563" s="155"/>
      <c r="J1563" s="155"/>
      <c r="K1563" s="146"/>
    </row>
    <row r="1564">
      <c r="A1564" s="9" t="s">
        <v>2532</v>
      </c>
      <c r="B1564" s="10" t="s">
        <v>84</v>
      </c>
      <c r="C1564" s="10" t="s">
        <v>2533</v>
      </c>
      <c r="D1564" s="14" t="s">
        <v>2534</v>
      </c>
      <c r="E1564" s="10"/>
      <c r="F1564" s="10" t="s">
        <v>282</v>
      </c>
      <c r="G1564" s="111" t="n">
        <v>82.07</v>
      </c>
      <c r="H1564" s="152" t="n">
        <v>0</v>
      </c>
      <c r="I1564" s="111">
        <f>G1564*H1564</f>
      </c>
      <c r="J1564" s="153" t="s">
        <v>134</v>
      </c>
      <c r="K1564" s="146"/>
      <c r="Z1564" s="111">
        <f>IF(AQ1564="5",BJ1564,0)</f>
      </c>
      <c r="AB1564" s="111">
        <f>IF(AQ1564="1",BH1564,0)</f>
      </c>
      <c r="AC1564" s="111">
        <f>IF(AQ1564="1",BI1564,0)</f>
      </c>
      <c r="AD1564" s="111">
        <f>IF(AQ1564="7",BH1564,0)</f>
      </c>
      <c r="AE1564" s="111">
        <f>IF(AQ1564="7",BI1564,0)</f>
      </c>
      <c r="AF1564" s="111">
        <f>IF(AQ1564="2",BH1564,0)</f>
      </c>
      <c r="AG1564" s="111">
        <f>IF(AQ1564="2",BI1564,0)</f>
      </c>
      <c r="AH1564" s="111">
        <f>IF(AQ1564="0",BJ1564,0)</f>
      </c>
      <c r="AI1564" s="132" t="s">
        <v>84</v>
      </c>
      <c r="AJ1564" s="111">
        <f>IF(AN1564=0,I1564,0)</f>
      </c>
      <c r="AK1564" s="111">
        <f>IF(AN1564=12,I1564,0)</f>
      </c>
      <c r="AL1564" s="111">
        <f>IF(AN1564=21,I1564,0)</f>
      </c>
      <c r="AN1564" s="111" t="n">
        <v>21</v>
      </c>
      <c r="AO1564" s="111">
        <f>H1564*0.500126974</f>
      </c>
      <c r="AP1564" s="111">
        <f>H1564*(1-0.500126974)</f>
      </c>
      <c r="AQ1564" s="153" t="s">
        <v>173</v>
      </c>
      <c r="AV1564" s="111">
        <f>AW1564+AX1564</f>
      </c>
      <c r="AW1564" s="111">
        <f>G1564*AO1564</f>
      </c>
      <c r="AX1564" s="111">
        <f>G1564*AP1564</f>
      </c>
      <c r="AY1564" s="153" t="s">
        <v>2485</v>
      </c>
      <c r="AZ1564" s="153" t="s">
        <v>2486</v>
      </c>
      <c r="BA1564" s="132" t="s">
        <v>137</v>
      </c>
      <c r="BC1564" s="111">
        <f>AW1564+AX1564</f>
      </c>
      <c r="BD1564" s="111">
        <f>H1564/(100-BE1564)*100</f>
      </c>
      <c r="BE1564" s="111" t="n">
        <v>0</v>
      </c>
      <c r="BF1564" s="111">
        <f>1564</f>
      </c>
      <c r="BH1564" s="111">
        <f>G1564*AO1564</f>
      </c>
      <c r="BI1564" s="111">
        <f>G1564*AP1564</f>
      </c>
      <c r="BJ1564" s="111">
        <f>G1564*H1564</f>
      </c>
      <c r="BK1564" s="111"/>
      <c r="BL1564" s="111" t="n">
        <v>771</v>
      </c>
      <c r="BW1564" s="111" t="n">
        <v>21</v>
      </c>
      <c r="BX1564" s="14" t="s">
        <v>2534</v>
      </c>
    </row>
    <row r="1565">
      <c r="A1565" s="154"/>
      <c r="B1565" s="155"/>
      <c r="C1565" s="155"/>
      <c r="D1565" s="156" t="s">
        <v>2528</v>
      </c>
      <c r="E1565" s="156" t="s">
        <v>989</v>
      </c>
      <c r="F1565" s="155"/>
      <c r="G1565" s="157" t="n">
        <v>15.23</v>
      </c>
      <c r="H1565" s="158"/>
      <c r="I1565" s="155"/>
      <c r="J1565" s="155"/>
      <c r="K1565" s="146"/>
    </row>
    <row r="1566">
      <c r="A1566" s="154"/>
      <c r="B1566" s="155"/>
      <c r="C1566" s="155"/>
      <c r="D1566" s="156" t="s">
        <v>2535</v>
      </c>
      <c r="E1566" s="156" t="s">
        <v>864</v>
      </c>
      <c r="F1566" s="155"/>
      <c r="G1566" s="157" t="n">
        <v>10.57</v>
      </c>
      <c r="H1566" s="158"/>
      <c r="I1566" s="155"/>
      <c r="J1566" s="155"/>
      <c r="K1566" s="146"/>
    </row>
    <row r="1567">
      <c r="A1567" s="154"/>
      <c r="B1567" s="155"/>
      <c r="C1567" s="155"/>
      <c r="D1567" s="156" t="s">
        <v>2536</v>
      </c>
      <c r="E1567" s="156" t="s">
        <v>566</v>
      </c>
      <c r="F1567" s="155"/>
      <c r="G1567" s="157" t="n">
        <v>10.37</v>
      </c>
      <c r="H1567" s="158"/>
      <c r="I1567" s="155"/>
      <c r="J1567" s="155"/>
      <c r="K1567" s="146"/>
    </row>
    <row r="1568">
      <c r="A1568" s="154"/>
      <c r="B1568" s="155"/>
      <c r="C1568" s="155"/>
      <c r="D1568" s="156" t="s">
        <v>2537</v>
      </c>
      <c r="E1568" s="156" t="s">
        <v>865</v>
      </c>
      <c r="F1568" s="155"/>
      <c r="G1568" s="157" t="n">
        <v>7.2</v>
      </c>
      <c r="H1568" s="158"/>
      <c r="I1568" s="155"/>
      <c r="J1568" s="155"/>
      <c r="K1568" s="146"/>
    </row>
    <row r="1569">
      <c r="A1569" s="154"/>
      <c r="B1569" s="155"/>
      <c r="C1569" s="155"/>
      <c r="D1569" s="156" t="s">
        <v>2538</v>
      </c>
      <c r="E1569" s="156" t="s">
        <v>1030</v>
      </c>
      <c r="F1569" s="155"/>
      <c r="G1569" s="157" t="n">
        <v>6.9</v>
      </c>
      <c r="H1569" s="158"/>
      <c r="I1569" s="155"/>
      <c r="J1569" s="155"/>
      <c r="K1569" s="146"/>
    </row>
    <row r="1570">
      <c r="A1570" s="154"/>
      <c r="B1570" s="155"/>
      <c r="C1570" s="155"/>
      <c r="D1570" s="156" t="s">
        <v>2539</v>
      </c>
      <c r="E1570" s="156" t="s">
        <v>1032</v>
      </c>
      <c r="F1570" s="155"/>
      <c r="G1570" s="157" t="n">
        <v>10.58</v>
      </c>
      <c r="H1570" s="158"/>
      <c r="I1570" s="155"/>
      <c r="J1570" s="155"/>
      <c r="K1570" s="146"/>
    </row>
    <row r="1571">
      <c r="A1571" s="154"/>
      <c r="B1571" s="155"/>
      <c r="C1571" s="155"/>
      <c r="D1571" s="156" t="s">
        <v>2540</v>
      </c>
      <c r="E1571" s="156" t="s">
        <v>1034</v>
      </c>
      <c r="F1571" s="155"/>
      <c r="G1571" s="157" t="n">
        <v>4.82</v>
      </c>
      <c r="H1571" s="158"/>
      <c r="I1571" s="155"/>
      <c r="J1571" s="155"/>
      <c r="K1571" s="146"/>
    </row>
    <row r="1572">
      <c r="A1572" s="154"/>
      <c r="B1572" s="155"/>
      <c r="C1572" s="155"/>
      <c r="D1572" s="156" t="s">
        <v>2541</v>
      </c>
      <c r="E1572" s="156" t="s">
        <v>1008</v>
      </c>
      <c r="F1572" s="155"/>
      <c r="G1572" s="157" t="n">
        <v>8.2</v>
      </c>
      <c r="H1572" s="158"/>
      <c r="I1572" s="155"/>
      <c r="J1572" s="155"/>
      <c r="K1572" s="146"/>
    </row>
    <row r="1573">
      <c r="A1573" s="154"/>
      <c r="B1573" s="155"/>
      <c r="C1573" s="155"/>
      <c r="D1573" s="156" t="s">
        <v>2541</v>
      </c>
      <c r="E1573" s="156" t="s">
        <v>1010</v>
      </c>
      <c r="F1573" s="155"/>
      <c r="G1573" s="157" t="n">
        <v>8.2</v>
      </c>
      <c r="H1573" s="158"/>
      <c r="I1573" s="155"/>
      <c r="J1573" s="155"/>
      <c r="K1573" s="146"/>
    </row>
    <row r="1574">
      <c r="A1574" s="9" t="s">
        <v>2542</v>
      </c>
      <c r="B1574" s="10" t="s">
        <v>84</v>
      </c>
      <c r="C1574" s="10" t="s">
        <v>2543</v>
      </c>
      <c r="D1574" s="14" t="s">
        <v>2544</v>
      </c>
      <c r="E1574" s="10"/>
      <c r="F1574" s="10" t="s">
        <v>145</v>
      </c>
      <c r="G1574" s="111" t="n">
        <v>15.3</v>
      </c>
      <c r="H1574" s="152" t="n">
        <v>0</v>
      </c>
      <c r="I1574" s="111">
        <f>G1574*H1574</f>
      </c>
      <c r="J1574" s="153" t="s">
        <v>134</v>
      </c>
      <c r="K1574" s="146"/>
      <c r="Z1574" s="111">
        <f>IF(AQ1574="5",BJ1574,0)</f>
      </c>
      <c r="AB1574" s="111">
        <f>IF(AQ1574="1",BH1574,0)</f>
      </c>
      <c r="AC1574" s="111">
        <f>IF(AQ1574="1",BI1574,0)</f>
      </c>
      <c r="AD1574" s="111">
        <f>IF(AQ1574="7",BH1574,0)</f>
      </c>
      <c r="AE1574" s="111">
        <f>IF(AQ1574="7",BI1574,0)</f>
      </c>
      <c r="AF1574" s="111">
        <f>IF(AQ1574="2",BH1574,0)</f>
      </c>
      <c r="AG1574" s="111">
        <f>IF(AQ1574="2",BI1574,0)</f>
      </c>
      <c r="AH1574" s="111">
        <f>IF(AQ1574="0",BJ1574,0)</f>
      </c>
      <c r="AI1574" s="132" t="s">
        <v>84</v>
      </c>
      <c r="AJ1574" s="111">
        <f>IF(AN1574=0,I1574,0)</f>
      </c>
      <c r="AK1574" s="111">
        <f>IF(AN1574=12,I1574,0)</f>
      </c>
      <c r="AL1574" s="111">
        <f>IF(AN1574=21,I1574,0)</f>
      </c>
      <c r="AN1574" s="111" t="n">
        <v>21</v>
      </c>
      <c r="AO1574" s="111">
        <f>H1574*0</f>
      </c>
      <c r="AP1574" s="111">
        <f>H1574*(1-0)</f>
      </c>
      <c r="AQ1574" s="153" t="s">
        <v>173</v>
      </c>
      <c r="AV1574" s="111">
        <f>AW1574+AX1574</f>
      </c>
      <c r="AW1574" s="111">
        <f>G1574*AO1574</f>
      </c>
      <c r="AX1574" s="111">
        <f>G1574*AP1574</f>
      </c>
      <c r="AY1574" s="153" t="s">
        <v>2485</v>
      </c>
      <c r="AZ1574" s="153" t="s">
        <v>2486</v>
      </c>
      <c r="BA1574" s="132" t="s">
        <v>137</v>
      </c>
      <c r="BC1574" s="111">
        <f>AW1574+AX1574</f>
      </c>
      <c r="BD1574" s="111">
        <f>H1574/(100-BE1574)*100</f>
      </c>
      <c r="BE1574" s="111" t="n">
        <v>0</v>
      </c>
      <c r="BF1574" s="111">
        <f>1574</f>
      </c>
      <c r="BH1574" s="111">
        <f>G1574*AO1574</f>
      </c>
      <c r="BI1574" s="111">
        <f>G1574*AP1574</f>
      </c>
      <c r="BJ1574" s="111">
        <f>G1574*H1574</f>
      </c>
      <c r="BK1574" s="111"/>
      <c r="BL1574" s="111" t="n">
        <v>771</v>
      </c>
      <c r="BW1574" s="111" t="n">
        <v>21</v>
      </c>
      <c r="BX1574" s="14" t="s">
        <v>2544</v>
      </c>
    </row>
    <row r="1575">
      <c r="A1575" s="154"/>
      <c r="B1575" s="155"/>
      <c r="C1575" s="155"/>
      <c r="D1575" s="156" t="s">
        <v>1250</v>
      </c>
      <c r="E1575" s="156" t="s">
        <v>2487</v>
      </c>
      <c r="F1575" s="155"/>
      <c r="G1575" s="157" t="n">
        <v>7.6</v>
      </c>
      <c r="H1575" s="158"/>
      <c r="I1575" s="155"/>
      <c r="J1575" s="155"/>
      <c r="K1575" s="146"/>
    </row>
    <row r="1576">
      <c r="A1576" s="154"/>
      <c r="B1576" s="155"/>
      <c r="C1576" s="155"/>
      <c r="D1576" s="156" t="s">
        <v>2545</v>
      </c>
      <c r="E1576" s="156" t="s">
        <v>2546</v>
      </c>
      <c r="F1576" s="155"/>
      <c r="G1576" s="157" t="n">
        <v>7.7</v>
      </c>
      <c r="H1576" s="158"/>
      <c r="I1576" s="155"/>
      <c r="J1576" s="155"/>
      <c r="K1576" s="146"/>
    </row>
    <row r="1577">
      <c r="A1577" s="9" t="s">
        <v>2547</v>
      </c>
      <c r="B1577" s="10" t="s">
        <v>84</v>
      </c>
      <c r="C1577" s="10" t="s">
        <v>2548</v>
      </c>
      <c r="D1577" s="14" t="s">
        <v>2549</v>
      </c>
      <c r="E1577" s="10"/>
      <c r="F1577" s="10" t="s">
        <v>145</v>
      </c>
      <c r="G1577" s="111" t="n">
        <v>56.423</v>
      </c>
      <c r="H1577" s="152" t="n">
        <v>0</v>
      </c>
      <c r="I1577" s="111">
        <f>G1577*H1577</f>
      </c>
      <c r="J1577" s="153" t="s">
        <v>134</v>
      </c>
      <c r="K1577" s="146"/>
      <c r="Z1577" s="111">
        <f>IF(AQ1577="5",BJ1577,0)</f>
      </c>
      <c r="AB1577" s="111">
        <f>IF(AQ1577="1",BH1577,0)</f>
      </c>
      <c r="AC1577" s="111">
        <f>IF(AQ1577="1",BI1577,0)</f>
      </c>
      <c r="AD1577" s="111">
        <f>IF(AQ1577="7",BH1577,0)</f>
      </c>
      <c r="AE1577" s="111">
        <f>IF(AQ1577="7",BI1577,0)</f>
      </c>
      <c r="AF1577" s="111">
        <f>IF(AQ1577="2",BH1577,0)</f>
      </c>
      <c r="AG1577" s="111">
        <f>IF(AQ1577="2",BI1577,0)</f>
      </c>
      <c r="AH1577" s="111">
        <f>IF(AQ1577="0",BJ1577,0)</f>
      </c>
      <c r="AI1577" s="132" t="s">
        <v>84</v>
      </c>
      <c r="AJ1577" s="111">
        <f>IF(AN1577=0,I1577,0)</f>
      </c>
      <c r="AK1577" s="111">
        <f>IF(AN1577=12,I1577,0)</f>
      </c>
      <c r="AL1577" s="111">
        <f>IF(AN1577=21,I1577,0)</f>
      </c>
      <c r="AN1577" s="111" t="n">
        <v>21</v>
      </c>
      <c r="AO1577" s="111">
        <f>H1577*0.999998637</f>
      </c>
      <c r="AP1577" s="111">
        <f>H1577*(1-0.999998637)</f>
      </c>
      <c r="AQ1577" s="153" t="s">
        <v>173</v>
      </c>
      <c r="AV1577" s="111">
        <f>AW1577+AX1577</f>
      </c>
      <c r="AW1577" s="111">
        <f>G1577*AO1577</f>
      </c>
      <c r="AX1577" s="111">
        <f>G1577*AP1577</f>
      </c>
      <c r="AY1577" s="153" t="s">
        <v>2485</v>
      </c>
      <c r="AZ1577" s="153" t="s">
        <v>2486</v>
      </c>
      <c r="BA1577" s="132" t="s">
        <v>137</v>
      </c>
      <c r="BC1577" s="111">
        <f>AW1577+AX1577</f>
      </c>
      <c r="BD1577" s="111">
        <f>H1577/(100-BE1577)*100</f>
      </c>
      <c r="BE1577" s="111" t="n">
        <v>0</v>
      </c>
      <c r="BF1577" s="111">
        <f>1577</f>
      </c>
      <c r="BH1577" s="111">
        <f>G1577*AO1577</f>
      </c>
      <c r="BI1577" s="111">
        <f>G1577*AP1577</f>
      </c>
      <c r="BJ1577" s="111">
        <f>G1577*H1577</f>
      </c>
      <c r="BK1577" s="111"/>
      <c r="BL1577" s="111" t="n">
        <v>771</v>
      </c>
      <c r="BW1577" s="111" t="n">
        <v>21</v>
      </c>
      <c r="BX1577" s="14" t="s">
        <v>2549</v>
      </c>
    </row>
    <row r="1578" customHeight="true" ht="13.5">
      <c r="A1578" s="159"/>
      <c r="C1578" s="160" t="s">
        <v>146</v>
      </c>
      <c r="D1578" s="161" t="s">
        <v>2550</v>
      </c>
      <c r="E1578" s="156"/>
      <c r="F1578" s="156"/>
      <c r="G1578" s="156"/>
      <c r="H1578" s="162"/>
      <c r="I1578" s="156"/>
      <c r="J1578" s="156"/>
      <c r="K1578" s="163"/>
    </row>
    <row r="1579">
      <c r="A1579" s="154"/>
      <c r="B1579" s="155"/>
      <c r="C1579" s="155"/>
      <c r="D1579" s="156" t="s">
        <v>1250</v>
      </c>
      <c r="E1579" s="156" t="s">
        <v>2487</v>
      </c>
      <c r="F1579" s="155"/>
      <c r="G1579" s="157" t="n">
        <v>7.6</v>
      </c>
      <c r="H1579" s="158"/>
      <c r="I1579" s="155"/>
      <c r="J1579" s="155"/>
      <c r="K1579" s="146"/>
    </row>
    <row r="1580">
      <c r="A1580" s="154"/>
      <c r="B1580" s="155"/>
      <c r="C1580" s="155"/>
      <c r="D1580" s="156" t="s">
        <v>1252</v>
      </c>
      <c r="E1580" s="156" t="s">
        <v>2488</v>
      </c>
      <c r="F1580" s="155"/>
      <c r="G1580" s="157" t="n">
        <v>47.3</v>
      </c>
      <c r="H1580" s="158"/>
      <c r="I1580" s="155"/>
      <c r="J1580" s="155"/>
      <c r="K1580" s="146"/>
    </row>
    <row r="1581">
      <c r="A1581" s="154"/>
      <c r="B1581" s="155"/>
      <c r="C1581" s="155"/>
      <c r="D1581" s="156" t="s">
        <v>2551</v>
      </c>
      <c r="E1581" s="156" t="s">
        <v>2552</v>
      </c>
      <c r="F1581" s="155"/>
      <c r="G1581" s="157" t="n">
        <v>1.523</v>
      </c>
      <c r="H1581" s="158"/>
      <c r="I1581" s="155"/>
      <c r="J1581" s="155"/>
      <c r="K1581" s="146"/>
    </row>
    <row r="1582">
      <c r="A1582" s="9" t="s">
        <v>2553</v>
      </c>
      <c r="B1582" s="10" t="s">
        <v>84</v>
      </c>
      <c r="C1582" s="10" t="s">
        <v>2554</v>
      </c>
      <c r="D1582" s="14" t="s">
        <v>2555</v>
      </c>
      <c r="E1582" s="10"/>
      <c r="F1582" s="10" t="s">
        <v>282</v>
      </c>
      <c r="G1582" s="111" t="n">
        <v>7.25</v>
      </c>
      <c r="H1582" s="152" t="n">
        <v>0</v>
      </c>
      <c r="I1582" s="111">
        <f>G1582*H1582</f>
      </c>
      <c r="J1582" s="153" t="s">
        <v>134</v>
      </c>
      <c r="K1582" s="146"/>
      <c r="Z1582" s="111">
        <f>IF(AQ1582="5",BJ1582,0)</f>
      </c>
      <c r="AB1582" s="111">
        <f>IF(AQ1582="1",BH1582,0)</f>
      </c>
      <c r="AC1582" s="111">
        <f>IF(AQ1582="1",BI1582,0)</f>
      </c>
      <c r="AD1582" s="111">
        <f>IF(AQ1582="7",BH1582,0)</f>
      </c>
      <c r="AE1582" s="111">
        <f>IF(AQ1582="7",BI1582,0)</f>
      </c>
      <c r="AF1582" s="111">
        <f>IF(AQ1582="2",BH1582,0)</f>
      </c>
      <c r="AG1582" s="111">
        <f>IF(AQ1582="2",BI1582,0)</f>
      </c>
      <c r="AH1582" s="111">
        <f>IF(AQ1582="0",BJ1582,0)</f>
      </c>
      <c r="AI1582" s="132" t="s">
        <v>84</v>
      </c>
      <c r="AJ1582" s="111">
        <f>IF(AN1582=0,I1582,0)</f>
      </c>
      <c r="AK1582" s="111">
        <f>IF(AN1582=12,I1582,0)</f>
      </c>
      <c r="AL1582" s="111">
        <f>IF(AN1582=21,I1582,0)</f>
      </c>
      <c r="AN1582" s="111" t="n">
        <v>21</v>
      </c>
      <c r="AO1582" s="111">
        <f>H1582*0.830641283</f>
      </c>
      <c r="AP1582" s="111">
        <f>H1582*(1-0.830641283)</f>
      </c>
      <c r="AQ1582" s="153" t="s">
        <v>173</v>
      </c>
      <c r="AV1582" s="111">
        <f>AW1582+AX1582</f>
      </c>
      <c r="AW1582" s="111">
        <f>G1582*AO1582</f>
      </c>
      <c r="AX1582" s="111">
        <f>G1582*AP1582</f>
      </c>
      <c r="AY1582" s="153" t="s">
        <v>2485</v>
      </c>
      <c r="AZ1582" s="153" t="s">
        <v>2486</v>
      </c>
      <c r="BA1582" s="132" t="s">
        <v>137</v>
      </c>
      <c r="BC1582" s="111">
        <f>AW1582+AX1582</f>
      </c>
      <c r="BD1582" s="111">
        <f>H1582/(100-BE1582)*100</f>
      </c>
      <c r="BE1582" s="111" t="n">
        <v>0</v>
      </c>
      <c r="BF1582" s="111">
        <f>1582</f>
      </c>
      <c r="BH1582" s="111">
        <f>G1582*AO1582</f>
      </c>
      <c r="BI1582" s="111">
        <f>G1582*AP1582</f>
      </c>
      <c r="BJ1582" s="111">
        <f>G1582*H1582</f>
      </c>
      <c r="BK1582" s="111"/>
      <c r="BL1582" s="111" t="n">
        <v>771</v>
      </c>
      <c r="BW1582" s="111" t="n">
        <v>21</v>
      </c>
      <c r="BX1582" s="14" t="s">
        <v>2555</v>
      </c>
    </row>
    <row r="1583" customHeight="true" ht="13.5">
      <c r="A1583" s="159"/>
      <c r="C1583" s="160" t="s">
        <v>146</v>
      </c>
      <c r="D1583" s="161" t="s">
        <v>2556</v>
      </c>
      <c r="E1583" s="156"/>
      <c r="F1583" s="156"/>
      <c r="G1583" s="156"/>
      <c r="H1583" s="162"/>
      <c r="I1583" s="156"/>
      <c r="J1583" s="156"/>
      <c r="K1583" s="163"/>
    </row>
    <row r="1584">
      <c r="A1584" s="154"/>
      <c r="B1584" s="155"/>
      <c r="C1584" s="155"/>
      <c r="D1584" s="156" t="s">
        <v>2557</v>
      </c>
      <c r="E1584" s="156" t="s">
        <v>2487</v>
      </c>
      <c r="F1584" s="155"/>
      <c r="G1584" s="157" t="n">
        <v>1.4</v>
      </c>
      <c r="H1584" s="158"/>
      <c r="I1584" s="155"/>
      <c r="J1584" s="155"/>
      <c r="K1584" s="146"/>
    </row>
    <row r="1585">
      <c r="A1585" s="154"/>
      <c r="B1585" s="155"/>
      <c r="C1585" s="155"/>
      <c r="D1585" s="156" t="s">
        <v>2558</v>
      </c>
      <c r="E1585" s="156" t="s">
        <v>2488</v>
      </c>
      <c r="F1585" s="155"/>
      <c r="G1585" s="157" t="n">
        <v>5.85</v>
      </c>
      <c r="H1585" s="158"/>
      <c r="I1585" s="155"/>
      <c r="J1585" s="155"/>
      <c r="K1585" s="146"/>
    </row>
    <row r="1586">
      <c r="A1586" s="9" t="s">
        <v>2559</v>
      </c>
      <c r="B1586" s="10" t="s">
        <v>84</v>
      </c>
      <c r="C1586" s="10" t="s">
        <v>2560</v>
      </c>
      <c r="D1586" s="14" t="s">
        <v>2561</v>
      </c>
      <c r="E1586" s="10"/>
      <c r="F1586" s="10" t="s">
        <v>145</v>
      </c>
      <c r="G1586" s="111" t="n">
        <v>54.9</v>
      </c>
      <c r="H1586" s="152" t="n">
        <v>0</v>
      </c>
      <c r="I1586" s="111">
        <f>G1586*H1586</f>
      </c>
      <c r="J1586" s="153" t="s">
        <v>134</v>
      </c>
      <c r="K1586" s="146"/>
      <c r="Z1586" s="111">
        <f>IF(AQ1586="5",BJ1586,0)</f>
      </c>
      <c r="AB1586" s="111">
        <f>IF(AQ1586="1",BH1586,0)</f>
      </c>
      <c r="AC1586" s="111">
        <f>IF(AQ1586="1",BI1586,0)</f>
      </c>
      <c r="AD1586" s="111">
        <f>IF(AQ1586="7",BH1586,0)</f>
      </c>
      <c r="AE1586" s="111">
        <f>IF(AQ1586="7",BI1586,0)</f>
      </c>
      <c r="AF1586" s="111">
        <f>IF(AQ1586="2",BH1586,0)</f>
      </c>
      <c r="AG1586" s="111">
        <f>IF(AQ1586="2",BI1586,0)</f>
      </c>
      <c r="AH1586" s="111">
        <f>IF(AQ1586="0",BJ1586,0)</f>
      </c>
      <c r="AI1586" s="132" t="s">
        <v>84</v>
      </c>
      <c r="AJ1586" s="111">
        <f>IF(AN1586=0,I1586,0)</f>
      </c>
      <c r="AK1586" s="111">
        <f>IF(AN1586=12,I1586,0)</f>
      </c>
      <c r="AL1586" s="111">
        <f>IF(AN1586=21,I1586,0)</f>
      </c>
      <c r="AN1586" s="111" t="n">
        <v>21</v>
      </c>
      <c r="AO1586" s="111">
        <f>H1586*1</f>
      </c>
      <c r="AP1586" s="111">
        <f>H1586*(1-1)</f>
      </c>
      <c r="AQ1586" s="153" t="s">
        <v>173</v>
      </c>
      <c r="AV1586" s="111">
        <f>AW1586+AX1586</f>
      </c>
      <c r="AW1586" s="111">
        <f>G1586*AO1586</f>
      </c>
      <c r="AX1586" s="111">
        <f>G1586*AP1586</f>
      </c>
      <c r="AY1586" s="153" t="s">
        <v>2485</v>
      </c>
      <c r="AZ1586" s="153" t="s">
        <v>2486</v>
      </c>
      <c r="BA1586" s="132" t="s">
        <v>137</v>
      </c>
      <c r="BC1586" s="111">
        <f>AW1586+AX1586</f>
      </c>
      <c r="BD1586" s="111">
        <f>H1586/(100-BE1586)*100</f>
      </c>
      <c r="BE1586" s="111" t="n">
        <v>0</v>
      </c>
      <c r="BF1586" s="111">
        <f>1586</f>
      </c>
      <c r="BH1586" s="111">
        <f>G1586*AO1586</f>
      </c>
      <c r="BI1586" s="111">
        <f>G1586*AP1586</f>
      </c>
      <c r="BJ1586" s="111">
        <f>G1586*H1586</f>
      </c>
      <c r="BK1586" s="111"/>
      <c r="BL1586" s="111" t="n">
        <v>771</v>
      </c>
      <c r="BW1586" s="111" t="n">
        <v>21</v>
      </c>
      <c r="BX1586" s="14" t="s">
        <v>2561</v>
      </c>
    </row>
    <row r="1587">
      <c r="A1587" s="154"/>
      <c r="B1587" s="155"/>
      <c r="C1587" s="155"/>
      <c r="D1587" s="156" t="s">
        <v>1250</v>
      </c>
      <c r="E1587" s="156" t="s">
        <v>2487</v>
      </c>
      <c r="F1587" s="155"/>
      <c r="G1587" s="157" t="n">
        <v>7.6</v>
      </c>
      <c r="H1587" s="158"/>
      <c r="I1587" s="155"/>
      <c r="J1587" s="155"/>
      <c r="K1587" s="146"/>
    </row>
    <row r="1588">
      <c r="A1588" s="154"/>
      <c r="B1588" s="155"/>
      <c r="C1588" s="155"/>
      <c r="D1588" s="156" t="s">
        <v>1252</v>
      </c>
      <c r="E1588" s="156" t="s">
        <v>2488</v>
      </c>
      <c r="F1588" s="155"/>
      <c r="G1588" s="157" t="n">
        <v>47.3</v>
      </c>
      <c r="H1588" s="158"/>
      <c r="I1588" s="155"/>
      <c r="J1588" s="155"/>
      <c r="K1588" s="146"/>
    </row>
    <row r="1589">
      <c r="A1589" s="9" t="s">
        <v>2562</v>
      </c>
      <c r="B1589" s="10" t="s">
        <v>84</v>
      </c>
      <c r="C1589" s="10" t="s">
        <v>2563</v>
      </c>
      <c r="D1589" s="14" t="s">
        <v>2564</v>
      </c>
      <c r="E1589" s="10"/>
      <c r="F1589" s="10" t="s">
        <v>282</v>
      </c>
      <c r="G1589" s="111" t="n">
        <v>82.07</v>
      </c>
      <c r="H1589" s="152" t="n">
        <v>0</v>
      </c>
      <c r="I1589" s="111">
        <f>G1589*H1589</f>
      </c>
      <c r="J1589" s="153" t="s">
        <v>134</v>
      </c>
      <c r="K1589" s="146"/>
      <c r="Z1589" s="111">
        <f>IF(AQ1589="5",BJ1589,0)</f>
      </c>
      <c r="AB1589" s="111">
        <f>IF(AQ1589="1",BH1589,0)</f>
      </c>
      <c r="AC1589" s="111">
        <f>IF(AQ1589="1",BI1589,0)</f>
      </c>
      <c r="AD1589" s="111">
        <f>IF(AQ1589="7",BH1589,0)</f>
      </c>
      <c r="AE1589" s="111">
        <f>IF(AQ1589="7",BI1589,0)</f>
      </c>
      <c r="AF1589" s="111">
        <f>IF(AQ1589="2",BH1589,0)</f>
      </c>
      <c r="AG1589" s="111">
        <f>IF(AQ1589="2",BI1589,0)</f>
      </c>
      <c r="AH1589" s="111">
        <f>IF(AQ1589="0",BJ1589,0)</f>
      </c>
      <c r="AI1589" s="132" t="s">
        <v>84</v>
      </c>
      <c r="AJ1589" s="111">
        <f>IF(AN1589=0,I1589,0)</f>
      </c>
      <c r="AK1589" s="111">
        <f>IF(AN1589=12,I1589,0)</f>
      </c>
      <c r="AL1589" s="111">
        <f>IF(AN1589=21,I1589,0)</f>
      </c>
      <c r="AN1589" s="111" t="n">
        <v>21</v>
      </c>
      <c r="AO1589" s="111">
        <f>H1589*0</f>
      </c>
      <c r="AP1589" s="111">
        <f>H1589*(1-0)</f>
      </c>
      <c r="AQ1589" s="153" t="s">
        <v>173</v>
      </c>
      <c r="AV1589" s="111">
        <f>AW1589+AX1589</f>
      </c>
      <c r="AW1589" s="111">
        <f>G1589*AO1589</f>
      </c>
      <c r="AX1589" s="111">
        <f>G1589*AP1589</f>
      </c>
      <c r="AY1589" s="153" t="s">
        <v>2485</v>
      </c>
      <c r="AZ1589" s="153" t="s">
        <v>2486</v>
      </c>
      <c r="BA1589" s="132" t="s">
        <v>137</v>
      </c>
      <c r="BC1589" s="111">
        <f>AW1589+AX1589</f>
      </c>
      <c r="BD1589" s="111">
        <f>H1589/(100-BE1589)*100</f>
      </c>
      <c r="BE1589" s="111" t="n">
        <v>0</v>
      </c>
      <c r="BF1589" s="111">
        <f>1589</f>
      </c>
      <c r="BH1589" s="111">
        <f>G1589*AO1589</f>
      </c>
      <c r="BI1589" s="111">
        <f>G1589*AP1589</f>
      </c>
      <c r="BJ1589" s="111">
        <f>G1589*H1589</f>
      </c>
      <c r="BK1589" s="111"/>
      <c r="BL1589" s="111" t="n">
        <v>771</v>
      </c>
      <c r="BW1589" s="111" t="n">
        <v>21</v>
      </c>
      <c r="BX1589" s="14" t="s">
        <v>2564</v>
      </c>
    </row>
    <row r="1590" customHeight="true" ht="13.5">
      <c r="A1590" s="159"/>
      <c r="C1590" s="160" t="s">
        <v>146</v>
      </c>
      <c r="D1590" s="161" t="s">
        <v>2565</v>
      </c>
      <c r="E1590" s="156"/>
      <c r="F1590" s="156"/>
      <c r="G1590" s="156"/>
      <c r="H1590" s="162"/>
      <c r="I1590" s="156"/>
      <c r="J1590" s="156"/>
      <c r="K1590" s="163"/>
    </row>
    <row r="1591">
      <c r="A1591" s="154"/>
      <c r="B1591" s="155"/>
      <c r="C1591" s="155"/>
      <c r="D1591" s="156" t="s">
        <v>2528</v>
      </c>
      <c r="E1591" s="156" t="s">
        <v>989</v>
      </c>
      <c r="F1591" s="155"/>
      <c r="G1591" s="157" t="n">
        <v>15.23</v>
      </c>
      <c r="H1591" s="158"/>
      <c r="I1591" s="155"/>
      <c r="J1591" s="155"/>
      <c r="K1591" s="146"/>
    </row>
    <row r="1592">
      <c r="A1592" s="154"/>
      <c r="B1592" s="155"/>
      <c r="C1592" s="155"/>
      <c r="D1592" s="156" t="s">
        <v>2535</v>
      </c>
      <c r="E1592" s="156" t="s">
        <v>864</v>
      </c>
      <c r="F1592" s="155"/>
      <c r="G1592" s="157" t="n">
        <v>10.57</v>
      </c>
      <c r="H1592" s="158"/>
      <c r="I1592" s="155"/>
      <c r="J1592" s="155"/>
      <c r="K1592" s="146"/>
    </row>
    <row r="1593">
      <c r="A1593" s="154"/>
      <c r="B1593" s="155"/>
      <c r="C1593" s="155"/>
      <c r="D1593" s="156" t="s">
        <v>2536</v>
      </c>
      <c r="E1593" s="156" t="s">
        <v>566</v>
      </c>
      <c r="F1593" s="155"/>
      <c r="G1593" s="157" t="n">
        <v>10.37</v>
      </c>
      <c r="H1593" s="158"/>
      <c r="I1593" s="155"/>
      <c r="J1593" s="155"/>
      <c r="K1593" s="146"/>
    </row>
    <row r="1594">
      <c r="A1594" s="154"/>
      <c r="B1594" s="155"/>
      <c r="C1594" s="155"/>
      <c r="D1594" s="156" t="s">
        <v>2537</v>
      </c>
      <c r="E1594" s="156" t="s">
        <v>865</v>
      </c>
      <c r="F1594" s="155"/>
      <c r="G1594" s="157" t="n">
        <v>7.2</v>
      </c>
      <c r="H1594" s="158"/>
      <c r="I1594" s="155"/>
      <c r="J1594" s="155"/>
      <c r="K1594" s="146"/>
    </row>
    <row r="1595">
      <c r="A1595" s="154"/>
      <c r="B1595" s="155"/>
      <c r="C1595" s="155"/>
      <c r="D1595" s="156" t="s">
        <v>2538</v>
      </c>
      <c r="E1595" s="156" t="s">
        <v>1030</v>
      </c>
      <c r="F1595" s="155"/>
      <c r="G1595" s="157" t="n">
        <v>6.9</v>
      </c>
      <c r="H1595" s="158"/>
      <c r="I1595" s="155"/>
      <c r="J1595" s="155"/>
      <c r="K1595" s="146"/>
    </row>
    <row r="1596">
      <c r="A1596" s="154"/>
      <c r="B1596" s="155"/>
      <c r="C1596" s="155"/>
      <c r="D1596" s="156" t="s">
        <v>2539</v>
      </c>
      <c r="E1596" s="156" t="s">
        <v>1032</v>
      </c>
      <c r="F1596" s="155"/>
      <c r="G1596" s="157" t="n">
        <v>10.58</v>
      </c>
      <c r="H1596" s="158"/>
      <c r="I1596" s="155"/>
      <c r="J1596" s="155"/>
      <c r="K1596" s="146"/>
    </row>
    <row r="1597">
      <c r="A1597" s="154"/>
      <c r="B1597" s="155"/>
      <c r="C1597" s="155"/>
      <c r="D1597" s="156" t="s">
        <v>2540</v>
      </c>
      <c r="E1597" s="156" t="s">
        <v>1034</v>
      </c>
      <c r="F1597" s="155"/>
      <c r="G1597" s="157" t="n">
        <v>4.82</v>
      </c>
      <c r="H1597" s="158"/>
      <c r="I1597" s="155"/>
      <c r="J1597" s="155"/>
      <c r="K1597" s="146"/>
    </row>
    <row r="1598">
      <c r="A1598" s="154"/>
      <c r="B1598" s="155"/>
      <c r="C1598" s="155"/>
      <c r="D1598" s="156" t="s">
        <v>2541</v>
      </c>
      <c r="E1598" s="156" t="s">
        <v>1008</v>
      </c>
      <c r="F1598" s="155"/>
      <c r="G1598" s="157" t="n">
        <v>8.2</v>
      </c>
      <c r="H1598" s="158"/>
      <c r="I1598" s="155"/>
      <c r="J1598" s="155"/>
      <c r="K1598" s="146"/>
    </row>
    <row r="1599">
      <c r="A1599" s="154"/>
      <c r="B1599" s="155"/>
      <c r="C1599" s="155"/>
      <c r="D1599" s="156" t="s">
        <v>2541</v>
      </c>
      <c r="E1599" s="156" t="s">
        <v>1010</v>
      </c>
      <c r="F1599" s="155"/>
      <c r="G1599" s="157" t="n">
        <v>8.2</v>
      </c>
      <c r="H1599" s="158"/>
      <c r="I1599" s="155"/>
      <c r="J1599" s="155"/>
      <c r="K1599" s="146"/>
    </row>
    <row r="1600">
      <c r="A1600" s="9" t="s">
        <v>2566</v>
      </c>
      <c r="B1600" s="10" t="s">
        <v>84</v>
      </c>
      <c r="C1600" s="10" t="s">
        <v>2567</v>
      </c>
      <c r="D1600" s="14" t="s">
        <v>2568</v>
      </c>
      <c r="E1600" s="10"/>
      <c r="F1600" s="10" t="s">
        <v>282</v>
      </c>
      <c r="G1600" s="111" t="n">
        <v>87.8149</v>
      </c>
      <c r="H1600" s="152" t="n">
        <v>0</v>
      </c>
      <c r="I1600" s="111">
        <f>G1600*H1600</f>
      </c>
      <c r="J1600" s="153" t="s">
        <v>134</v>
      </c>
      <c r="K1600" s="146"/>
      <c r="Z1600" s="111">
        <f>IF(AQ1600="5",BJ1600,0)</f>
      </c>
      <c r="AB1600" s="111">
        <f>IF(AQ1600="1",BH1600,0)</f>
      </c>
      <c r="AC1600" s="111">
        <f>IF(AQ1600="1",BI1600,0)</f>
      </c>
      <c r="AD1600" s="111">
        <f>IF(AQ1600="7",BH1600,0)</f>
      </c>
      <c r="AE1600" s="111">
        <f>IF(AQ1600="7",BI1600,0)</f>
      </c>
      <c r="AF1600" s="111">
        <f>IF(AQ1600="2",BH1600,0)</f>
      </c>
      <c r="AG1600" s="111">
        <f>IF(AQ1600="2",BI1600,0)</f>
      </c>
      <c r="AH1600" s="111">
        <f>IF(AQ1600="0",BJ1600,0)</f>
      </c>
      <c r="AI1600" s="132" t="s">
        <v>84</v>
      </c>
      <c r="AJ1600" s="111">
        <f>IF(AN1600=0,I1600,0)</f>
      </c>
      <c r="AK1600" s="111">
        <f>IF(AN1600=12,I1600,0)</f>
      </c>
      <c r="AL1600" s="111">
        <f>IF(AN1600=21,I1600,0)</f>
      </c>
      <c r="AN1600" s="111" t="n">
        <v>21</v>
      </c>
      <c r="AO1600" s="111">
        <f>H1600*1</f>
      </c>
      <c r="AP1600" s="111">
        <f>H1600*(1-1)</f>
      </c>
      <c r="AQ1600" s="153" t="s">
        <v>173</v>
      </c>
      <c r="AV1600" s="111">
        <f>AW1600+AX1600</f>
      </c>
      <c r="AW1600" s="111">
        <f>G1600*AO1600</f>
      </c>
      <c r="AX1600" s="111">
        <f>G1600*AP1600</f>
      </c>
      <c r="AY1600" s="153" t="s">
        <v>2485</v>
      </c>
      <c r="AZ1600" s="153" t="s">
        <v>2486</v>
      </c>
      <c r="BA1600" s="132" t="s">
        <v>137</v>
      </c>
      <c r="BC1600" s="111">
        <f>AW1600+AX1600</f>
      </c>
      <c r="BD1600" s="111">
        <f>H1600/(100-BE1600)*100</f>
      </c>
      <c r="BE1600" s="111" t="n">
        <v>0</v>
      </c>
      <c r="BF1600" s="111">
        <f>1600</f>
      </c>
      <c r="BH1600" s="111">
        <f>G1600*AO1600</f>
      </c>
      <c r="BI1600" s="111">
        <f>G1600*AP1600</f>
      </c>
      <c r="BJ1600" s="111">
        <f>G1600*H1600</f>
      </c>
      <c r="BK1600" s="111"/>
      <c r="BL1600" s="111" t="n">
        <v>771</v>
      </c>
      <c r="BW1600" s="111" t="n">
        <v>21</v>
      </c>
      <c r="BX1600" s="14" t="s">
        <v>2568</v>
      </c>
    </row>
    <row r="1601">
      <c r="A1601" s="154"/>
      <c r="B1601" s="155"/>
      <c r="C1601" s="155"/>
      <c r="D1601" s="156" t="s">
        <v>2569</v>
      </c>
      <c r="E1601" s="156" t="s">
        <v>4</v>
      </c>
      <c r="F1601" s="155"/>
      <c r="G1601" s="157" t="n">
        <v>82.07</v>
      </c>
      <c r="H1601" s="158"/>
      <c r="I1601" s="155"/>
      <c r="J1601" s="155"/>
      <c r="K1601" s="146"/>
    </row>
    <row r="1602">
      <c r="A1602" s="154"/>
      <c r="B1602" s="155"/>
      <c r="C1602" s="155"/>
      <c r="D1602" s="156" t="s">
        <v>2570</v>
      </c>
      <c r="E1602" s="156" t="s">
        <v>961</v>
      </c>
      <c r="F1602" s="155"/>
      <c r="G1602" s="157" t="n">
        <v>5.7449</v>
      </c>
      <c r="H1602" s="158"/>
      <c r="I1602" s="155"/>
      <c r="J1602" s="155"/>
      <c r="K1602" s="146"/>
    </row>
    <row r="1603">
      <c r="A1603" s="9" t="s">
        <v>2571</v>
      </c>
      <c r="B1603" s="10" t="s">
        <v>84</v>
      </c>
      <c r="C1603" s="10" t="s">
        <v>2572</v>
      </c>
      <c r="D1603" s="14" t="s">
        <v>2573</v>
      </c>
      <c r="E1603" s="10"/>
      <c r="F1603" s="10" t="s">
        <v>145</v>
      </c>
      <c r="G1603" s="111" t="n">
        <v>1.19</v>
      </c>
      <c r="H1603" s="152" t="n">
        <v>0</v>
      </c>
      <c r="I1603" s="111">
        <f>G1603*H1603</f>
      </c>
      <c r="J1603" s="153" t="s">
        <v>134</v>
      </c>
      <c r="K1603" s="146"/>
      <c r="Z1603" s="111">
        <f>IF(AQ1603="5",BJ1603,0)</f>
      </c>
      <c r="AB1603" s="111">
        <f>IF(AQ1603="1",BH1603,0)</f>
      </c>
      <c r="AC1603" s="111">
        <f>IF(AQ1603="1",BI1603,0)</f>
      </c>
      <c r="AD1603" s="111">
        <f>IF(AQ1603="7",BH1603,0)</f>
      </c>
      <c r="AE1603" s="111">
        <f>IF(AQ1603="7",BI1603,0)</f>
      </c>
      <c r="AF1603" s="111">
        <f>IF(AQ1603="2",BH1603,0)</f>
      </c>
      <c r="AG1603" s="111">
        <f>IF(AQ1603="2",BI1603,0)</f>
      </c>
      <c r="AH1603" s="111">
        <f>IF(AQ1603="0",BJ1603,0)</f>
      </c>
      <c r="AI1603" s="132" t="s">
        <v>84</v>
      </c>
      <c r="AJ1603" s="111">
        <f>IF(AN1603=0,I1603,0)</f>
      </c>
      <c r="AK1603" s="111">
        <f>IF(AN1603=12,I1603,0)</f>
      </c>
      <c r="AL1603" s="111">
        <f>IF(AN1603=21,I1603,0)</f>
      </c>
      <c r="AN1603" s="111" t="n">
        <v>21</v>
      </c>
      <c r="AO1603" s="111">
        <f>H1603*0.218135942</f>
      </c>
      <c r="AP1603" s="111">
        <f>H1603*(1-0.218135942)</f>
      </c>
      <c r="AQ1603" s="153" t="s">
        <v>173</v>
      </c>
      <c r="AV1603" s="111">
        <f>AW1603+AX1603</f>
      </c>
      <c r="AW1603" s="111">
        <f>G1603*AO1603</f>
      </c>
      <c r="AX1603" s="111">
        <f>G1603*AP1603</f>
      </c>
      <c r="AY1603" s="153" t="s">
        <v>2485</v>
      </c>
      <c r="AZ1603" s="153" t="s">
        <v>2486</v>
      </c>
      <c r="BA1603" s="132" t="s">
        <v>137</v>
      </c>
      <c r="BC1603" s="111">
        <f>AW1603+AX1603</f>
      </c>
      <c r="BD1603" s="111">
        <f>H1603/(100-BE1603)*100</f>
      </c>
      <c r="BE1603" s="111" t="n">
        <v>0</v>
      </c>
      <c r="BF1603" s="111">
        <f>1603</f>
      </c>
      <c r="BH1603" s="111">
        <f>G1603*AO1603</f>
      </c>
      <c r="BI1603" s="111">
        <f>G1603*AP1603</f>
      </c>
      <c r="BJ1603" s="111">
        <f>G1603*H1603</f>
      </c>
      <c r="BK1603" s="111"/>
      <c r="BL1603" s="111" t="n">
        <v>771</v>
      </c>
      <c r="BW1603" s="111" t="n">
        <v>21</v>
      </c>
      <c r="BX1603" s="14" t="s">
        <v>2573</v>
      </c>
    </row>
    <row r="1604" customHeight="true" ht="13.5">
      <c r="A1604" s="159"/>
      <c r="C1604" s="160" t="s">
        <v>146</v>
      </c>
      <c r="D1604" s="161" t="s">
        <v>2574</v>
      </c>
      <c r="E1604" s="156"/>
      <c r="F1604" s="156"/>
      <c r="G1604" s="156"/>
      <c r="H1604" s="162"/>
      <c r="I1604" s="156"/>
      <c r="J1604" s="156"/>
      <c r="K1604" s="163"/>
    </row>
    <row r="1605">
      <c r="A1605" s="154"/>
      <c r="B1605" s="155"/>
      <c r="C1605" s="155"/>
      <c r="D1605" s="156" t="s">
        <v>2575</v>
      </c>
      <c r="E1605" s="156" t="s">
        <v>2576</v>
      </c>
      <c r="F1605" s="155"/>
      <c r="G1605" s="157" t="n">
        <v>1.19</v>
      </c>
      <c r="H1605" s="158"/>
      <c r="I1605" s="155"/>
      <c r="J1605" s="155"/>
      <c r="K1605" s="146"/>
    </row>
    <row r="1606">
      <c r="A1606" s="9" t="s">
        <v>2577</v>
      </c>
      <c r="B1606" s="10" t="s">
        <v>84</v>
      </c>
      <c r="C1606" s="10" t="s">
        <v>2578</v>
      </c>
      <c r="D1606" s="14" t="s">
        <v>2579</v>
      </c>
      <c r="E1606" s="10"/>
      <c r="F1606" s="10" t="s">
        <v>61</v>
      </c>
      <c r="G1606" s="111" t="n">
        <v>7.8</v>
      </c>
      <c r="H1606" s="152" t="n">
        <v>0</v>
      </c>
      <c r="I1606" s="111">
        <f>G1606*H1606</f>
      </c>
      <c r="J1606" s="153" t="s">
        <v>134</v>
      </c>
      <c r="K1606" s="146"/>
      <c r="Z1606" s="111">
        <f>IF(AQ1606="5",BJ1606,0)</f>
      </c>
      <c r="AB1606" s="111">
        <f>IF(AQ1606="1",BH1606,0)</f>
      </c>
      <c r="AC1606" s="111">
        <f>IF(AQ1606="1",BI1606,0)</f>
      </c>
      <c r="AD1606" s="111">
        <f>IF(AQ1606="7",BH1606,0)</f>
      </c>
      <c r="AE1606" s="111">
        <f>IF(AQ1606="7",BI1606,0)</f>
      </c>
      <c r="AF1606" s="111">
        <f>IF(AQ1606="2",BH1606,0)</f>
      </c>
      <c r="AG1606" s="111">
        <f>IF(AQ1606="2",BI1606,0)</f>
      </c>
      <c r="AH1606" s="111">
        <f>IF(AQ1606="0",BJ1606,0)</f>
      </c>
      <c r="AI1606" s="132" t="s">
        <v>84</v>
      </c>
      <c r="AJ1606" s="111">
        <f>IF(AN1606=0,I1606,0)</f>
      </c>
      <c r="AK1606" s="111">
        <f>IF(AN1606=12,I1606,0)</f>
      </c>
      <c r="AL1606" s="111">
        <f>IF(AN1606=21,I1606,0)</f>
      </c>
      <c r="AN1606" s="111" t="n">
        <v>21</v>
      </c>
      <c r="AO1606" s="111">
        <f>H1606*0</f>
      </c>
      <c r="AP1606" s="111">
        <f>H1606*(1-0)</f>
      </c>
      <c r="AQ1606" s="153" t="s">
        <v>156</v>
      </c>
      <c r="AV1606" s="111">
        <f>AW1606+AX1606</f>
      </c>
      <c r="AW1606" s="111">
        <f>G1606*AO1606</f>
      </c>
      <c r="AX1606" s="111">
        <f>G1606*AP1606</f>
      </c>
      <c r="AY1606" s="153" t="s">
        <v>2485</v>
      </c>
      <c r="AZ1606" s="153" t="s">
        <v>2486</v>
      </c>
      <c r="BA1606" s="132" t="s">
        <v>137</v>
      </c>
      <c r="BC1606" s="111">
        <f>AW1606+AX1606</f>
      </c>
      <c r="BD1606" s="111">
        <f>H1606/(100-BE1606)*100</f>
      </c>
      <c r="BE1606" s="111" t="n">
        <v>0</v>
      </c>
      <c r="BF1606" s="111">
        <f>1606</f>
      </c>
      <c r="BH1606" s="111">
        <f>G1606*AO1606</f>
      </c>
      <c r="BI1606" s="111">
        <f>G1606*AP1606</f>
      </c>
      <c r="BJ1606" s="111">
        <f>G1606*H1606</f>
      </c>
      <c r="BK1606" s="111"/>
      <c r="BL1606" s="111" t="n">
        <v>771</v>
      </c>
      <c r="BW1606" s="111" t="n">
        <v>21</v>
      </c>
      <c r="BX1606" s="14" t="s">
        <v>2579</v>
      </c>
    </row>
    <row r="1607">
      <c r="A1607" s="9" t="s">
        <v>2580</v>
      </c>
      <c r="B1607" s="10" t="s">
        <v>84</v>
      </c>
      <c r="C1607" s="10" t="s">
        <v>2581</v>
      </c>
      <c r="D1607" s="14" t="s">
        <v>2582</v>
      </c>
      <c r="E1607" s="10"/>
      <c r="F1607" s="10" t="s">
        <v>61</v>
      </c>
      <c r="G1607" s="111" t="n">
        <v>2.24</v>
      </c>
      <c r="H1607" s="152" t="n">
        <v>0</v>
      </c>
      <c r="I1607" s="111">
        <f>G1607*H1607</f>
      </c>
      <c r="J1607" s="153" t="s">
        <v>134</v>
      </c>
      <c r="K1607" s="146"/>
      <c r="Z1607" s="111">
        <f>IF(AQ1607="5",BJ1607,0)</f>
      </c>
      <c r="AB1607" s="111">
        <f>IF(AQ1607="1",BH1607,0)</f>
      </c>
      <c r="AC1607" s="111">
        <f>IF(AQ1607="1",BI1607,0)</f>
      </c>
      <c r="AD1607" s="111">
        <f>IF(AQ1607="7",BH1607,0)</f>
      </c>
      <c r="AE1607" s="111">
        <f>IF(AQ1607="7",BI1607,0)</f>
      </c>
      <c r="AF1607" s="111">
        <f>IF(AQ1607="2",BH1607,0)</f>
      </c>
      <c r="AG1607" s="111">
        <f>IF(AQ1607="2",BI1607,0)</f>
      </c>
      <c r="AH1607" s="111">
        <f>IF(AQ1607="0",BJ1607,0)</f>
      </c>
      <c r="AI1607" s="132" t="s">
        <v>84</v>
      </c>
      <c r="AJ1607" s="111">
        <f>IF(AN1607=0,I1607,0)</f>
      </c>
      <c r="AK1607" s="111">
        <f>IF(AN1607=12,I1607,0)</f>
      </c>
      <c r="AL1607" s="111">
        <f>IF(AN1607=21,I1607,0)</f>
      </c>
      <c r="AN1607" s="111" t="n">
        <v>21</v>
      </c>
      <c r="AO1607" s="111">
        <f>H1607*0</f>
      </c>
      <c r="AP1607" s="111">
        <f>H1607*(1-0)</f>
      </c>
      <c r="AQ1607" s="153" t="s">
        <v>156</v>
      </c>
      <c r="AV1607" s="111">
        <f>AW1607+AX1607</f>
      </c>
      <c r="AW1607" s="111">
        <f>G1607*AO1607</f>
      </c>
      <c r="AX1607" s="111">
        <f>G1607*AP1607</f>
      </c>
      <c r="AY1607" s="153" t="s">
        <v>2485</v>
      </c>
      <c r="AZ1607" s="153" t="s">
        <v>2486</v>
      </c>
      <c r="BA1607" s="132" t="s">
        <v>137</v>
      </c>
      <c r="BC1607" s="111">
        <f>AW1607+AX1607</f>
      </c>
      <c r="BD1607" s="111">
        <f>H1607/(100-BE1607)*100</f>
      </c>
      <c r="BE1607" s="111" t="n">
        <v>0</v>
      </c>
      <c r="BF1607" s="111">
        <f>1607</f>
      </c>
      <c r="BH1607" s="111">
        <f>G1607*AO1607</f>
      </c>
      <c r="BI1607" s="111">
        <f>G1607*AP1607</f>
      </c>
      <c r="BJ1607" s="111">
        <f>G1607*H1607</f>
      </c>
      <c r="BK1607" s="111"/>
      <c r="BL1607" s="111" t="n">
        <v>771</v>
      </c>
      <c r="BW1607" s="111" t="n">
        <v>21</v>
      </c>
      <c r="BX1607" s="14" t="s">
        <v>2582</v>
      </c>
    </row>
    <row r="1608">
      <c r="A1608" s="147" t="s">
        <v>4</v>
      </c>
      <c r="B1608" s="148" t="s">
        <v>84</v>
      </c>
      <c r="C1608" s="148" t="s">
        <v>2583</v>
      </c>
      <c r="D1608" s="149" t="s">
        <v>2584</v>
      </c>
      <c r="E1608" s="148"/>
      <c r="F1608" s="150" t="s">
        <v>79</v>
      </c>
      <c r="G1608" s="150" t="s">
        <v>79</v>
      </c>
      <c r="H1608" s="151" t="s">
        <v>79</v>
      </c>
      <c r="I1608" s="117">
        <f>SUM(I1609:I1662)</f>
      </c>
      <c r="J1608" s="132" t="s">
        <v>4</v>
      </c>
      <c r="K1608" s="146"/>
      <c r="AI1608" s="132" t="s">
        <v>84</v>
      </c>
      <c r="AS1608" s="117">
        <f>SUM(AJ1609:AJ1662)</f>
      </c>
      <c r="AT1608" s="117">
        <f>SUM(AK1609:AK1662)</f>
      </c>
      <c r="AU1608" s="117">
        <f>SUM(AL1609:AL1662)</f>
      </c>
    </row>
    <row r="1609">
      <c r="A1609" s="9" t="s">
        <v>2585</v>
      </c>
      <c r="B1609" s="10" t="s">
        <v>84</v>
      </c>
      <c r="C1609" s="10" t="s">
        <v>2586</v>
      </c>
      <c r="D1609" s="14" t="s">
        <v>2587</v>
      </c>
      <c r="E1609" s="10"/>
      <c r="F1609" s="10" t="s">
        <v>145</v>
      </c>
      <c r="G1609" s="111" t="n">
        <v>240.3</v>
      </c>
      <c r="H1609" s="152" t="n">
        <v>0</v>
      </c>
      <c r="I1609" s="111">
        <f>G1609*H1609</f>
      </c>
      <c r="J1609" s="153" t="s">
        <v>134</v>
      </c>
      <c r="K1609" s="146"/>
      <c r="Z1609" s="111">
        <f>IF(AQ1609="5",BJ1609,0)</f>
      </c>
      <c r="AB1609" s="111">
        <f>IF(AQ1609="1",BH1609,0)</f>
      </c>
      <c r="AC1609" s="111">
        <f>IF(AQ1609="1",BI1609,0)</f>
      </c>
      <c r="AD1609" s="111">
        <f>IF(AQ1609="7",BH1609,0)</f>
      </c>
      <c r="AE1609" s="111">
        <f>IF(AQ1609="7",BI1609,0)</f>
      </c>
      <c r="AF1609" s="111">
        <f>IF(AQ1609="2",BH1609,0)</f>
      </c>
      <c r="AG1609" s="111">
        <f>IF(AQ1609="2",BI1609,0)</f>
      </c>
      <c r="AH1609" s="111">
        <f>IF(AQ1609="0",BJ1609,0)</f>
      </c>
      <c r="AI1609" s="132" t="s">
        <v>84</v>
      </c>
      <c r="AJ1609" s="111">
        <f>IF(AN1609=0,I1609,0)</f>
      </c>
      <c r="AK1609" s="111">
        <f>IF(AN1609=12,I1609,0)</f>
      </c>
      <c r="AL1609" s="111">
        <f>IF(AN1609=21,I1609,0)</f>
      </c>
      <c r="AN1609" s="111" t="n">
        <v>21</v>
      </c>
      <c r="AO1609" s="111">
        <f>H1609*0</f>
      </c>
      <c r="AP1609" s="111">
        <f>H1609*(1-0)</f>
      </c>
      <c r="AQ1609" s="153" t="s">
        <v>173</v>
      </c>
      <c r="AV1609" s="111">
        <f>AW1609+AX1609</f>
      </c>
      <c r="AW1609" s="111">
        <f>G1609*AO1609</f>
      </c>
      <c r="AX1609" s="111">
        <f>G1609*AP1609</f>
      </c>
      <c r="AY1609" s="153" t="s">
        <v>2588</v>
      </c>
      <c r="AZ1609" s="153" t="s">
        <v>2486</v>
      </c>
      <c r="BA1609" s="132" t="s">
        <v>137</v>
      </c>
      <c r="BC1609" s="111">
        <f>AW1609+AX1609</f>
      </c>
      <c r="BD1609" s="111">
        <f>H1609/(100-BE1609)*100</f>
      </c>
      <c r="BE1609" s="111" t="n">
        <v>0</v>
      </c>
      <c r="BF1609" s="111">
        <f>1609</f>
      </c>
      <c r="BH1609" s="111">
        <f>G1609*AO1609</f>
      </c>
      <c r="BI1609" s="111">
        <f>G1609*AP1609</f>
      </c>
      <c r="BJ1609" s="111">
        <f>G1609*H1609</f>
      </c>
      <c r="BK1609" s="111"/>
      <c r="BL1609" s="111" t="n">
        <v>775</v>
      </c>
      <c r="BW1609" s="111" t="n">
        <v>21</v>
      </c>
      <c r="BX1609" s="14" t="s">
        <v>2587</v>
      </c>
    </row>
    <row r="1610">
      <c r="A1610" s="154"/>
      <c r="B1610" s="155"/>
      <c r="C1610" s="155"/>
      <c r="D1610" s="156" t="s">
        <v>1253</v>
      </c>
      <c r="E1610" s="156" t="s">
        <v>2589</v>
      </c>
      <c r="F1610" s="155"/>
      <c r="G1610" s="157" t="n">
        <v>240.3</v>
      </c>
      <c r="H1610" s="158"/>
      <c r="I1610" s="155"/>
      <c r="J1610" s="155"/>
      <c r="K1610" s="146"/>
    </row>
    <row r="1611">
      <c r="A1611" s="9" t="s">
        <v>2590</v>
      </c>
      <c r="B1611" s="10" t="s">
        <v>84</v>
      </c>
      <c r="C1611" s="10" t="s">
        <v>2591</v>
      </c>
      <c r="D1611" s="14" t="s">
        <v>2592</v>
      </c>
      <c r="E1611" s="10"/>
      <c r="F1611" s="10" t="s">
        <v>145</v>
      </c>
      <c r="G1611" s="111" t="n">
        <v>240.3</v>
      </c>
      <c r="H1611" s="152" t="n">
        <v>0</v>
      </c>
      <c r="I1611" s="111">
        <f>G1611*H1611</f>
      </c>
      <c r="J1611" s="153" t="s">
        <v>134</v>
      </c>
      <c r="K1611" s="146"/>
      <c r="Z1611" s="111">
        <f>IF(AQ1611="5",BJ1611,0)</f>
      </c>
      <c r="AB1611" s="111">
        <f>IF(AQ1611="1",BH1611,0)</f>
      </c>
      <c r="AC1611" s="111">
        <f>IF(AQ1611="1",BI1611,0)</f>
      </c>
      <c r="AD1611" s="111">
        <f>IF(AQ1611="7",BH1611,0)</f>
      </c>
      <c r="AE1611" s="111">
        <f>IF(AQ1611="7",BI1611,0)</f>
      </c>
      <c r="AF1611" s="111">
        <f>IF(AQ1611="2",BH1611,0)</f>
      </c>
      <c r="AG1611" s="111">
        <f>IF(AQ1611="2",BI1611,0)</f>
      </c>
      <c r="AH1611" s="111">
        <f>IF(AQ1611="0",BJ1611,0)</f>
      </c>
      <c r="AI1611" s="132" t="s">
        <v>84</v>
      </c>
      <c r="AJ1611" s="111">
        <f>IF(AN1611=0,I1611,0)</f>
      </c>
      <c r="AK1611" s="111">
        <f>IF(AN1611=12,I1611,0)</f>
      </c>
      <c r="AL1611" s="111">
        <f>IF(AN1611=21,I1611,0)</f>
      </c>
      <c r="AN1611" s="111" t="n">
        <v>21</v>
      </c>
      <c r="AO1611" s="111">
        <f>H1611*0.794046997</f>
      </c>
      <c r="AP1611" s="111">
        <f>H1611*(1-0.794046997)</f>
      </c>
      <c r="AQ1611" s="153" t="s">
        <v>173</v>
      </c>
      <c r="AV1611" s="111">
        <f>AW1611+AX1611</f>
      </c>
      <c r="AW1611" s="111">
        <f>G1611*AO1611</f>
      </c>
      <c r="AX1611" s="111">
        <f>G1611*AP1611</f>
      </c>
      <c r="AY1611" s="153" t="s">
        <v>2588</v>
      </c>
      <c r="AZ1611" s="153" t="s">
        <v>2486</v>
      </c>
      <c r="BA1611" s="132" t="s">
        <v>137</v>
      </c>
      <c r="BC1611" s="111">
        <f>AW1611+AX1611</f>
      </c>
      <c r="BD1611" s="111">
        <f>H1611/(100-BE1611)*100</f>
      </c>
      <c r="BE1611" s="111" t="n">
        <v>0</v>
      </c>
      <c r="BF1611" s="111">
        <f>1611</f>
      </c>
      <c r="BH1611" s="111">
        <f>G1611*AO1611</f>
      </c>
      <c r="BI1611" s="111">
        <f>G1611*AP1611</f>
      </c>
      <c r="BJ1611" s="111">
        <f>G1611*H1611</f>
      </c>
      <c r="BK1611" s="111"/>
      <c r="BL1611" s="111" t="n">
        <v>775</v>
      </c>
      <c r="BW1611" s="111" t="n">
        <v>21</v>
      </c>
      <c r="BX1611" s="14" t="s">
        <v>2592</v>
      </c>
    </row>
    <row r="1612" customHeight="true" ht="13.5">
      <c r="A1612" s="159"/>
      <c r="C1612" s="160" t="s">
        <v>146</v>
      </c>
      <c r="D1612" s="161" t="s">
        <v>2593</v>
      </c>
      <c r="E1612" s="156"/>
      <c r="F1612" s="156"/>
      <c r="G1612" s="156"/>
      <c r="H1612" s="162"/>
      <c r="I1612" s="156"/>
      <c r="J1612" s="156"/>
      <c r="K1612" s="163"/>
    </row>
    <row r="1613">
      <c r="A1613" s="154"/>
      <c r="B1613" s="155"/>
      <c r="C1613" s="155"/>
      <c r="D1613" s="156" t="s">
        <v>1253</v>
      </c>
      <c r="E1613" s="156" t="s">
        <v>2589</v>
      </c>
      <c r="F1613" s="155"/>
      <c r="G1613" s="157" t="n">
        <v>240.3</v>
      </c>
      <c r="H1613" s="158"/>
      <c r="I1613" s="155"/>
      <c r="J1613" s="155"/>
      <c r="K1613" s="146"/>
    </row>
    <row r="1614">
      <c r="A1614" s="9" t="s">
        <v>2594</v>
      </c>
      <c r="B1614" s="10" t="s">
        <v>84</v>
      </c>
      <c r="C1614" s="10" t="s">
        <v>2595</v>
      </c>
      <c r="D1614" s="14" t="s">
        <v>2596</v>
      </c>
      <c r="E1614" s="10"/>
      <c r="F1614" s="10" t="s">
        <v>145</v>
      </c>
      <c r="G1614" s="111" t="n">
        <v>240.3</v>
      </c>
      <c r="H1614" s="152" t="n">
        <v>0</v>
      </c>
      <c r="I1614" s="111">
        <f>G1614*H1614</f>
      </c>
      <c r="J1614" s="153" t="s">
        <v>134</v>
      </c>
      <c r="K1614" s="146"/>
      <c r="Z1614" s="111">
        <f>IF(AQ1614="5",BJ1614,0)</f>
      </c>
      <c r="AB1614" s="111">
        <f>IF(AQ1614="1",BH1614,0)</f>
      </c>
      <c r="AC1614" s="111">
        <f>IF(AQ1614="1",BI1614,0)</f>
      </c>
      <c r="AD1614" s="111">
        <f>IF(AQ1614="7",BH1614,0)</f>
      </c>
      <c r="AE1614" s="111">
        <f>IF(AQ1614="7",BI1614,0)</f>
      </c>
      <c r="AF1614" s="111">
        <f>IF(AQ1614="2",BH1614,0)</f>
      </c>
      <c r="AG1614" s="111">
        <f>IF(AQ1614="2",BI1614,0)</f>
      </c>
      <c r="AH1614" s="111">
        <f>IF(AQ1614="0",BJ1614,0)</f>
      </c>
      <c r="AI1614" s="132" t="s">
        <v>84</v>
      </c>
      <c r="AJ1614" s="111">
        <f>IF(AN1614=0,I1614,0)</f>
      </c>
      <c r="AK1614" s="111">
        <f>IF(AN1614=12,I1614,0)</f>
      </c>
      <c r="AL1614" s="111">
        <f>IF(AN1614=21,I1614,0)</f>
      </c>
      <c r="AN1614" s="111" t="n">
        <v>21</v>
      </c>
      <c r="AO1614" s="111">
        <f>H1614*0</f>
      </c>
      <c r="AP1614" s="111">
        <f>H1614*(1-0)</f>
      </c>
      <c r="AQ1614" s="153" t="s">
        <v>173</v>
      </c>
      <c r="AV1614" s="111">
        <f>AW1614+AX1614</f>
      </c>
      <c r="AW1614" s="111">
        <f>G1614*AO1614</f>
      </c>
      <c r="AX1614" s="111">
        <f>G1614*AP1614</f>
      </c>
      <c r="AY1614" s="153" t="s">
        <v>2588</v>
      </c>
      <c r="AZ1614" s="153" t="s">
        <v>2486</v>
      </c>
      <c r="BA1614" s="132" t="s">
        <v>137</v>
      </c>
      <c r="BC1614" s="111">
        <f>AW1614+AX1614</f>
      </c>
      <c r="BD1614" s="111">
        <f>H1614/(100-BE1614)*100</f>
      </c>
      <c r="BE1614" s="111" t="n">
        <v>0</v>
      </c>
      <c r="BF1614" s="111">
        <f>1614</f>
      </c>
      <c r="BH1614" s="111">
        <f>G1614*AO1614</f>
      </c>
      <c r="BI1614" s="111">
        <f>G1614*AP1614</f>
      </c>
      <c r="BJ1614" s="111">
        <f>G1614*H1614</f>
      </c>
      <c r="BK1614" s="111"/>
      <c r="BL1614" s="111" t="n">
        <v>775</v>
      </c>
      <c r="BW1614" s="111" t="n">
        <v>21</v>
      </c>
      <c r="BX1614" s="14" t="s">
        <v>2596</v>
      </c>
    </row>
    <row r="1615" customHeight="true" ht="13.5">
      <c r="A1615" s="159"/>
      <c r="C1615" s="160" t="s">
        <v>146</v>
      </c>
      <c r="D1615" s="161" t="s">
        <v>2593</v>
      </c>
      <c r="E1615" s="156"/>
      <c r="F1615" s="156"/>
      <c r="G1615" s="156"/>
      <c r="H1615" s="162"/>
      <c r="I1615" s="156"/>
      <c r="J1615" s="156"/>
      <c r="K1615" s="163"/>
    </row>
    <row r="1616">
      <c r="A1616" s="154"/>
      <c r="B1616" s="155"/>
      <c r="C1616" s="155"/>
      <c r="D1616" s="156" t="s">
        <v>1253</v>
      </c>
      <c r="E1616" s="156" t="s">
        <v>1238</v>
      </c>
      <c r="F1616" s="155"/>
      <c r="G1616" s="157" t="n">
        <v>240.3</v>
      </c>
      <c r="H1616" s="158"/>
      <c r="I1616" s="155"/>
      <c r="J1616" s="155"/>
      <c r="K1616" s="146"/>
    </row>
    <row r="1617">
      <c r="A1617" s="9" t="s">
        <v>2597</v>
      </c>
      <c r="B1617" s="10" t="s">
        <v>84</v>
      </c>
      <c r="C1617" s="10" t="s">
        <v>2598</v>
      </c>
      <c r="D1617" s="14" t="s">
        <v>2599</v>
      </c>
      <c r="E1617" s="10"/>
      <c r="F1617" s="10" t="s">
        <v>145</v>
      </c>
      <c r="G1617" s="111" t="n">
        <v>240.3</v>
      </c>
      <c r="H1617" s="152" t="n">
        <v>0</v>
      </c>
      <c r="I1617" s="111">
        <f>G1617*H1617</f>
      </c>
      <c r="J1617" s="153" t="s">
        <v>134</v>
      </c>
      <c r="K1617" s="146"/>
      <c r="Z1617" s="111">
        <f>IF(AQ1617="5",BJ1617,0)</f>
      </c>
      <c r="AB1617" s="111">
        <f>IF(AQ1617="1",BH1617,0)</f>
      </c>
      <c r="AC1617" s="111">
        <f>IF(AQ1617="1",BI1617,0)</f>
      </c>
      <c r="AD1617" s="111">
        <f>IF(AQ1617="7",BH1617,0)</f>
      </c>
      <c r="AE1617" s="111">
        <f>IF(AQ1617="7",BI1617,0)</f>
      </c>
      <c r="AF1617" s="111">
        <f>IF(AQ1617="2",BH1617,0)</f>
      </c>
      <c r="AG1617" s="111">
        <f>IF(AQ1617="2",BI1617,0)</f>
      </c>
      <c r="AH1617" s="111">
        <f>IF(AQ1617="0",BJ1617,0)</f>
      </c>
      <c r="AI1617" s="132" t="s">
        <v>84</v>
      </c>
      <c r="AJ1617" s="111">
        <f>IF(AN1617=0,I1617,0)</f>
      </c>
      <c r="AK1617" s="111">
        <f>IF(AN1617=12,I1617,0)</f>
      </c>
      <c r="AL1617" s="111">
        <f>IF(AN1617=21,I1617,0)</f>
      </c>
      <c r="AN1617" s="111" t="n">
        <v>21</v>
      </c>
      <c r="AO1617" s="111">
        <f>H1617*0</f>
      </c>
      <c r="AP1617" s="111">
        <f>H1617*(1-0)</f>
      </c>
      <c r="AQ1617" s="153" t="s">
        <v>173</v>
      </c>
      <c r="AV1617" s="111">
        <f>AW1617+AX1617</f>
      </c>
      <c r="AW1617" s="111">
        <f>G1617*AO1617</f>
      </c>
      <c r="AX1617" s="111">
        <f>G1617*AP1617</f>
      </c>
      <c r="AY1617" s="153" t="s">
        <v>2588</v>
      </c>
      <c r="AZ1617" s="153" t="s">
        <v>2486</v>
      </c>
      <c r="BA1617" s="132" t="s">
        <v>137</v>
      </c>
      <c r="BC1617" s="111">
        <f>AW1617+AX1617</f>
      </c>
      <c r="BD1617" s="111">
        <f>H1617/(100-BE1617)*100</f>
      </c>
      <c r="BE1617" s="111" t="n">
        <v>0</v>
      </c>
      <c r="BF1617" s="111">
        <f>1617</f>
      </c>
      <c r="BH1617" s="111">
        <f>G1617*AO1617</f>
      </c>
      <c r="BI1617" s="111">
        <f>G1617*AP1617</f>
      </c>
      <c r="BJ1617" s="111">
        <f>G1617*H1617</f>
      </c>
      <c r="BK1617" s="111"/>
      <c r="BL1617" s="111" t="n">
        <v>775</v>
      </c>
      <c r="BW1617" s="111" t="n">
        <v>21</v>
      </c>
      <c r="BX1617" s="14" t="s">
        <v>2599</v>
      </c>
    </row>
    <row r="1618" customHeight="true" ht="13.5">
      <c r="A1618" s="159"/>
      <c r="C1618" s="160" t="s">
        <v>146</v>
      </c>
      <c r="D1618" s="161" t="s">
        <v>2600</v>
      </c>
      <c r="E1618" s="156"/>
      <c r="F1618" s="156"/>
      <c r="G1618" s="156"/>
      <c r="H1618" s="162"/>
      <c r="I1618" s="156"/>
      <c r="J1618" s="156"/>
      <c r="K1618" s="163"/>
    </row>
    <row r="1619">
      <c r="A1619" s="154"/>
      <c r="B1619" s="155"/>
      <c r="C1619" s="155"/>
      <c r="D1619" s="156" t="s">
        <v>1253</v>
      </c>
      <c r="E1619" s="156" t="s">
        <v>2601</v>
      </c>
      <c r="F1619" s="155"/>
      <c r="G1619" s="157" t="n">
        <v>240.3</v>
      </c>
      <c r="H1619" s="158"/>
      <c r="I1619" s="155"/>
      <c r="J1619" s="155"/>
      <c r="K1619" s="146"/>
    </row>
    <row r="1620">
      <c r="A1620" s="9" t="s">
        <v>2602</v>
      </c>
      <c r="B1620" s="10" t="s">
        <v>84</v>
      </c>
      <c r="C1620" s="10" t="s">
        <v>2603</v>
      </c>
      <c r="D1620" s="14" t="s">
        <v>2604</v>
      </c>
      <c r="E1620" s="10"/>
      <c r="F1620" s="10" t="s">
        <v>145</v>
      </c>
      <c r="G1620" s="111" t="n">
        <v>245.106</v>
      </c>
      <c r="H1620" s="152" t="n">
        <v>0</v>
      </c>
      <c r="I1620" s="111">
        <f>G1620*H1620</f>
      </c>
      <c r="J1620" s="153" t="s">
        <v>134</v>
      </c>
      <c r="K1620" s="146"/>
      <c r="Z1620" s="111">
        <f>IF(AQ1620="5",BJ1620,0)</f>
      </c>
      <c r="AB1620" s="111">
        <f>IF(AQ1620="1",BH1620,0)</f>
      </c>
      <c r="AC1620" s="111">
        <f>IF(AQ1620="1",BI1620,0)</f>
      </c>
      <c r="AD1620" s="111">
        <f>IF(AQ1620="7",BH1620,0)</f>
      </c>
      <c r="AE1620" s="111">
        <f>IF(AQ1620="7",BI1620,0)</f>
      </c>
      <c r="AF1620" s="111">
        <f>IF(AQ1620="2",BH1620,0)</f>
      </c>
      <c r="AG1620" s="111">
        <f>IF(AQ1620="2",BI1620,0)</f>
      </c>
      <c r="AH1620" s="111">
        <f>IF(AQ1620="0",BJ1620,0)</f>
      </c>
      <c r="AI1620" s="132" t="s">
        <v>84</v>
      </c>
      <c r="AJ1620" s="111">
        <f>IF(AN1620=0,I1620,0)</f>
      </c>
      <c r="AK1620" s="111">
        <f>IF(AN1620=12,I1620,0)</f>
      </c>
      <c r="AL1620" s="111">
        <f>IF(AN1620=21,I1620,0)</f>
      </c>
      <c r="AN1620" s="111" t="n">
        <v>21</v>
      </c>
      <c r="AO1620" s="111">
        <f>H1620*1</f>
      </c>
      <c r="AP1620" s="111">
        <f>H1620*(1-1)</f>
      </c>
      <c r="AQ1620" s="153" t="s">
        <v>173</v>
      </c>
      <c r="AV1620" s="111">
        <f>AW1620+AX1620</f>
      </c>
      <c r="AW1620" s="111">
        <f>G1620*AO1620</f>
      </c>
      <c r="AX1620" s="111">
        <f>G1620*AP1620</f>
      </c>
      <c r="AY1620" s="153" t="s">
        <v>2588</v>
      </c>
      <c r="AZ1620" s="153" t="s">
        <v>2486</v>
      </c>
      <c r="BA1620" s="132" t="s">
        <v>137</v>
      </c>
      <c r="BC1620" s="111">
        <f>AW1620+AX1620</f>
      </c>
      <c r="BD1620" s="111">
        <f>H1620/(100-BE1620)*100</f>
      </c>
      <c r="BE1620" s="111" t="n">
        <v>0</v>
      </c>
      <c r="BF1620" s="111">
        <f>1620</f>
      </c>
      <c r="BH1620" s="111">
        <f>G1620*AO1620</f>
      </c>
      <c r="BI1620" s="111">
        <f>G1620*AP1620</f>
      </c>
      <c r="BJ1620" s="111">
        <f>G1620*H1620</f>
      </c>
      <c r="BK1620" s="111"/>
      <c r="BL1620" s="111" t="n">
        <v>775</v>
      </c>
      <c r="BW1620" s="111" t="n">
        <v>21</v>
      </c>
      <c r="BX1620" s="14" t="s">
        <v>2604</v>
      </c>
    </row>
    <row r="1621">
      <c r="A1621" s="154"/>
      <c r="B1621" s="155"/>
      <c r="C1621" s="155"/>
      <c r="D1621" s="156" t="s">
        <v>4</v>
      </c>
      <c r="E1621" s="156" t="s">
        <v>2605</v>
      </c>
      <c r="F1621" s="155"/>
      <c r="G1621" s="157" t="n">
        <v>0</v>
      </c>
      <c r="H1621" s="158"/>
      <c r="I1621" s="155"/>
      <c r="J1621" s="155"/>
      <c r="K1621" s="146"/>
    </row>
    <row r="1622">
      <c r="A1622" s="154"/>
      <c r="B1622" s="155"/>
      <c r="C1622" s="155"/>
      <c r="D1622" s="156" t="s">
        <v>1253</v>
      </c>
      <c r="E1622" s="156" t="s">
        <v>2589</v>
      </c>
      <c r="F1622" s="155"/>
      <c r="G1622" s="157" t="n">
        <v>240.3</v>
      </c>
      <c r="H1622" s="158"/>
      <c r="I1622" s="155"/>
      <c r="J1622" s="155"/>
      <c r="K1622" s="146"/>
    </row>
    <row r="1623">
      <c r="A1623" s="154"/>
      <c r="B1623" s="155"/>
      <c r="C1623" s="155"/>
      <c r="D1623" s="156" t="s">
        <v>2606</v>
      </c>
      <c r="E1623" s="156" t="s">
        <v>2607</v>
      </c>
      <c r="F1623" s="155"/>
      <c r="G1623" s="157" t="n">
        <v>4.806</v>
      </c>
      <c r="H1623" s="158"/>
      <c r="I1623" s="155"/>
      <c r="J1623" s="155"/>
      <c r="K1623" s="146"/>
    </row>
    <row r="1624">
      <c r="A1624" s="9" t="s">
        <v>2608</v>
      </c>
      <c r="B1624" s="10" t="s">
        <v>84</v>
      </c>
      <c r="C1624" s="10" t="s">
        <v>2609</v>
      </c>
      <c r="D1624" s="14" t="s">
        <v>2610</v>
      </c>
      <c r="E1624" s="10"/>
      <c r="F1624" s="10" t="s">
        <v>159</v>
      </c>
      <c r="G1624" s="111" t="n">
        <v>7.62876</v>
      </c>
      <c r="H1624" s="152" t="n">
        <v>0</v>
      </c>
      <c r="I1624" s="111">
        <f>G1624*H1624</f>
      </c>
      <c r="J1624" s="153" t="s">
        <v>134</v>
      </c>
      <c r="K1624" s="146"/>
      <c r="Z1624" s="111">
        <f>IF(AQ1624="5",BJ1624,0)</f>
      </c>
      <c r="AB1624" s="111">
        <f>IF(AQ1624="1",BH1624,0)</f>
      </c>
      <c r="AC1624" s="111">
        <f>IF(AQ1624="1",BI1624,0)</f>
      </c>
      <c r="AD1624" s="111">
        <f>IF(AQ1624="7",BH1624,0)</f>
      </c>
      <c r="AE1624" s="111">
        <f>IF(AQ1624="7",BI1624,0)</f>
      </c>
      <c r="AF1624" s="111">
        <f>IF(AQ1624="2",BH1624,0)</f>
      </c>
      <c r="AG1624" s="111">
        <f>IF(AQ1624="2",BI1624,0)</f>
      </c>
      <c r="AH1624" s="111">
        <f>IF(AQ1624="0",BJ1624,0)</f>
      </c>
      <c r="AI1624" s="132" t="s">
        <v>84</v>
      </c>
      <c r="AJ1624" s="111">
        <f>IF(AN1624=0,I1624,0)</f>
      </c>
      <c r="AK1624" s="111">
        <f>IF(AN1624=12,I1624,0)</f>
      </c>
      <c r="AL1624" s="111">
        <f>IF(AN1624=21,I1624,0)</f>
      </c>
      <c r="AN1624" s="111" t="n">
        <v>21</v>
      </c>
      <c r="AO1624" s="111">
        <f>H1624*1</f>
      </c>
      <c r="AP1624" s="111">
        <f>H1624*(1-1)</f>
      </c>
      <c r="AQ1624" s="153" t="s">
        <v>173</v>
      </c>
      <c r="AV1624" s="111">
        <f>AW1624+AX1624</f>
      </c>
      <c r="AW1624" s="111">
        <f>G1624*AO1624</f>
      </c>
      <c r="AX1624" s="111">
        <f>G1624*AP1624</f>
      </c>
      <c r="AY1624" s="153" t="s">
        <v>2588</v>
      </c>
      <c r="AZ1624" s="153" t="s">
        <v>2486</v>
      </c>
      <c r="BA1624" s="132" t="s">
        <v>137</v>
      </c>
      <c r="BC1624" s="111">
        <f>AW1624+AX1624</f>
      </c>
      <c r="BD1624" s="111">
        <f>H1624/(100-BE1624)*100</f>
      </c>
      <c r="BE1624" s="111" t="n">
        <v>0</v>
      </c>
      <c r="BF1624" s="111">
        <f>1624</f>
      </c>
      <c r="BH1624" s="111">
        <f>G1624*AO1624</f>
      </c>
      <c r="BI1624" s="111">
        <f>G1624*AP1624</f>
      </c>
      <c r="BJ1624" s="111">
        <f>G1624*H1624</f>
      </c>
      <c r="BK1624" s="111"/>
      <c r="BL1624" s="111" t="n">
        <v>775</v>
      </c>
      <c r="BW1624" s="111" t="n">
        <v>21</v>
      </c>
      <c r="BX1624" s="14" t="s">
        <v>2610</v>
      </c>
    </row>
    <row r="1625">
      <c r="A1625" s="154"/>
      <c r="B1625" s="155"/>
      <c r="C1625" s="155"/>
      <c r="D1625" s="156" t="s">
        <v>4</v>
      </c>
      <c r="E1625" s="156" t="s">
        <v>2611</v>
      </c>
      <c r="F1625" s="155"/>
      <c r="G1625" s="157" t="n">
        <v>0</v>
      </c>
      <c r="H1625" s="158"/>
      <c r="I1625" s="155"/>
      <c r="J1625" s="155"/>
      <c r="K1625" s="146"/>
    </row>
    <row r="1626">
      <c r="A1626" s="154"/>
      <c r="B1626" s="155"/>
      <c r="C1626" s="155"/>
      <c r="D1626" s="156" t="s">
        <v>4</v>
      </c>
      <c r="E1626" s="156" t="s">
        <v>2612</v>
      </c>
      <c r="F1626" s="155"/>
      <c r="G1626" s="157" t="n">
        <v>0</v>
      </c>
      <c r="H1626" s="158"/>
      <c r="I1626" s="155"/>
      <c r="J1626" s="155"/>
      <c r="K1626" s="146"/>
    </row>
    <row r="1627">
      <c r="A1627" s="154"/>
      <c r="B1627" s="155"/>
      <c r="C1627" s="155"/>
      <c r="D1627" s="156" t="s">
        <v>2613</v>
      </c>
      <c r="E1627" s="156" t="s">
        <v>2614</v>
      </c>
      <c r="F1627" s="155"/>
      <c r="G1627" s="157" t="n">
        <v>1.16305</v>
      </c>
      <c r="H1627" s="158"/>
      <c r="I1627" s="155"/>
      <c r="J1627" s="155"/>
      <c r="K1627" s="146"/>
    </row>
    <row r="1628">
      <c r="A1628" s="154"/>
      <c r="B1628" s="155"/>
      <c r="C1628" s="155"/>
      <c r="D1628" s="156" t="s">
        <v>2613</v>
      </c>
      <c r="E1628" s="156" t="s">
        <v>2615</v>
      </c>
      <c r="F1628" s="155"/>
      <c r="G1628" s="157" t="n">
        <v>1.16305</v>
      </c>
      <c r="H1628" s="158"/>
      <c r="I1628" s="155"/>
      <c r="J1628" s="155"/>
      <c r="K1628" s="146"/>
    </row>
    <row r="1629">
      <c r="A1629" s="154"/>
      <c r="B1629" s="155"/>
      <c r="C1629" s="155"/>
      <c r="D1629" s="156" t="s">
        <v>2616</v>
      </c>
      <c r="E1629" s="156" t="s">
        <v>2617</v>
      </c>
      <c r="F1629" s="155"/>
      <c r="G1629" s="157" t="n">
        <v>4.3076</v>
      </c>
      <c r="H1629" s="158"/>
      <c r="I1629" s="155"/>
      <c r="J1629" s="155"/>
      <c r="K1629" s="146"/>
    </row>
    <row r="1630">
      <c r="A1630" s="154"/>
      <c r="B1630" s="155"/>
      <c r="C1630" s="155"/>
      <c r="D1630" s="156" t="s">
        <v>2618</v>
      </c>
      <c r="E1630" s="156" t="s">
        <v>674</v>
      </c>
      <c r="F1630" s="155"/>
      <c r="G1630" s="157" t="n">
        <v>0.99506</v>
      </c>
      <c r="H1630" s="158"/>
      <c r="I1630" s="155"/>
      <c r="J1630" s="155"/>
      <c r="K1630" s="146"/>
    </row>
    <row r="1631">
      <c r="A1631" s="9" t="s">
        <v>2619</v>
      </c>
      <c r="B1631" s="10" t="s">
        <v>84</v>
      </c>
      <c r="C1631" s="10" t="s">
        <v>2620</v>
      </c>
      <c r="D1631" s="14" t="s">
        <v>2621</v>
      </c>
      <c r="E1631" s="10"/>
      <c r="F1631" s="10" t="s">
        <v>159</v>
      </c>
      <c r="G1631" s="111" t="n">
        <v>7.62876</v>
      </c>
      <c r="H1631" s="152" t="n">
        <v>0</v>
      </c>
      <c r="I1631" s="111">
        <f>G1631*H1631</f>
      </c>
      <c r="J1631" s="153" t="s">
        <v>134</v>
      </c>
      <c r="K1631" s="146"/>
      <c r="Z1631" s="111">
        <f>IF(AQ1631="5",BJ1631,0)</f>
      </c>
      <c r="AB1631" s="111">
        <f>IF(AQ1631="1",BH1631,0)</f>
      </c>
      <c r="AC1631" s="111">
        <f>IF(AQ1631="1",BI1631,0)</f>
      </c>
      <c r="AD1631" s="111">
        <f>IF(AQ1631="7",BH1631,0)</f>
      </c>
      <c r="AE1631" s="111">
        <f>IF(AQ1631="7",BI1631,0)</f>
      </c>
      <c r="AF1631" s="111">
        <f>IF(AQ1631="2",BH1631,0)</f>
      </c>
      <c r="AG1631" s="111">
        <f>IF(AQ1631="2",BI1631,0)</f>
      </c>
      <c r="AH1631" s="111">
        <f>IF(AQ1631="0",BJ1631,0)</f>
      </c>
      <c r="AI1631" s="132" t="s">
        <v>84</v>
      </c>
      <c r="AJ1631" s="111">
        <f>IF(AN1631=0,I1631,0)</f>
      </c>
      <c r="AK1631" s="111">
        <f>IF(AN1631=12,I1631,0)</f>
      </c>
      <c r="AL1631" s="111">
        <f>IF(AN1631=21,I1631,0)</f>
      </c>
      <c r="AN1631" s="111" t="n">
        <v>21</v>
      </c>
      <c r="AO1631" s="111">
        <f>H1631*0</f>
      </c>
      <c r="AP1631" s="111">
        <f>H1631*(1-0)</f>
      </c>
      <c r="AQ1631" s="153" t="s">
        <v>173</v>
      </c>
      <c r="AV1631" s="111">
        <f>AW1631+AX1631</f>
      </c>
      <c r="AW1631" s="111">
        <f>G1631*AO1631</f>
      </c>
      <c r="AX1631" s="111">
        <f>G1631*AP1631</f>
      </c>
      <c r="AY1631" s="153" t="s">
        <v>2588</v>
      </c>
      <c r="AZ1631" s="153" t="s">
        <v>2486</v>
      </c>
      <c r="BA1631" s="132" t="s">
        <v>137</v>
      </c>
      <c r="BC1631" s="111">
        <f>AW1631+AX1631</f>
      </c>
      <c r="BD1631" s="111">
        <f>H1631/(100-BE1631)*100</f>
      </c>
      <c r="BE1631" s="111" t="n">
        <v>0</v>
      </c>
      <c r="BF1631" s="111">
        <f>1631</f>
      </c>
      <c r="BH1631" s="111">
        <f>G1631*AO1631</f>
      </c>
      <c r="BI1631" s="111">
        <f>G1631*AP1631</f>
      </c>
      <c r="BJ1631" s="111">
        <f>G1631*H1631</f>
      </c>
      <c r="BK1631" s="111"/>
      <c r="BL1631" s="111" t="n">
        <v>775</v>
      </c>
      <c r="BW1631" s="111" t="n">
        <v>21</v>
      </c>
      <c r="BX1631" s="14" t="s">
        <v>2621</v>
      </c>
    </row>
    <row r="1632" customHeight="true" ht="13.5">
      <c r="A1632" s="159"/>
      <c r="C1632" s="160" t="s">
        <v>146</v>
      </c>
      <c r="D1632" s="161" t="s">
        <v>2622</v>
      </c>
      <c r="E1632" s="156"/>
      <c r="F1632" s="156"/>
      <c r="G1632" s="156"/>
      <c r="H1632" s="162"/>
      <c r="I1632" s="156"/>
      <c r="J1632" s="156"/>
      <c r="K1632" s="163"/>
    </row>
    <row r="1633">
      <c r="A1633" s="154"/>
      <c r="B1633" s="155"/>
      <c r="C1633" s="155"/>
      <c r="D1633" s="156" t="s">
        <v>4</v>
      </c>
      <c r="E1633" s="156" t="s">
        <v>2611</v>
      </c>
      <c r="F1633" s="155"/>
      <c r="G1633" s="157" t="n">
        <v>0</v>
      </c>
      <c r="H1633" s="158"/>
      <c r="I1633" s="155"/>
      <c r="J1633" s="155"/>
      <c r="K1633" s="146"/>
    </row>
    <row r="1634">
      <c r="A1634" s="154"/>
      <c r="B1634" s="155"/>
      <c r="C1634" s="155"/>
      <c r="D1634" s="156" t="s">
        <v>4</v>
      </c>
      <c r="E1634" s="156" t="s">
        <v>2612</v>
      </c>
      <c r="F1634" s="155"/>
      <c r="G1634" s="157" t="n">
        <v>0</v>
      </c>
      <c r="H1634" s="158"/>
      <c r="I1634" s="155"/>
      <c r="J1634" s="155"/>
      <c r="K1634" s="146"/>
    </row>
    <row r="1635">
      <c r="A1635" s="154"/>
      <c r="B1635" s="155"/>
      <c r="C1635" s="155"/>
      <c r="D1635" s="156" t="s">
        <v>2613</v>
      </c>
      <c r="E1635" s="156" t="s">
        <v>2614</v>
      </c>
      <c r="F1635" s="155"/>
      <c r="G1635" s="157" t="n">
        <v>1.16305</v>
      </c>
      <c r="H1635" s="158"/>
      <c r="I1635" s="155"/>
      <c r="J1635" s="155"/>
      <c r="K1635" s="146"/>
    </row>
    <row r="1636">
      <c r="A1636" s="154"/>
      <c r="B1636" s="155"/>
      <c r="C1636" s="155"/>
      <c r="D1636" s="156" t="s">
        <v>2613</v>
      </c>
      <c r="E1636" s="156" t="s">
        <v>2615</v>
      </c>
      <c r="F1636" s="155"/>
      <c r="G1636" s="157" t="n">
        <v>1.16305</v>
      </c>
      <c r="H1636" s="158"/>
      <c r="I1636" s="155"/>
      <c r="J1636" s="155"/>
      <c r="K1636" s="146"/>
    </row>
    <row r="1637">
      <c r="A1637" s="154"/>
      <c r="B1637" s="155"/>
      <c r="C1637" s="155"/>
      <c r="D1637" s="156" t="s">
        <v>2616</v>
      </c>
      <c r="E1637" s="156" t="s">
        <v>2617</v>
      </c>
      <c r="F1637" s="155"/>
      <c r="G1637" s="157" t="n">
        <v>4.3076</v>
      </c>
      <c r="H1637" s="158"/>
      <c r="I1637" s="155"/>
      <c r="J1637" s="155"/>
      <c r="K1637" s="146"/>
    </row>
    <row r="1638">
      <c r="A1638" s="154"/>
      <c r="B1638" s="155"/>
      <c r="C1638" s="155"/>
      <c r="D1638" s="156" t="s">
        <v>2618</v>
      </c>
      <c r="E1638" s="156" t="s">
        <v>674</v>
      </c>
      <c r="F1638" s="155"/>
      <c r="G1638" s="157" t="n">
        <v>0.99506</v>
      </c>
      <c r="H1638" s="158"/>
      <c r="I1638" s="155"/>
      <c r="J1638" s="155"/>
      <c r="K1638" s="146"/>
    </row>
    <row r="1639">
      <c r="A1639" s="9" t="s">
        <v>2623</v>
      </c>
      <c r="B1639" s="10" t="s">
        <v>84</v>
      </c>
      <c r="C1639" s="10" t="s">
        <v>2624</v>
      </c>
      <c r="D1639" s="14" t="s">
        <v>2625</v>
      </c>
      <c r="E1639" s="10"/>
      <c r="F1639" s="10" t="s">
        <v>159</v>
      </c>
      <c r="G1639" s="111" t="n">
        <v>7.62876</v>
      </c>
      <c r="H1639" s="152" t="n">
        <v>0</v>
      </c>
      <c r="I1639" s="111">
        <f>G1639*H1639</f>
      </c>
      <c r="J1639" s="153" t="s">
        <v>134</v>
      </c>
      <c r="K1639" s="146"/>
      <c r="Z1639" s="111">
        <f>IF(AQ1639="5",BJ1639,0)</f>
      </c>
      <c r="AB1639" s="111">
        <f>IF(AQ1639="1",BH1639,0)</f>
      </c>
      <c r="AC1639" s="111">
        <f>IF(AQ1639="1",BI1639,0)</f>
      </c>
      <c r="AD1639" s="111">
        <f>IF(AQ1639="7",BH1639,0)</f>
      </c>
      <c r="AE1639" s="111">
        <f>IF(AQ1639="7",BI1639,0)</f>
      </c>
      <c r="AF1639" s="111">
        <f>IF(AQ1639="2",BH1639,0)</f>
      </c>
      <c r="AG1639" s="111">
        <f>IF(AQ1639="2",BI1639,0)</f>
      </c>
      <c r="AH1639" s="111">
        <f>IF(AQ1639="0",BJ1639,0)</f>
      </c>
      <c r="AI1639" s="132" t="s">
        <v>84</v>
      </c>
      <c r="AJ1639" s="111">
        <f>IF(AN1639=0,I1639,0)</f>
      </c>
      <c r="AK1639" s="111">
        <f>IF(AN1639=12,I1639,0)</f>
      </c>
      <c r="AL1639" s="111">
        <f>IF(AN1639=21,I1639,0)</f>
      </c>
      <c r="AN1639" s="111" t="n">
        <v>21</v>
      </c>
      <c r="AO1639" s="111">
        <f>H1639*0.991736239</f>
      </c>
      <c r="AP1639" s="111">
        <f>H1639*(1-0.991736239)</f>
      </c>
      <c r="AQ1639" s="153" t="s">
        <v>173</v>
      </c>
      <c r="AV1639" s="111">
        <f>AW1639+AX1639</f>
      </c>
      <c r="AW1639" s="111">
        <f>G1639*AO1639</f>
      </c>
      <c r="AX1639" s="111">
        <f>G1639*AP1639</f>
      </c>
      <c r="AY1639" s="153" t="s">
        <v>2588</v>
      </c>
      <c r="AZ1639" s="153" t="s">
        <v>2486</v>
      </c>
      <c r="BA1639" s="132" t="s">
        <v>137</v>
      </c>
      <c r="BC1639" s="111">
        <f>AW1639+AX1639</f>
      </c>
      <c r="BD1639" s="111">
        <f>H1639/(100-BE1639)*100</f>
      </c>
      <c r="BE1639" s="111" t="n">
        <v>0</v>
      </c>
      <c r="BF1639" s="111">
        <f>1639</f>
      </c>
      <c r="BH1639" s="111">
        <f>G1639*AO1639</f>
      </c>
      <c r="BI1639" s="111">
        <f>G1639*AP1639</f>
      </c>
      <c r="BJ1639" s="111">
        <f>G1639*H1639</f>
      </c>
      <c r="BK1639" s="111"/>
      <c r="BL1639" s="111" t="n">
        <v>775</v>
      </c>
      <c r="BW1639" s="111" t="n">
        <v>21</v>
      </c>
      <c r="BX1639" s="14" t="s">
        <v>2625</v>
      </c>
    </row>
    <row r="1640" customHeight="true" ht="13.5">
      <c r="A1640" s="159"/>
      <c r="C1640" s="160" t="s">
        <v>146</v>
      </c>
      <c r="D1640" s="161" t="s">
        <v>2622</v>
      </c>
      <c r="E1640" s="156"/>
      <c r="F1640" s="156"/>
      <c r="G1640" s="156"/>
      <c r="H1640" s="162"/>
      <c r="I1640" s="156"/>
      <c r="J1640" s="156"/>
      <c r="K1640" s="163"/>
    </row>
    <row r="1641">
      <c r="A1641" s="154"/>
      <c r="B1641" s="155"/>
      <c r="C1641" s="155"/>
      <c r="D1641" s="156" t="s">
        <v>4</v>
      </c>
      <c r="E1641" s="156" t="s">
        <v>2611</v>
      </c>
      <c r="F1641" s="155"/>
      <c r="G1641" s="157" t="n">
        <v>0</v>
      </c>
      <c r="H1641" s="158"/>
      <c r="I1641" s="155"/>
      <c r="J1641" s="155"/>
      <c r="K1641" s="146"/>
    </row>
    <row r="1642">
      <c r="A1642" s="154"/>
      <c r="B1642" s="155"/>
      <c r="C1642" s="155"/>
      <c r="D1642" s="156" t="s">
        <v>4</v>
      </c>
      <c r="E1642" s="156" t="s">
        <v>2612</v>
      </c>
      <c r="F1642" s="155"/>
      <c r="G1642" s="157" t="n">
        <v>0</v>
      </c>
      <c r="H1642" s="158"/>
      <c r="I1642" s="155"/>
      <c r="J1642" s="155"/>
      <c r="K1642" s="146"/>
    </row>
    <row r="1643">
      <c r="A1643" s="154"/>
      <c r="B1643" s="155"/>
      <c r="C1643" s="155"/>
      <c r="D1643" s="156" t="s">
        <v>4</v>
      </c>
      <c r="E1643" s="156" t="s">
        <v>2626</v>
      </c>
      <c r="F1643" s="155"/>
      <c r="G1643" s="157" t="n">
        <v>0</v>
      </c>
      <c r="H1643" s="158"/>
      <c r="I1643" s="155"/>
      <c r="J1643" s="155"/>
      <c r="K1643" s="146"/>
    </row>
    <row r="1644">
      <c r="A1644" s="154"/>
      <c r="B1644" s="155"/>
      <c r="C1644" s="155"/>
      <c r="D1644" s="156" t="s">
        <v>2613</v>
      </c>
      <c r="E1644" s="156" t="s">
        <v>2614</v>
      </c>
      <c r="F1644" s="155"/>
      <c r="G1644" s="157" t="n">
        <v>1.16305</v>
      </c>
      <c r="H1644" s="158"/>
      <c r="I1644" s="155"/>
      <c r="J1644" s="155"/>
      <c r="K1644" s="146"/>
    </row>
    <row r="1645">
      <c r="A1645" s="154"/>
      <c r="B1645" s="155"/>
      <c r="C1645" s="155"/>
      <c r="D1645" s="156" t="s">
        <v>2613</v>
      </c>
      <c r="E1645" s="156" t="s">
        <v>2615</v>
      </c>
      <c r="F1645" s="155"/>
      <c r="G1645" s="157" t="n">
        <v>1.16305</v>
      </c>
      <c r="H1645" s="158"/>
      <c r="I1645" s="155"/>
      <c r="J1645" s="155"/>
      <c r="K1645" s="146"/>
    </row>
    <row r="1646">
      <c r="A1646" s="154"/>
      <c r="B1646" s="155"/>
      <c r="C1646" s="155"/>
      <c r="D1646" s="156" t="s">
        <v>2616</v>
      </c>
      <c r="E1646" s="156" t="s">
        <v>2617</v>
      </c>
      <c r="F1646" s="155"/>
      <c r="G1646" s="157" t="n">
        <v>4.3076</v>
      </c>
      <c r="H1646" s="158"/>
      <c r="I1646" s="155"/>
      <c r="J1646" s="155"/>
      <c r="K1646" s="146"/>
    </row>
    <row r="1647">
      <c r="A1647" s="154"/>
      <c r="B1647" s="155"/>
      <c r="C1647" s="155"/>
      <c r="D1647" s="156" t="s">
        <v>2618</v>
      </c>
      <c r="E1647" s="156" t="s">
        <v>674</v>
      </c>
      <c r="F1647" s="155"/>
      <c r="G1647" s="157" t="n">
        <v>0.99506</v>
      </c>
      <c r="H1647" s="158"/>
      <c r="I1647" s="155"/>
      <c r="J1647" s="155"/>
      <c r="K1647" s="146"/>
    </row>
    <row r="1648">
      <c r="A1648" s="9" t="s">
        <v>2627</v>
      </c>
      <c r="B1648" s="10" t="s">
        <v>84</v>
      </c>
      <c r="C1648" s="10" t="s">
        <v>2628</v>
      </c>
      <c r="D1648" s="14" t="s">
        <v>2629</v>
      </c>
      <c r="E1648" s="10"/>
      <c r="F1648" s="10" t="s">
        <v>282</v>
      </c>
      <c r="G1648" s="111" t="n">
        <v>75.48</v>
      </c>
      <c r="H1648" s="152" t="n">
        <v>0</v>
      </c>
      <c r="I1648" s="111">
        <f>G1648*H1648</f>
      </c>
      <c r="J1648" s="153" t="s">
        <v>134</v>
      </c>
      <c r="K1648" s="146"/>
      <c r="Z1648" s="111">
        <f>IF(AQ1648="5",BJ1648,0)</f>
      </c>
      <c r="AB1648" s="111">
        <f>IF(AQ1648="1",BH1648,0)</f>
      </c>
      <c r="AC1648" s="111">
        <f>IF(AQ1648="1",BI1648,0)</f>
      </c>
      <c r="AD1648" s="111">
        <f>IF(AQ1648="7",BH1648,0)</f>
      </c>
      <c r="AE1648" s="111">
        <f>IF(AQ1648="7",BI1648,0)</f>
      </c>
      <c r="AF1648" s="111">
        <f>IF(AQ1648="2",BH1648,0)</f>
      </c>
      <c r="AG1648" s="111">
        <f>IF(AQ1648="2",BI1648,0)</f>
      </c>
      <c r="AH1648" s="111">
        <f>IF(AQ1648="0",BJ1648,0)</f>
      </c>
      <c r="AI1648" s="132" t="s">
        <v>84</v>
      </c>
      <c r="AJ1648" s="111">
        <f>IF(AN1648=0,I1648,0)</f>
      </c>
      <c r="AK1648" s="111">
        <f>IF(AN1648=12,I1648,0)</f>
      </c>
      <c r="AL1648" s="111">
        <f>IF(AN1648=21,I1648,0)</f>
      </c>
      <c r="AN1648" s="111" t="n">
        <v>21</v>
      </c>
      <c r="AO1648" s="111">
        <f>H1648*0.780962339</f>
      </c>
      <c r="AP1648" s="111">
        <f>H1648*(1-0.780962339)</f>
      </c>
      <c r="AQ1648" s="153" t="s">
        <v>173</v>
      </c>
      <c r="AV1648" s="111">
        <f>AW1648+AX1648</f>
      </c>
      <c r="AW1648" s="111">
        <f>G1648*AO1648</f>
      </c>
      <c r="AX1648" s="111">
        <f>G1648*AP1648</f>
      </c>
      <c r="AY1648" s="153" t="s">
        <v>2588</v>
      </c>
      <c r="AZ1648" s="153" t="s">
        <v>2486</v>
      </c>
      <c r="BA1648" s="132" t="s">
        <v>137</v>
      </c>
      <c r="BC1648" s="111">
        <f>AW1648+AX1648</f>
      </c>
      <c r="BD1648" s="111">
        <f>H1648/(100-BE1648)*100</f>
      </c>
      <c r="BE1648" s="111" t="n">
        <v>0</v>
      </c>
      <c r="BF1648" s="111">
        <f>1648</f>
      </c>
      <c r="BH1648" s="111">
        <f>G1648*AO1648</f>
      </c>
      <c r="BI1648" s="111">
        <f>G1648*AP1648</f>
      </c>
      <c r="BJ1648" s="111">
        <f>G1648*H1648</f>
      </c>
      <c r="BK1648" s="111"/>
      <c r="BL1648" s="111" t="n">
        <v>775</v>
      </c>
      <c r="BW1648" s="111" t="n">
        <v>21</v>
      </c>
      <c r="BX1648" s="14" t="s">
        <v>2629</v>
      </c>
    </row>
    <row r="1649" customHeight="true" ht="13.5">
      <c r="A1649" s="159"/>
      <c r="C1649" s="160" t="s">
        <v>146</v>
      </c>
      <c r="D1649" s="161" t="s">
        <v>2630</v>
      </c>
      <c r="E1649" s="156"/>
      <c r="F1649" s="156"/>
      <c r="G1649" s="156"/>
      <c r="H1649" s="162"/>
      <c r="I1649" s="156"/>
      <c r="J1649" s="156"/>
      <c r="K1649" s="163"/>
    </row>
    <row r="1650">
      <c r="A1650" s="154"/>
      <c r="B1650" s="155"/>
      <c r="C1650" s="155"/>
      <c r="D1650" s="156" t="s">
        <v>2631</v>
      </c>
      <c r="E1650" s="156" t="s">
        <v>985</v>
      </c>
      <c r="F1650" s="155"/>
      <c r="G1650" s="157" t="n">
        <v>58.36</v>
      </c>
      <c r="H1650" s="158"/>
      <c r="I1650" s="155"/>
      <c r="J1650" s="155"/>
      <c r="K1650" s="146"/>
    </row>
    <row r="1651">
      <c r="A1651" s="154"/>
      <c r="B1651" s="155"/>
      <c r="C1651" s="155"/>
      <c r="D1651" s="156" t="s">
        <v>1883</v>
      </c>
      <c r="E1651" s="156" t="s">
        <v>987</v>
      </c>
      <c r="F1651" s="155"/>
      <c r="G1651" s="157" t="n">
        <v>17.12</v>
      </c>
      <c r="H1651" s="158"/>
      <c r="I1651" s="155"/>
      <c r="J1651" s="155"/>
      <c r="K1651" s="146"/>
    </row>
    <row r="1652">
      <c r="A1652" s="9" t="s">
        <v>2632</v>
      </c>
      <c r="B1652" s="10" t="s">
        <v>84</v>
      </c>
      <c r="C1652" s="10" t="s">
        <v>2633</v>
      </c>
      <c r="D1652" s="14" t="s">
        <v>2634</v>
      </c>
      <c r="E1652" s="10"/>
      <c r="F1652" s="10" t="s">
        <v>282</v>
      </c>
      <c r="G1652" s="111" t="n">
        <v>3.64</v>
      </c>
      <c r="H1652" s="152" t="n">
        <v>0</v>
      </c>
      <c r="I1652" s="111">
        <f>G1652*H1652</f>
      </c>
      <c r="J1652" s="153" t="s">
        <v>134</v>
      </c>
      <c r="K1652" s="146"/>
      <c r="Z1652" s="111">
        <f>IF(AQ1652="5",BJ1652,0)</f>
      </c>
      <c r="AB1652" s="111">
        <f>IF(AQ1652="1",BH1652,0)</f>
      </c>
      <c r="AC1652" s="111">
        <f>IF(AQ1652="1",BI1652,0)</f>
      </c>
      <c r="AD1652" s="111">
        <f>IF(AQ1652="7",BH1652,0)</f>
      </c>
      <c r="AE1652" s="111">
        <f>IF(AQ1652="7",BI1652,0)</f>
      </c>
      <c r="AF1652" s="111">
        <f>IF(AQ1652="2",BH1652,0)</f>
      </c>
      <c r="AG1652" s="111">
        <f>IF(AQ1652="2",BI1652,0)</f>
      </c>
      <c r="AH1652" s="111">
        <f>IF(AQ1652="0",BJ1652,0)</f>
      </c>
      <c r="AI1652" s="132" t="s">
        <v>84</v>
      </c>
      <c r="AJ1652" s="111">
        <f>IF(AN1652=0,I1652,0)</f>
      </c>
      <c r="AK1652" s="111">
        <f>IF(AN1652=12,I1652,0)</f>
      </c>
      <c r="AL1652" s="111">
        <f>IF(AN1652=21,I1652,0)</f>
      </c>
      <c r="AN1652" s="111" t="n">
        <v>21</v>
      </c>
      <c r="AO1652" s="111">
        <f>H1652*0.867034161</f>
      </c>
      <c r="AP1652" s="111">
        <f>H1652*(1-0.867034161)</f>
      </c>
      <c r="AQ1652" s="153" t="s">
        <v>173</v>
      </c>
      <c r="AV1652" s="111">
        <f>AW1652+AX1652</f>
      </c>
      <c r="AW1652" s="111">
        <f>G1652*AO1652</f>
      </c>
      <c r="AX1652" s="111">
        <f>G1652*AP1652</f>
      </c>
      <c r="AY1652" s="153" t="s">
        <v>2588</v>
      </c>
      <c r="AZ1652" s="153" t="s">
        <v>2486</v>
      </c>
      <c r="BA1652" s="132" t="s">
        <v>137</v>
      </c>
      <c r="BC1652" s="111">
        <f>AW1652+AX1652</f>
      </c>
      <c r="BD1652" s="111">
        <f>H1652/(100-BE1652)*100</f>
      </c>
      <c r="BE1652" s="111" t="n">
        <v>0</v>
      </c>
      <c r="BF1652" s="111">
        <f>1652</f>
      </c>
      <c r="BH1652" s="111">
        <f>G1652*AO1652</f>
      </c>
      <c r="BI1652" s="111">
        <f>G1652*AP1652</f>
      </c>
      <c r="BJ1652" s="111">
        <f>G1652*H1652</f>
      </c>
      <c r="BK1652" s="111"/>
      <c r="BL1652" s="111" t="n">
        <v>775</v>
      </c>
      <c r="BW1652" s="111" t="n">
        <v>21</v>
      </c>
      <c r="BX1652" s="14" t="s">
        <v>2634</v>
      </c>
    </row>
    <row r="1653" customHeight="true" ht="13.5">
      <c r="A1653" s="159"/>
      <c r="C1653" s="160" t="s">
        <v>146</v>
      </c>
      <c r="D1653" s="161" t="s">
        <v>2635</v>
      </c>
      <c r="E1653" s="156"/>
      <c r="F1653" s="156"/>
      <c r="G1653" s="156"/>
      <c r="H1653" s="162"/>
      <c r="I1653" s="156"/>
      <c r="J1653" s="156"/>
      <c r="K1653" s="163"/>
    </row>
    <row r="1654">
      <c r="A1654" s="154"/>
      <c r="B1654" s="155"/>
      <c r="C1654" s="155"/>
      <c r="D1654" s="156" t="s">
        <v>2636</v>
      </c>
      <c r="E1654" s="156" t="s">
        <v>2637</v>
      </c>
      <c r="F1654" s="155"/>
      <c r="G1654" s="157" t="n">
        <v>3.64</v>
      </c>
      <c r="H1654" s="158"/>
      <c r="I1654" s="155"/>
      <c r="J1654" s="155"/>
      <c r="K1654" s="146"/>
    </row>
    <row r="1655">
      <c r="A1655" s="9" t="s">
        <v>2638</v>
      </c>
      <c r="B1655" s="10" t="s">
        <v>84</v>
      </c>
      <c r="C1655" s="10" t="s">
        <v>2639</v>
      </c>
      <c r="D1655" s="14" t="s">
        <v>2640</v>
      </c>
      <c r="E1655" s="10"/>
      <c r="F1655" s="10" t="s">
        <v>145</v>
      </c>
      <c r="G1655" s="111" t="n">
        <v>240.3</v>
      </c>
      <c r="H1655" s="152" t="n">
        <v>0</v>
      </c>
      <c r="I1655" s="111">
        <f>G1655*H1655</f>
      </c>
      <c r="J1655" s="153" t="s">
        <v>134</v>
      </c>
      <c r="K1655" s="146"/>
      <c r="Z1655" s="111">
        <f>IF(AQ1655="5",BJ1655,0)</f>
      </c>
      <c r="AB1655" s="111">
        <f>IF(AQ1655="1",BH1655,0)</f>
      </c>
      <c r="AC1655" s="111">
        <f>IF(AQ1655="1",BI1655,0)</f>
      </c>
      <c r="AD1655" s="111">
        <f>IF(AQ1655="7",BH1655,0)</f>
      </c>
      <c r="AE1655" s="111">
        <f>IF(AQ1655="7",BI1655,0)</f>
      </c>
      <c r="AF1655" s="111">
        <f>IF(AQ1655="2",BH1655,0)</f>
      </c>
      <c r="AG1655" s="111">
        <f>IF(AQ1655="2",BI1655,0)</f>
      </c>
      <c r="AH1655" s="111">
        <f>IF(AQ1655="0",BJ1655,0)</f>
      </c>
      <c r="AI1655" s="132" t="s">
        <v>84</v>
      </c>
      <c r="AJ1655" s="111">
        <f>IF(AN1655=0,I1655,0)</f>
      </c>
      <c r="AK1655" s="111">
        <f>IF(AN1655=12,I1655,0)</f>
      </c>
      <c r="AL1655" s="111">
        <f>IF(AN1655=21,I1655,0)</f>
      </c>
      <c r="AN1655" s="111" t="n">
        <v>21</v>
      </c>
      <c r="AO1655" s="111">
        <f>H1655*0.517954887</f>
      </c>
      <c r="AP1655" s="111">
        <f>H1655*(1-0.517954887)</f>
      </c>
      <c r="AQ1655" s="153" t="s">
        <v>173</v>
      </c>
      <c r="AV1655" s="111">
        <f>AW1655+AX1655</f>
      </c>
      <c r="AW1655" s="111">
        <f>G1655*AO1655</f>
      </c>
      <c r="AX1655" s="111">
        <f>G1655*AP1655</f>
      </c>
      <c r="AY1655" s="153" t="s">
        <v>2588</v>
      </c>
      <c r="AZ1655" s="153" t="s">
        <v>2486</v>
      </c>
      <c r="BA1655" s="132" t="s">
        <v>137</v>
      </c>
      <c r="BC1655" s="111">
        <f>AW1655+AX1655</f>
      </c>
      <c r="BD1655" s="111">
        <f>H1655/(100-BE1655)*100</f>
      </c>
      <c r="BE1655" s="111" t="n">
        <v>0</v>
      </c>
      <c r="BF1655" s="111">
        <f>1655</f>
      </c>
      <c r="BH1655" s="111">
        <f>G1655*AO1655</f>
      </c>
      <c r="BI1655" s="111">
        <f>G1655*AP1655</f>
      </c>
      <c r="BJ1655" s="111">
        <f>G1655*H1655</f>
      </c>
      <c r="BK1655" s="111"/>
      <c r="BL1655" s="111" t="n">
        <v>775</v>
      </c>
      <c r="BW1655" s="111" t="n">
        <v>21</v>
      </c>
      <c r="BX1655" s="14" t="s">
        <v>2640</v>
      </c>
    </row>
    <row r="1656" customHeight="true" ht="13.5">
      <c r="A1656" s="159"/>
      <c r="C1656" s="160" t="s">
        <v>146</v>
      </c>
      <c r="D1656" s="161" t="s">
        <v>2593</v>
      </c>
      <c r="E1656" s="156"/>
      <c r="F1656" s="156"/>
      <c r="G1656" s="156"/>
      <c r="H1656" s="162"/>
      <c r="I1656" s="156"/>
      <c r="J1656" s="156"/>
      <c r="K1656" s="163"/>
    </row>
    <row r="1657">
      <c r="A1657" s="154"/>
      <c r="B1657" s="155"/>
      <c r="C1657" s="155"/>
      <c r="D1657" s="156" t="s">
        <v>1253</v>
      </c>
      <c r="E1657" s="156" t="s">
        <v>2589</v>
      </c>
      <c r="F1657" s="155"/>
      <c r="G1657" s="157" t="n">
        <v>240.3</v>
      </c>
      <c r="H1657" s="158"/>
      <c r="I1657" s="155"/>
      <c r="J1657" s="155"/>
      <c r="K1657" s="146"/>
    </row>
    <row r="1658">
      <c r="A1658" s="9" t="s">
        <v>2641</v>
      </c>
      <c r="B1658" s="10" t="s">
        <v>84</v>
      </c>
      <c r="C1658" s="10" t="s">
        <v>2642</v>
      </c>
      <c r="D1658" s="14" t="s">
        <v>2643</v>
      </c>
      <c r="E1658" s="10"/>
      <c r="F1658" s="10" t="s">
        <v>145</v>
      </c>
      <c r="G1658" s="111" t="n">
        <v>240.3</v>
      </c>
      <c r="H1658" s="152" t="n">
        <v>0</v>
      </c>
      <c r="I1658" s="111">
        <f>G1658*H1658</f>
      </c>
      <c r="J1658" s="153" t="s">
        <v>134</v>
      </c>
      <c r="K1658" s="146"/>
      <c r="Z1658" s="111">
        <f>IF(AQ1658="5",BJ1658,0)</f>
      </c>
      <c r="AB1658" s="111">
        <f>IF(AQ1658="1",BH1658,0)</f>
      </c>
      <c r="AC1658" s="111">
        <f>IF(AQ1658="1",BI1658,0)</f>
      </c>
      <c r="AD1658" s="111">
        <f>IF(AQ1658="7",BH1658,0)</f>
      </c>
      <c r="AE1658" s="111">
        <f>IF(AQ1658="7",BI1658,0)</f>
      </c>
      <c r="AF1658" s="111">
        <f>IF(AQ1658="2",BH1658,0)</f>
      </c>
      <c r="AG1658" s="111">
        <f>IF(AQ1658="2",BI1658,0)</f>
      </c>
      <c r="AH1658" s="111">
        <f>IF(AQ1658="0",BJ1658,0)</f>
      </c>
      <c r="AI1658" s="132" t="s">
        <v>84</v>
      </c>
      <c r="AJ1658" s="111">
        <f>IF(AN1658=0,I1658,0)</f>
      </c>
      <c r="AK1658" s="111">
        <f>IF(AN1658=12,I1658,0)</f>
      </c>
      <c r="AL1658" s="111">
        <f>IF(AN1658=21,I1658,0)</f>
      </c>
      <c r="AN1658" s="111" t="n">
        <v>21</v>
      </c>
      <c r="AO1658" s="111">
        <f>H1658*0</f>
      </c>
      <c r="AP1658" s="111">
        <f>H1658*(1-0)</f>
      </c>
      <c r="AQ1658" s="153" t="s">
        <v>173</v>
      </c>
      <c r="AV1658" s="111">
        <f>AW1658+AX1658</f>
      </c>
      <c r="AW1658" s="111">
        <f>G1658*AO1658</f>
      </c>
      <c r="AX1658" s="111">
        <f>G1658*AP1658</f>
      </c>
      <c r="AY1658" s="153" t="s">
        <v>2588</v>
      </c>
      <c r="AZ1658" s="153" t="s">
        <v>2486</v>
      </c>
      <c r="BA1658" s="132" t="s">
        <v>137</v>
      </c>
      <c r="BC1658" s="111">
        <f>AW1658+AX1658</f>
      </c>
      <c r="BD1658" s="111">
        <f>H1658/(100-BE1658)*100</f>
      </c>
      <c r="BE1658" s="111" t="n">
        <v>0</v>
      </c>
      <c r="BF1658" s="111">
        <f>1658</f>
      </c>
      <c r="BH1658" s="111">
        <f>G1658*AO1658</f>
      </c>
      <c r="BI1658" s="111">
        <f>G1658*AP1658</f>
      </c>
      <c r="BJ1658" s="111">
        <f>G1658*H1658</f>
      </c>
      <c r="BK1658" s="111"/>
      <c r="BL1658" s="111" t="n">
        <v>775</v>
      </c>
      <c r="BW1658" s="111" t="n">
        <v>21</v>
      </c>
      <c r="BX1658" s="14" t="s">
        <v>2643</v>
      </c>
    </row>
    <row r="1659">
      <c r="A1659" s="154"/>
      <c r="B1659" s="155"/>
      <c r="C1659" s="155"/>
      <c r="D1659" s="156" t="s">
        <v>1253</v>
      </c>
      <c r="E1659" s="156" t="s">
        <v>1238</v>
      </c>
      <c r="F1659" s="155"/>
      <c r="G1659" s="157" t="n">
        <v>240.3</v>
      </c>
      <c r="H1659" s="158"/>
      <c r="I1659" s="155"/>
      <c r="J1659" s="155"/>
      <c r="K1659" s="146"/>
    </row>
    <row r="1660">
      <c r="A1660" s="9" t="s">
        <v>2644</v>
      </c>
      <c r="B1660" s="10" t="s">
        <v>84</v>
      </c>
      <c r="C1660" s="10" t="s">
        <v>2645</v>
      </c>
      <c r="D1660" s="14" t="s">
        <v>2646</v>
      </c>
      <c r="E1660" s="10"/>
      <c r="F1660" s="10" t="s">
        <v>282</v>
      </c>
      <c r="G1660" s="111" t="n">
        <v>194</v>
      </c>
      <c r="H1660" s="152" t="n">
        <v>0</v>
      </c>
      <c r="I1660" s="111">
        <f>G1660*H1660</f>
      </c>
      <c r="J1660" s="153" t="s">
        <v>134</v>
      </c>
      <c r="K1660" s="146"/>
      <c r="Z1660" s="111">
        <f>IF(AQ1660="5",BJ1660,0)</f>
      </c>
      <c r="AB1660" s="111">
        <f>IF(AQ1660="1",BH1660,0)</f>
      </c>
      <c r="AC1660" s="111">
        <f>IF(AQ1660="1",BI1660,0)</f>
      </c>
      <c r="AD1660" s="111">
        <f>IF(AQ1660="7",BH1660,0)</f>
      </c>
      <c r="AE1660" s="111">
        <f>IF(AQ1660="7",BI1660,0)</f>
      </c>
      <c r="AF1660" s="111">
        <f>IF(AQ1660="2",BH1660,0)</f>
      </c>
      <c r="AG1660" s="111">
        <f>IF(AQ1660="2",BI1660,0)</f>
      </c>
      <c r="AH1660" s="111">
        <f>IF(AQ1660="0",BJ1660,0)</f>
      </c>
      <c r="AI1660" s="132" t="s">
        <v>84</v>
      </c>
      <c r="AJ1660" s="111">
        <f>IF(AN1660=0,I1660,0)</f>
      </c>
      <c r="AK1660" s="111">
        <f>IF(AN1660=12,I1660,0)</f>
      </c>
      <c r="AL1660" s="111">
        <f>IF(AN1660=21,I1660,0)</f>
      </c>
      <c r="AN1660" s="111" t="n">
        <v>21</v>
      </c>
      <c r="AO1660" s="111">
        <f>H1660*0.296182266</f>
      </c>
      <c r="AP1660" s="111">
        <f>H1660*(1-0.296182266)</f>
      </c>
      <c r="AQ1660" s="153" t="s">
        <v>173</v>
      </c>
      <c r="AV1660" s="111">
        <f>AW1660+AX1660</f>
      </c>
      <c r="AW1660" s="111">
        <f>G1660*AO1660</f>
      </c>
      <c r="AX1660" s="111">
        <f>G1660*AP1660</f>
      </c>
      <c r="AY1660" s="153" t="s">
        <v>2588</v>
      </c>
      <c r="AZ1660" s="153" t="s">
        <v>2486</v>
      </c>
      <c r="BA1660" s="132" t="s">
        <v>137</v>
      </c>
      <c r="BC1660" s="111">
        <f>AW1660+AX1660</f>
      </c>
      <c r="BD1660" s="111">
        <f>H1660/(100-BE1660)*100</f>
      </c>
      <c r="BE1660" s="111" t="n">
        <v>0</v>
      </c>
      <c r="BF1660" s="111">
        <f>1660</f>
      </c>
      <c r="BH1660" s="111">
        <f>G1660*AO1660</f>
      </c>
      <c r="BI1660" s="111">
        <f>G1660*AP1660</f>
      </c>
      <c r="BJ1660" s="111">
        <f>G1660*H1660</f>
      </c>
      <c r="BK1660" s="111"/>
      <c r="BL1660" s="111" t="n">
        <v>775</v>
      </c>
      <c r="BW1660" s="111" t="n">
        <v>21</v>
      </c>
      <c r="BX1660" s="14" t="s">
        <v>2646</v>
      </c>
    </row>
    <row r="1661">
      <c r="A1661" s="154"/>
      <c r="B1661" s="155"/>
      <c r="C1661" s="155"/>
      <c r="D1661" s="156" t="s">
        <v>2647</v>
      </c>
      <c r="E1661" s="156" t="s">
        <v>2648</v>
      </c>
      <c r="F1661" s="155"/>
      <c r="G1661" s="157" t="n">
        <v>194</v>
      </c>
      <c r="H1661" s="158"/>
      <c r="I1661" s="155"/>
      <c r="J1661" s="155"/>
      <c r="K1661" s="146"/>
    </row>
    <row r="1662">
      <c r="A1662" s="9" t="s">
        <v>2649</v>
      </c>
      <c r="B1662" s="10" t="s">
        <v>84</v>
      </c>
      <c r="C1662" s="10" t="s">
        <v>2650</v>
      </c>
      <c r="D1662" s="14" t="s">
        <v>2651</v>
      </c>
      <c r="E1662" s="10"/>
      <c r="F1662" s="10" t="s">
        <v>61</v>
      </c>
      <c r="G1662" s="111" t="n">
        <v>1.85</v>
      </c>
      <c r="H1662" s="152" t="n">
        <v>0</v>
      </c>
      <c r="I1662" s="111">
        <f>G1662*H1662</f>
      </c>
      <c r="J1662" s="153" t="s">
        <v>134</v>
      </c>
      <c r="K1662" s="146"/>
      <c r="Z1662" s="111">
        <f>IF(AQ1662="5",BJ1662,0)</f>
      </c>
      <c r="AB1662" s="111">
        <f>IF(AQ1662="1",BH1662,0)</f>
      </c>
      <c r="AC1662" s="111">
        <f>IF(AQ1662="1",BI1662,0)</f>
      </c>
      <c r="AD1662" s="111">
        <f>IF(AQ1662="7",BH1662,0)</f>
      </c>
      <c r="AE1662" s="111">
        <f>IF(AQ1662="7",BI1662,0)</f>
      </c>
      <c r="AF1662" s="111">
        <f>IF(AQ1662="2",BH1662,0)</f>
      </c>
      <c r="AG1662" s="111">
        <f>IF(AQ1662="2",BI1662,0)</f>
      </c>
      <c r="AH1662" s="111">
        <f>IF(AQ1662="0",BJ1662,0)</f>
      </c>
      <c r="AI1662" s="132" t="s">
        <v>84</v>
      </c>
      <c r="AJ1662" s="111">
        <f>IF(AN1662=0,I1662,0)</f>
      </c>
      <c r="AK1662" s="111">
        <f>IF(AN1662=12,I1662,0)</f>
      </c>
      <c r="AL1662" s="111">
        <f>IF(AN1662=21,I1662,0)</f>
      </c>
      <c r="AN1662" s="111" t="n">
        <v>21</v>
      </c>
      <c r="AO1662" s="111">
        <f>H1662*0</f>
      </c>
      <c r="AP1662" s="111">
        <f>H1662*(1-0)</f>
      </c>
      <c r="AQ1662" s="153" t="s">
        <v>156</v>
      </c>
      <c r="AV1662" s="111">
        <f>AW1662+AX1662</f>
      </c>
      <c r="AW1662" s="111">
        <f>G1662*AO1662</f>
      </c>
      <c r="AX1662" s="111">
        <f>G1662*AP1662</f>
      </c>
      <c r="AY1662" s="153" t="s">
        <v>2588</v>
      </c>
      <c r="AZ1662" s="153" t="s">
        <v>2486</v>
      </c>
      <c r="BA1662" s="132" t="s">
        <v>137</v>
      </c>
      <c r="BC1662" s="111">
        <f>AW1662+AX1662</f>
      </c>
      <c r="BD1662" s="111">
        <f>H1662/(100-BE1662)*100</f>
      </c>
      <c r="BE1662" s="111" t="n">
        <v>0</v>
      </c>
      <c r="BF1662" s="111">
        <f>1662</f>
      </c>
      <c r="BH1662" s="111">
        <f>G1662*AO1662</f>
      </c>
      <c r="BI1662" s="111">
        <f>G1662*AP1662</f>
      </c>
      <c r="BJ1662" s="111">
        <f>G1662*H1662</f>
      </c>
      <c r="BK1662" s="111"/>
      <c r="BL1662" s="111" t="n">
        <v>775</v>
      </c>
      <c r="BW1662" s="111" t="n">
        <v>21</v>
      </c>
      <c r="BX1662" s="14" t="s">
        <v>2651</v>
      </c>
    </row>
    <row r="1663">
      <c r="A1663" s="147" t="s">
        <v>4</v>
      </c>
      <c r="B1663" s="148" t="s">
        <v>84</v>
      </c>
      <c r="C1663" s="148" t="s">
        <v>2652</v>
      </c>
      <c r="D1663" s="149" t="s">
        <v>2653</v>
      </c>
      <c r="E1663" s="148"/>
      <c r="F1663" s="150" t="s">
        <v>79</v>
      </c>
      <c r="G1663" s="150" t="s">
        <v>79</v>
      </c>
      <c r="H1663" s="151" t="s">
        <v>79</v>
      </c>
      <c r="I1663" s="117">
        <f>SUM(I1664:I1755)</f>
      </c>
      <c r="J1663" s="132" t="s">
        <v>4</v>
      </c>
      <c r="K1663" s="146"/>
      <c r="AI1663" s="132" t="s">
        <v>84</v>
      </c>
      <c r="AS1663" s="117">
        <f>SUM(AJ1664:AJ1755)</f>
      </c>
      <c r="AT1663" s="117">
        <f>SUM(AK1664:AK1755)</f>
      </c>
      <c r="AU1663" s="117">
        <f>SUM(AL1664:AL1755)</f>
      </c>
    </row>
    <row r="1664">
      <c r="A1664" s="9" t="s">
        <v>2654</v>
      </c>
      <c r="B1664" s="10" t="s">
        <v>84</v>
      </c>
      <c r="C1664" s="10" t="s">
        <v>2655</v>
      </c>
      <c r="D1664" s="14" t="s">
        <v>2656</v>
      </c>
      <c r="E1664" s="10"/>
      <c r="F1664" s="10" t="s">
        <v>145</v>
      </c>
      <c r="G1664" s="111" t="n">
        <v>245.2</v>
      </c>
      <c r="H1664" s="152" t="n">
        <v>0</v>
      </c>
      <c r="I1664" s="111">
        <f>G1664*H1664</f>
      </c>
      <c r="J1664" s="153" t="s">
        <v>134</v>
      </c>
      <c r="K1664" s="146"/>
      <c r="Z1664" s="111">
        <f>IF(AQ1664="5",BJ1664,0)</f>
      </c>
      <c r="AB1664" s="111">
        <f>IF(AQ1664="1",BH1664,0)</f>
      </c>
      <c r="AC1664" s="111">
        <f>IF(AQ1664="1",BI1664,0)</f>
      </c>
      <c r="AD1664" s="111">
        <f>IF(AQ1664="7",BH1664,0)</f>
      </c>
      <c r="AE1664" s="111">
        <f>IF(AQ1664="7",BI1664,0)</f>
      </c>
      <c r="AF1664" s="111">
        <f>IF(AQ1664="2",BH1664,0)</f>
      </c>
      <c r="AG1664" s="111">
        <f>IF(AQ1664="2",BI1664,0)</f>
      </c>
      <c r="AH1664" s="111">
        <f>IF(AQ1664="0",BJ1664,0)</f>
      </c>
      <c r="AI1664" s="132" t="s">
        <v>84</v>
      </c>
      <c r="AJ1664" s="111">
        <f>IF(AN1664=0,I1664,0)</f>
      </c>
      <c r="AK1664" s="111">
        <f>IF(AN1664=12,I1664,0)</f>
      </c>
      <c r="AL1664" s="111">
        <f>IF(AN1664=21,I1664,0)</f>
      </c>
      <c r="AN1664" s="111" t="n">
        <v>21</v>
      </c>
      <c r="AO1664" s="111">
        <f>H1664*0</f>
      </c>
      <c r="AP1664" s="111">
        <f>H1664*(1-0)</f>
      </c>
      <c r="AQ1664" s="153" t="s">
        <v>173</v>
      </c>
      <c r="AV1664" s="111">
        <f>AW1664+AX1664</f>
      </c>
      <c r="AW1664" s="111">
        <f>G1664*AO1664</f>
      </c>
      <c r="AX1664" s="111">
        <f>G1664*AP1664</f>
      </c>
      <c r="AY1664" s="153" t="s">
        <v>2657</v>
      </c>
      <c r="AZ1664" s="153" t="s">
        <v>2486</v>
      </c>
      <c r="BA1664" s="132" t="s">
        <v>137</v>
      </c>
      <c r="BC1664" s="111">
        <f>AW1664+AX1664</f>
      </c>
      <c r="BD1664" s="111">
        <f>H1664/(100-BE1664)*100</f>
      </c>
      <c r="BE1664" s="111" t="n">
        <v>0</v>
      </c>
      <c r="BF1664" s="111">
        <f>1664</f>
      </c>
      <c r="BH1664" s="111">
        <f>G1664*AO1664</f>
      </c>
      <c r="BI1664" s="111">
        <f>G1664*AP1664</f>
      </c>
      <c r="BJ1664" s="111">
        <f>G1664*H1664</f>
      </c>
      <c r="BK1664" s="111"/>
      <c r="BL1664" s="111" t="n">
        <v>776</v>
      </c>
      <c r="BW1664" s="111" t="n">
        <v>21</v>
      </c>
      <c r="BX1664" s="14" t="s">
        <v>2656</v>
      </c>
    </row>
    <row r="1665">
      <c r="A1665" s="154"/>
      <c r="B1665" s="155"/>
      <c r="C1665" s="155"/>
      <c r="D1665" s="156" t="s">
        <v>892</v>
      </c>
      <c r="E1665" s="156" t="s">
        <v>2658</v>
      </c>
      <c r="F1665" s="155"/>
      <c r="G1665" s="157" t="n">
        <v>89.1</v>
      </c>
      <c r="H1665" s="158"/>
      <c r="I1665" s="155"/>
      <c r="J1665" s="155"/>
      <c r="K1665" s="146"/>
    </row>
    <row r="1666">
      <c r="A1666" s="154"/>
      <c r="B1666" s="155"/>
      <c r="C1666" s="155"/>
      <c r="D1666" s="156" t="s">
        <v>2659</v>
      </c>
      <c r="E1666" s="156" t="s">
        <v>2660</v>
      </c>
      <c r="F1666" s="155"/>
      <c r="G1666" s="157" t="n">
        <v>152.9</v>
      </c>
      <c r="H1666" s="158"/>
      <c r="I1666" s="155"/>
      <c r="J1666" s="155"/>
      <c r="K1666" s="146"/>
    </row>
    <row r="1667">
      <c r="A1667" s="154"/>
      <c r="B1667" s="155"/>
      <c r="C1667" s="155"/>
      <c r="D1667" s="156" t="s">
        <v>2661</v>
      </c>
      <c r="E1667" s="156" t="s">
        <v>2662</v>
      </c>
      <c r="F1667" s="155"/>
      <c r="G1667" s="157" t="n">
        <v>3.2</v>
      </c>
      <c r="H1667" s="158"/>
      <c r="I1667" s="155"/>
      <c r="J1667" s="155"/>
      <c r="K1667" s="146"/>
    </row>
    <row r="1668">
      <c r="A1668" s="9" t="s">
        <v>2663</v>
      </c>
      <c r="B1668" s="10" t="s">
        <v>84</v>
      </c>
      <c r="C1668" s="10" t="s">
        <v>2490</v>
      </c>
      <c r="D1668" s="14" t="s">
        <v>2491</v>
      </c>
      <c r="E1668" s="10"/>
      <c r="F1668" s="10" t="s">
        <v>145</v>
      </c>
      <c r="G1668" s="111" t="n">
        <v>245.2</v>
      </c>
      <c r="H1668" s="152" t="n">
        <v>0</v>
      </c>
      <c r="I1668" s="111">
        <f>G1668*H1668</f>
      </c>
      <c r="J1668" s="153" t="s">
        <v>134</v>
      </c>
      <c r="K1668" s="146"/>
      <c r="Z1668" s="111">
        <f>IF(AQ1668="5",BJ1668,0)</f>
      </c>
      <c r="AB1668" s="111">
        <f>IF(AQ1668="1",BH1668,0)</f>
      </c>
      <c r="AC1668" s="111">
        <f>IF(AQ1668="1",BI1668,0)</f>
      </c>
      <c r="AD1668" s="111">
        <f>IF(AQ1668="7",BH1668,0)</f>
      </c>
      <c r="AE1668" s="111">
        <f>IF(AQ1668="7",BI1668,0)</f>
      </c>
      <c r="AF1668" s="111">
        <f>IF(AQ1668="2",BH1668,0)</f>
      </c>
      <c r="AG1668" s="111">
        <f>IF(AQ1668="2",BI1668,0)</f>
      </c>
      <c r="AH1668" s="111">
        <f>IF(AQ1668="0",BJ1668,0)</f>
      </c>
      <c r="AI1668" s="132" t="s">
        <v>84</v>
      </c>
      <c r="AJ1668" s="111">
        <f>IF(AN1668=0,I1668,0)</f>
      </c>
      <c r="AK1668" s="111">
        <f>IF(AN1668=12,I1668,0)</f>
      </c>
      <c r="AL1668" s="111">
        <f>IF(AN1668=21,I1668,0)</f>
      </c>
      <c r="AN1668" s="111" t="n">
        <v>21</v>
      </c>
      <c r="AO1668" s="111">
        <f>H1668*0.643868521</f>
      </c>
      <c r="AP1668" s="111">
        <f>H1668*(1-0.643868521)</f>
      </c>
      <c r="AQ1668" s="153" t="s">
        <v>173</v>
      </c>
      <c r="AV1668" s="111">
        <f>AW1668+AX1668</f>
      </c>
      <c r="AW1668" s="111">
        <f>G1668*AO1668</f>
      </c>
      <c r="AX1668" s="111">
        <f>G1668*AP1668</f>
      </c>
      <c r="AY1668" s="153" t="s">
        <v>2657</v>
      </c>
      <c r="AZ1668" s="153" t="s">
        <v>2486</v>
      </c>
      <c r="BA1668" s="132" t="s">
        <v>137</v>
      </c>
      <c r="BC1668" s="111">
        <f>AW1668+AX1668</f>
      </c>
      <c r="BD1668" s="111">
        <f>H1668/(100-BE1668)*100</f>
      </c>
      <c r="BE1668" s="111" t="n">
        <v>0</v>
      </c>
      <c r="BF1668" s="111">
        <f>1668</f>
      </c>
      <c r="BH1668" s="111">
        <f>G1668*AO1668</f>
      </c>
      <c r="BI1668" s="111">
        <f>G1668*AP1668</f>
      </c>
      <c r="BJ1668" s="111">
        <f>G1668*H1668</f>
      </c>
      <c r="BK1668" s="111"/>
      <c r="BL1668" s="111" t="n">
        <v>776</v>
      </c>
      <c r="BW1668" s="111" t="n">
        <v>21</v>
      </c>
      <c r="BX1668" s="14" t="s">
        <v>2491</v>
      </c>
    </row>
    <row r="1669" customHeight="true" ht="13.5">
      <c r="A1669" s="159"/>
      <c r="C1669" s="160" t="s">
        <v>146</v>
      </c>
      <c r="D1669" s="161" t="s">
        <v>2492</v>
      </c>
      <c r="E1669" s="156"/>
      <c r="F1669" s="156"/>
      <c r="G1669" s="156"/>
      <c r="H1669" s="162"/>
      <c r="I1669" s="156"/>
      <c r="J1669" s="156"/>
      <c r="K1669" s="163"/>
    </row>
    <row r="1670">
      <c r="A1670" s="154"/>
      <c r="B1670" s="155"/>
      <c r="C1670" s="155"/>
      <c r="D1670" s="156" t="s">
        <v>892</v>
      </c>
      <c r="E1670" s="156" t="s">
        <v>2658</v>
      </c>
      <c r="F1670" s="155"/>
      <c r="G1670" s="157" t="n">
        <v>89.1</v>
      </c>
      <c r="H1670" s="158"/>
      <c r="I1670" s="155"/>
      <c r="J1670" s="155"/>
      <c r="K1670" s="146"/>
    </row>
    <row r="1671">
      <c r="A1671" s="154"/>
      <c r="B1671" s="155"/>
      <c r="C1671" s="155"/>
      <c r="D1671" s="156" t="s">
        <v>2659</v>
      </c>
      <c r="E1671" s="156" t="s">
        <v>2660</v>
      </c>
      <c r="F1671" s="155"/>
      <c r="G1671" s="157" t="n">
        <v>152.9</v>
      </c>
      <c r="H1671" s="158"/>
      <c r="I1671" s="155"/>
      <c r="J1671" s="155"/>
      <c r="K1671" s="146"/>
    </row>
    <row r="1672">
      <c r="A1672" s="154"/>
      <c r="B1672" s="155"/>
      <c r="C1672" s="155"/>
      <c r="D1672" s="156" t="s">
        <v>2661</v>
      </c>
      <c r="E1672" s="156" t="s">
        <v>2662</v>
      </c>
      <c r="F1672" s="155"/>
      <c r="G1672" s="157" t="n">
        <v>3.2</v>
      </c>
      <c r="H1672" s="158"/>
      <c r="I1672" s="155"/>
      <c r="J1672" s="155"/>
      <c r="K1672" s="146"/>
    </row>
    <row r="1673">
      <c r="A1673" s="9" t="s">
        <v>2664</v>
      </c>
      <c r="B1673" s="10" t="s">
        <v>84</v>
      </c>
      <c r="C1673" s="10" t="s">
        <v>2665</v>
      </c>
      <c r="D1673" s="14" t="s">
        <v>2666</v>
      </c>
      <c r="E1673" s="10"/>
      <c r="F1673" s="10" t="s">
        <v>145</v>
      </c>
      <c r="G1673" s="111" t="n">
        <v>245.2</v>
      </c>
      <c r="H1673" s="152" t="n">
        <v>0</v>
      </c>
      <c r="I1673" s="111">
        <f>G1673*H1673</f>
      </c>
      <c r="J1673" s="153" t="s">
        <v>134</v>
      </c>
      <c r="K1673" s="146"/>
      <c r="Z1673" s="111">
        <f>IF(AQ1673="5",BJ1673,0)</f>
      </c>
      <c r="AB1673" s="111">
        <f>IF(AQ1673="1",BH1673,0)</f>
      </c>
      <c r="AC1673" s="111">
        <f>IF(AQ1673="1",BI1673,0)</f>
      </c>
      <c r="AD1673" s="111">
        <f>IF(AQ1673="7",BH1673,0)</f>
      </c>
      <c r="AE1673" s="111">
        <f>IF(AQ1673="7",BI1673,0)</f>
      </c>
      <c r="AF1673" s="111">
        <f>IF(AQ1673="2",BH1673,0)</f>
      </c>
      <c r="AG1673" s="111">
        <f>IF(AQ1673="2",BI1673,0)</f>
      </c>
      <c r="AH1673" s="111">
        <f>IF(AQ1673="0",BJ1673,0)</f>
      </c>
      <c r="AI1673" s="132" t="s">
        <v>84</v>
      </c>
      <c r="AJ1673" s="111">
        <f>IF(AN1673=0,I1673,0)</f>
      </c>
      <c r="AK1673" s="111">
        <f>IF(AN1673=12,I1673,0)</f>
      </c>
      <c r="AL1673" s="111">
        <f>IF(AN1673=21,I1673,0)</f>
      </c>
      <c r="AN1673" s="111" t="n">
        <v>21</v>
      </c>
      <c r="AO1673" s="111">
        <f>H1673*0</f>
      </c>
      <c r="AP1673" s="111">
        <f>H1673*(1-0)</f>
      </c>
      <c r="AQ1673" s="153" t="s">
        <v>173</v>
      </c>
      <c r="AV1673" s="111">
        <f>AW1673+AX1673</f>
      </c>
      <c r="AW1673" s="111">
        <f>G1673*AO1673</f>
      </c>
      <c r="AX1673" s="111">
        <f>G1673*AP1673</f>
      </c>
      <c r="AY1673" s="153" t="s">
        <v>2657</v>
      </c>
      <c r="AZ1673" s="153" t="s">
        <v>2486</v>
      </c>
      <c r="BA1673" s="132" t="s">
        <v>137</v>
      </c>
      <c r="BC1673" s="111">
        <f>AW1673+AX1673</f>
      </c>
      <c r="BD1673" s="111">
        <f>H1673/(100-BE1673)*100</f>
      </c>
      <c r="BE1673" s="111" t="n">
        <v>0</v>
      </c>
      <c r="BF1673" s="111">
        <f>1673</f>
      </c>
      <c r="BH1673" s="111">
        <f>G1673*AO1673</f>
      </c>
      <c r="BI1673" s="111">
        <f>G1673*AP1673</f>
      </c>
      <c r="BJ1673" s="111">
        <f>G1673*H1673</f>
      </c>
      <c r="BK1673" s="111"/>
      <c r="BL1673" s="111" t="n">
        <v>776</v>
      </c>
      <c r="BW1673" s="111" t="n">
        <v>21</v>
      </c>
      <c r="BX1673" s="14" t="s">
        <v>2666</v>
      </c>
    </row>
    <row r="1674" customHeight="true" ht="13.5">
      <c r="A1674" s="159"/>
      <c r="C1674" s="160" t="s">
        <v>146</v>
      </c>
      <c r="D1674" s="161" t="s">
        <v>2667</v>
      </c>
      <c r="E1674" s="156"/>
      <c r="F1674" s="156"/>
      <c r="G1674" s="156"/>
      <c r="H1674" s="162"/>
      <c r="I1674" s="156"/>
      <c r="J1674" s="156"/>
      <c r="K1674" s="163"/>
    </row>
    <row r="1675">
      <c r="A1675" s="154"/>
      <c r="B1675" s="155"/>
      <c r="C1675" s="155"/>
      <c r="D1675" s="156" t="s">
        <v>892</v>
      </c>
      <c r="E1675" s="156" t="s">
        <v>2658</v>
      </c>
      <c r="F1675" s="155"/>
      <c r="G1675" s="157" t="n">
        <v>89.1</v>
      </c>
      <c r="H1675" s="158"/>
      <c r="I1675" s="155"/>
      <c r="J1675" s="155"/>
      <c r="K1675" s="146"/>
    </row>
    <row r="1676">
      <c r="A1676" s="154"/>
      <c r="B1676" s="155"/>
      <c r="C1676" s="155"/>
      <c r="D1676" s="156" t="s">
        <v>2659</v>
      </c>
      <c r="E1676" s="156" t="s">
        <v>2660</v>
      </c>
      <c r="F1676" s="155"/>
      <c r="G1676" s="157" t="n">
        <v>152.9</v>
      </c>
      <c r="H1676" s="158"/>
      <c r="I1676" s="155"/>
      <c r="J1676" s="155"/>
      <c r="K1676" s="146"/>
    </row>
    <row r="1677">
      <c r="A1677" s="154"/>
      <c r="B1677" s="155"/>
      <c r="C1677" s="155"/>
      <c r="D1677" s="156" t="s">
        <v>2661</v>
      </c>
      <c r="E1677" s="156" t="s">
        <v>2662</v>
      </c>
      <c r="F1677" s="155"/>
      <c r="G1677" s="157" t="n">
        <v>3.2</v>
      </c>
      <c r="H1677" s="158"/>
      <c r="I1677" s="155"/>
      <c r="J1677" s="155"/>
      <c r="K1677" s="146"/>
    </row>
    <row r="1678">
      <c r="A1678" s="9" t="s">
        <v>2668</v>
      </c>
      <c r="B1678" s="10" t="s">
        <v>84</v>
      </c>
      <c r="C1678" s="10" t="s">
        <v>2498</v>
      </c>
      <c r="D1678" s="14" t="s">
        <v>2669</v>
      </c>
      <c r="E1678" s="10"/>
      <c r="F1678" s="10" t="s">
        <v>2426</v>
      </c>
      <c r="G1678" s="111" t="n">
        <v>1600.72</v>
      </c>
      <c r="H1678" s="152" t="n">
        <v>0</v>
      </c>
      <c r="I1678" s="111">
        <f>G1678*H1678</f>
      </c>
      <c r="J1678" s="153" t="s">
        <v>134</v>
      </c>
      <c r="K1678" s="146"/>
      <c r="Z1678" s="111">
        <f>IF(AQ1678="5",BJ1678,0)</f>
      </c>
      <c r="AB1678" s="111">
        <f>IF(AQ1678="1",BH1678,0)</f>
      </c>
      <c r="AC1678" s="111">
        <f>IF(AQ1678="1",BI1678,0)</f>
      </c>
      <c r="AD1678" s="111">
        <f>IF(AQ1678="7",BH1678,0)</f>
      </c>
      <c r="AE1678" s="111">
        <f>IF(AQ1678="7",BI1678,0)</f>
      </c>
      <c r="AF1678" s="111">
        <f>IF(AQ1678="2",BH1678,0)</f>
      </c>
      <c r="AG1678" s="111">
        <f>IF(AQ1678="2",BI1678,0)</f>
      </c>
      <c r="AH1678" s="111">
        <f>IF(AQ1678="0",BJ1678,0)</f>
      </c>
      <c r="AI1678" s="132" t="s">
        <v>84</v>
      </c>
      <c r="AJ1678" s="111">
        <f>IF(AN1678=0,I1678,0)</f>
      </c>
      <c r="AK1678" s="111">
        <f>IF(AN1678=12,I1678,0)</f>
      </c>
      <c r="AL1678" s="111">
        <f>IF(AN1678=21,I1678,0)</f>
      </c>
      <c r="AN1678" s="111" t="n">
        <v>21</v>
      </c>
      <c r="AO1678" s="111">
        <f>H1678*1</f>
      </c>
      <c r="AP1678" s="111">
        <f>H1678*(1-1)</f>
      </c>
      <c r="AQ1678" s="153" t="s">
        <v>173</v>
      </c>
      <c r="AV1678" s="111">
        <f>AW1678+AX1678</f>
      </c>
      <c r="AW1678" s="111">
        <f>G1678*AO1678</f>
      </c>
      <c r="AX1678" s="111">
        <f>G1678*AP1678</f>
      </c>
      <c r="AY1678" s="153" t="s">
        <v>2657</v>
      </c>
      <c r="AZ1678" s="153" t="s">
        <v>2486</v>
      </c>
      <c r="BA1678" s="132" t="s">
        <v>137</v>
      </c>
      <c r="BC1678" s="111">
        <f>AW1678+AX1678</f>
      </c>
      <c r="BD1678" s="111">
        <f>H1678/(100-BE1678)*100</f>
      </c>
      <c r="BE1678" s="111" t="n">
        <v>0</v>
      </c>
      <c r="BF1678" s="111">
        <f>1678</f>
      </c>
      <c r="BH1678" s="111">
        <f>G1678*AO1678</f>
      </c>
      <c r="BI1678" s="111">
        <f>G1678*AP1678</f>
      </c>
      <c r="BJ1678" s="111">
        <f>G1678*H1678</f>
      </c>
      <c r="BK1678" s="111"/>
      <c r="BL1678" s="111" t="n">
        <v>776</v>
      </c>
      <c r="BW1678" s="111" t="n">
        <v>21</v>
      </c>
      <c r="BX1678" s="14" t="s">
        <v>2669</v>
      </c>
    </row>
    <row r="1679">
      <c r="A1679" s="154"/>
      <c r="B1679" s="155"/>
      <c r="C1679" s="155"/>
      <c r="D1679" s="156" t="s">
        <v>4</v>
      </c>
      <c r="E1679" s="156" t="s">
        <v>2670</v>
      </c>
      <c r="F1679" s="155"/>
      <c r="G1679" s="157" t="n">
        <v>0</v>
      </c>
      <c r="H1679" s="158"/>
      <c r="I1679" s="155"/>
      <c r="J1679" s="155"/>
      <c r="K1679" s="146"/>
    </row>
    <row r="1680">
      <c r="A1680" s="154"/>
      <c r="B1680" s="155"/>
      <c r="C1680" s="155"/>
      <c r="D1680" s="156" t="s">
        <v>2661</v>
      </c>
      <c r="E1680" s="156" t="s">
        <v>2662</v>
      </c>
      <c r="F1680" s="155"/>
      <c r="G1680" s="157" t="n">
        <v>3.2</v>
      </c>
      <c r="H1680" s="158"/>
      <c r="I1680" s="155"/>
      <c r="J1680" s="155"/>
      <c r="K1680" s="146"/>
    </row>
    <row r="1681">
      <c r="A1681" s="154"/>
      <c r="B1681" s="155"/>
      <c r="C1681" s="155"/>
      <c r="D1681" s="156" t="s">
        <v>2671</v>
      </c>
      <c r="E1681" s="156" t="s">
        <v>1730</v>
      </c>
      <c r="F1681" s="155"/>
      <c r="G1681" s="157" t="n">
        <v>145.52</v>
      </c>
      <c r="H1681" s="158"/>
      <c r="I1681" s="155"/>
      <c r="J1681" s="155"/>
      <c r="K1681" s="146"/>
    </row>
    <row r="1682">
      <c r="A1682" s="154"/>
      <c r="B1682" s="155"/>
      <c r="C1682" s="155"/>
      <c r="D1682" s="156" t="s">
        <v>2672</v>
      </c>
      <c r="E1682" s="156" t="s">
        <v>2658</v>
      </c>
      <c r="F1682" s="155"/>
      <c r="G1682" s="157" t="n">
        <v>534.6</v>
      </c>
      <c r="H1682" s="158"/>
      <c r="I1682" s="155"/>
      <c r="J1682" s="155"/>
      <c r="K1682" s="146"/>
    </row>
    <row r="1683">
      <c r="A1683" s="154"/>
      <c r="B1683" s="155"/>
      <c r="C1683" s="155"/>
      <c r="D1683" s="156" t="s">
        <v>2673</v>
      </c>
      <c r="E1683" s="156" t="s">
        <v>2660</v>
      </c>
      <c r="F1683" s="155"/>
      <c r="G1683" s="157" t="n">
        <v>917.4</v>
      </c>
      <c r="H1683" s="158"/>
      <c r="I1683" s="155"/>
      <c r="J1683" s="155"/>
      <c r="K1683" s="146"/>
    </row>
    <row r="1684">
      <c r="A1684" s="9" t="s">
        <v>2674</v>
      </c>
      <c r="B1684" s="10" t="s">
        <v>84</v>
      </c>
      <c r="C1684" s="10" t="s">
        <v>2675</v>
      </c>
      <c r="D1684" s="14" t="s">
        <v>2676</v>
      </c>
      <c r="E1684" s="10"/>
      <c r="F1684" s="10" t="s">
        <v>145</v>
      </c>
      <c r="G1684" s="111" t="n">
        <v>245.2</v>
      </c>
      <c r="H1684" s="152" t="n">
        <v>0</v>
      </c>
      <c r="I1684" s="111">
        <f>G1684*H1684</f>
      </c>
      <c r="J1684" s="153" t="s">
        <v>134</v>
      </c>
      <c r="K1684" s="146"/>
      <c r="Z1684" s="111">
        <f>IF(AQ1684="5",BJ1684,0)</f>
      </c>
      <c r="AB1684" s="111">
        <f>IF(AQ1684="1",BH1684,0)</f>
      </c>
      <c r="AC1684" s="111">
        <f>IF(AQ1684="1",BI1684,0)</f>
      </c>
      <c r="AD1684" s="111">
        <f>IF(AQ1684="7",BH1684,0)</f>
      </c>
      <c r="AE1684" s="111">
        <f>IF(AQ1684="7",BI1684,0)</f>
      </c>
      <c r="AF1684" s="111">
        <f>IF(AQ1684="2",BH1684,0)</f>
      </c>
      <c r="AG1684" s="111">
        <f>IF(AQ1684="2",BI1684,0)</f>
      </c>
      <c r="AH1684" s="111">
        <f>IF(AQ1684="0",BJ1684,0)</f>
      </c>
      <c r="AI1684" s="132" t="s">
        <v>84</v>
      </c>
      <c r="AJ1684" s="111">
        <f>IF(AN1684=0,I1684,0)</f>
      </c>
      <c r="AK1684" s="111">
        <f>IF(AN1684=12,I1684,0)</f>
      </c>
      <c r="AL1684" s="111">
        <f>IF(AN1684=21,I1684,0)</f>
      </c>
      <c r="AN1684" s="111" t="n">
        <v>21</v>
      </c>
      <c r="AO1684" s="111">
        <f>H1684*0</f>
      </c>
      <c r="AP1684" s="111">
        <f>H1684*(1-0)</f>
      </c>
      <c r="AQ1684" s="153" t="s">
        <v>173</v>
      </c>
      <c r="AV1684" s="111">
        <f>AW1684+AX1684</f>
      </c>
      <c r="AW1684" s="111">
        <f>G1684*AO1684</f>
      </c>
      <c r="AX1684" s="111">
        <f>G1684*AP1684</f>
      </c>
      <c r="AY1684" s="153" t="s">
        <v>2657</v>
      </c>
      <c r="AZ1684" s="153" t="s">
        <v>2486</v>
      </c>
      <c r="BA1684" s="132" t="s">
        <v>137</v>
      </c>
      <c r="BC1684" s="111">
        <f>AW1684+AX1684</f>
      </c>
      <c r="BD1684" s="111">
        <f>H1684/(100-BE1684)*100</f>
      </c>
      <c r="BE1684" s="111" t="n">
        <v>0</v>
      </c>
      <c r="BF1684" s="111">
        <f>1684</f>
      </c>
      <c r="BH1684" s="111">
        <f>G1684*AO1684</f>
      </c>
      <c r="BI1684" s="111">
        <f>G1684*AP1684</f>
      </c>
      <c r="BJ1684" s="111">
        <f>G1684*H1684</f>
      </c>
      <c r="BK1684" s="111"/>
      <c r="BL1684" s="111" t="n">
        <v>776</v>
      </c>
      <c r="BW1684" s="111" t="n">
        <v>21</v>
      </c>
      <c r="BX1684" s="14" t="s">
        <v>2676</v>
      </c>
    </row>
    <row r="1685" customHeight="true" ht="13.5">
      <c r="A1685" s="159"/>
      <c r="C1685" s="160" t="s">
        <v>146</v>
      </c>
      <c r="D1685" s="161" t="s">
        <v>2667</v>
      </c>
      <c r="E1685" s="156"/>
      <c r="F1685" s="156"/>
      <c r="G1685" s="156"/>
      <c r="H1685" s="162"/>
      <c r="I1685" s="156"/>
      <c r="J1685" s="156"/>
      <c r="K1685" s="163"/>
    </row>
    <row r="1686">
      <c r="A1686" s="154"/>
      <c r="B1686" s="155"/>
      <c r="C1686" s="155"/>
      <c r="D1686" s="156" t="s">
        <v>892</v>
      </c>
      <c r="E1686" s="156" t="s">
        <v>2658</v>
      </c>
      <c r="F1686" s="155"/>
      <c r="G1686" s="157" t="n">
        <v>89.1</v>
      </c>
      <c r="H1686" s="158"/>
      <c r="I1686" s="155"/>
      <c r="J1686" s="155"/>
      <c r="K1686" s="146"/>
    </row>
    <row r="1687">
      <c r="A1687" s="154"/>
      <c r="B1687" s="155"/>
      <c r="C1687" s="155"/>
      <c r="D1687" s="156" t="s">
        <v>2659</v>
      </c>
      <c r="E1687" s="156" t="s">
        <v>2660</v>
      </c>
      <c r="F1687" s="155"/>
      <c r="G1687" s="157" t="n">
        <v>152.9</v>
      </c>
      <c r="H1687" s="158"/>
      <c r="I1687" s="155"/>
      <c r="J1687" s="155"/>
      <c r="K1687" s="146"/>
    </row>
    <row r="1688">
      <c r="A1688" s="154"/>
      <c r="B1688" s="155"/>
      <c r="C1688" s="155"/>
      <c r="D1688" s="156" t="s">
        <v>2661</v>
      </c>
      <c r="E1688" s="156" t="s">
        <v>2662</v>
      </c>
      <c r="F1688" s="155"/>
      <c r="G1688" s="157" t="n">
        <v>3.2</v>
      </c>
      <c r="H1688" s="158"/>
      <c r="I1688" s="155"/>
      <c r="J1688" s="155"/>
      <c r="K1688" s="146"/>
    </row>
    <row r="1689">
      <c r="A1689" s="9" t="s">
        <v>2677</v>
      </c>
      <c r="B1689" s="10" t="s">
        <v>84</v>
      </c>
      <c r="C1689" s="10" t="s">
        <v>2678</v>
      </c>
      <c r="D1689" s="14" t="s">
        <v>2679</v>
      </c>
      <c r="E1689" s="10"/>
      <c r="F1689" s="10" t="s">
        <v>1242</v>
      </c>
      <c r="G1689" s="111" t="n">
        <v>61.3</v>
      </c>
      <c r="H1689" s="152" t="n">
        <v>0</v>
      </c>
      <c r="I1689" s="111">
        <f>G1689*H1689</f>
      </c>
      <c r="J1689" s="153" t="s">
        <v>134</v>
      </c>
      <c r="K1689" s="146"/>
      <c r="Z1689" s="111">
        <f>IF(AQ1689="5",BJ1689,0)</f>
      </c>
      <c r="AB1689" s="111">
        <f>IF(AQ1689="1",BH1689,0)</f>
      </c>
      <c r="AC1689" s="111">
        <f>IF(AQ1689="1",BI1689,0)</f>
      </c>
      <c r="AD1689" s="111">
        <f>IF(AQ1689="7",BH1689,0)</f>
      </c>
      <c r="AE1689" s="111">
        <f>IF(AQ1689="7",BI1689,0)</f>
      </c>
      <c r="AF1689" s="111">
        <f>IF(AQ1689="2",BH1689,0)</f>
      </c>
      <c r="AG1689" s="111">
        <f>IF(AQ1689="2",BI1689,0)</f>
      </c>
      <c r="AH1689" s="111">
        <f>IF(AQ1689="0",BJ1689,0)</f>
      </c>
      <c r="AI1689" s="132" t="s">
        <v>84</v>
      </c>
      <c r="AJ1689" s="111">
        <f>IF(AN1689=0,I1689,0)</f>
      </c>
      <c r="AK1689" s="111">
        <f>IF(AN1689=12,I1689,0)</f>
      </c>
      <c r="AL1689" s="111">
        <f>IF(AN1689=21,I1689,0)</f>
      </c>
      <c r="AN1689" s="111" t="n">
        <v>21</v>
      </c>
      <c r="AO1689" s="111">
        <f>H1689*1</f>
      </c>
      <c r="AP1689" s="111">
        <f>H1689*(1-1)</f>
      </c>
      <c r="AQ1689" s="153" t="s">
        <v>173</v>
      </c>
      <c r="AV1689" s="111">
        <f>AW1689+AX1689</f>
      </c>
      <c r="AW1689" s="111">
        <f>G1689*AO1689</f>
      </c>
      <c r="AX1689" s="111">
        <f>G1689*AP1689</f>
      </c>
      <c r="AY1689" s="153" t="s">
        <v>2657</v>
      </c>
      <c r="AZ1689" s="153" t="s">
        <v>2486</v>
      </c>
      <c r="BA1689" s="132" t="s">
        <v>137</v>
      </c>
      <c r="BC1689" s="111">
        <f>AW1689+AX1689</f>
      </c>
      <c r="BD1689" s="111">
        <f>H1689/(100-BE1689)*100</f>
      </c>
      <c r="BE1689" s="111" t="n">
        <v>0</v>
      </c>
      <c r="BF1689" s="111">
        <f>1689</f>
      </c>
      <c r="BH1689" s="111">
        <f>G1689*AO1689</f>
      </c>
      <c r="BI1689" s="111">
        <f>G1689*AP1689</f>
      </c>
      <c r="BJ1689" s="111">
        <f>G1689*H1689</f>
      </c>
      <c r="BK1689" s="111"/>
      <c r="BL1689" s="111" t="n">
        <v>776</v>
      </c>
      <c r="BW1689" s="111" t="n">
        <v>21</v>
      </c>
      <c r="BX1689" s="14" t="s">
        <v>2679</v>
      </c>
    </row>
    <row r="1690">
      <c r="A1690" s="154"/>
      <c r="B1690" s="155"/>
      <c r="C1690" s="155"/>
      <c r="D1690" s="156" t="s">
        <v>2680</v>
      </c>
      <c r="E1690" s="156" t="s">
        <v>2681</v>
      </c>
      <c r="F1690" s="155"/>
      <c r="G1690" s="157" t="n">
        <v>22.275</v>
      </c>
      <c r="H1690" s="158"/>
      <c r="I1690" s="155"/>
      <c r="J1690" s="155"/>
      <c r="K1690" s="146"/>
    </row>
    <row r="1691">
      <c r="A1691" s="154"/>
      <c r="B1691" s="155"/>
      <c r="C1691" s="155"/>
      <c r="D1691" s="156" t="s">
        <v>2682</v>
      </c>
      <c r="E1691" s="156" t="s">
        <v>2683</v>
      </c>
      <c r="F1691" s="155"/>
      <c r="G1691" s="157" t="n">
        <v>38.225</v>
      </c>
      <c r="H1691" s="158"/>
      <c r="I1691" s="155"/>
      <c r="J1691" s="155"/>
      <c r="K1691" s="146"/>
    </row>
    <row r="1692">
      <c r="A1692" s="154"/>
      <c r="B1692" s="155"/>
      <c r="C1692" s="155"/>
      <c r="D1692" s="156" t="s">
        <v>2684</v>
      </c>
      <c r="E1692" s="156" t="s">
        <v>2662</v>
      </c>
      <c r="F1692" s="155"/>
      <c r="G1692" s="157" t="n">
        <v>0.8</v>
      </c>
      <c r="H1692" s="158"/>
      <c r="I1692" s="155"/>
      <c r="J1692" s="155"/>
      <c r="K1692" s="146"/>
    </row>
    <row r="1693">
      <c r="A1693" s="9" t="s">
        <v>2685</v>
      </c>
      <c r="B1693" s="10" t="s">
        <v>84</v>
      </c>
      <c r="C1693" s="10" t="s">
        <v>2686</v>
      </c>
      <c r="D1693" s="14" t="s">
        <v>2687</v>
      </c>
      <c r="E1693" s="10"/>
      <c r="F1693" s="10" t="s">
        <v>145</v>
      </c>
      <c r="G1693" s="111" t="n">
        <v>242</v>
      </c>
      <c r="H1693" s="152" t="n">
        <v>0</v>
      </c>
      <c r="I1693" s="111">
        <f>G1693*H1693</f>
      </c>
      <c r="J1693" s="153" t="s">
        <v>134</v>
      </c>
      <c r="K1693" s="146"/>
      <c r="Z1693" s="111">
        <f>IF(AQ1693="5",BJ1693,0)</f>
      </c>
      <c r="AB1693" s="111">
        <f>IF(AQ1693="1",BH1693,0)</f>
      </c>
      <c r="AC1693" s="111">
        <f>IF(AQ1693="1",BI1693,0)</f>
      </c>
      <c r="AD1693" s="111">
        <f>IF(AQ1693="7",BH1693,0)</f>
      </c>
      <c r="AE1693" s="111">
        <f>IF(AQ1693="7",BI1693,0)</f>
      </c>
      <c r="AF1693" s="111">
        <f>IF(AQ1693="2",BH1693,0)</f>
      </c>
      <c r="AG1693" s="111">
        <f>IF(AQ1693="2",BI1693,0)</f>
      </c>
      <c r="AH1693" s="111">
        <f>IF(AQ1693="0",BJ1693,0)</f>
      </c>
      <c r="AI1693" s="132" t="s">
        <v>84</v>
      </c>
      <c r="AJ1693" s="111">
        <f>IF(AN1693=0,I1693,0)</f>
      </c>
      <c r="AK1693" s="111">
        <f>IF(AN1693=12,I1693,0)</f>
      </c>
      <c r="AL1693" s="111">
        <f>IF(AN1693=21,I1693,0)</f>
      </c>
      <c r="AN1693" s="111" t="n">
        <v>21</v>
      </c>
      <c r="AO1693" s="111">
        <f>H1693*0.304174229</f>
      </c>
      <c r="AP1693" s="111">
        <f>H1693*(1-0.304174229)</f>
      </c>
      <c r="AQ1693" s="153" t="s">
        <v>173</v>
      </c>
      <c r="AV1693" s="111">
        <f>AW1693+AX1693</f>
      </c>
      <c r="AW1693" s="111">
        <f>G1693*AO1693</f>
      </c>
      <c r="AX1693" s="111">
        <f>G1693*AP1693</f>
      </c>
      <c r="AY1693" s="153" t="s">
        <v>2657</v>
      </c>
      <c r="AZ1693" s="153" t="s">
        <v>2486</v>
      </c>
      <c r="BA1693" s="132" t="s">
        <v>137</v>
      </c>
      <c r="BC1693" s="111">
        <f>AW1693+AX1693</f>
      </c>
      <c r="BD1693" s="111">
        <f>H1693/(100-BE1693)*100</f>
      </c>
      <c r="BE1693" s="111" t="n">
        <v>0</v>
      </c>
      <c r="BF1693" s="111">
        <f>1693</f>
      </c>
      <c r="BH1693" s="111">
        <f>G1693*AO1693</f>
      </c>
      <c r="BI1693" s="111">
        <f>G1693*AP1693</f>
      </c>
      <c r="BJ1693" s="111">
        <f>G1693*H1693</f>
      </c>
      <c r="BK1693" s="111"/>
      <c r="BL1693" s="111" t="n">
        <v>776</v>
      </c>
      <c r="BW1693" s="111" t="n">
        <v>21</v>
      </c>
      <c r="BX1693" s="14" t="s">
        <v>2687</v>
      </c>
    </row>
    <row r="1694" customHeight="true" ht="13.5">
      <c r="A1694" s="159"/>
      <c r="C1694" s="160" t="s">
        <v>146</v>
      </c>
      <c r="D1694" s="161" t="s">
        <v>2688</v>
      </c>
      <c r="E1694" s="156"/>
      <c r="F1694" s="156"/>
      <c r="G1694" s="156"/>
      <c r="H1694" s="162"/>
      <c r="I1694" s="156"/>
      <c r="J1694" s="156"/>
      <c r="K1694" s="163"/>
    </row>
    <row r="1695">
      <c r="A1695" s="154"/>
      <c r="B1695" s="155"/>
      <c r="C1695" s="155"/>
      <c r="D1695" s="156" t="s">
        <v>892</v>
      </c>
      <c r="E1695" s="156" t="s">
        <v>2658</v>
      </c>
      <c r="F1695" s="155"/>
      <c r="G1695" s="157" t="n">
        <v>89.1</v>
      </c>
      <c r="H1695" s="158"/>
      <c r="I1695" s="155"/>
      <c r="J1695" s="155"/>
      <c r="K1695" s="146"/>
    </row>
    <row r="1696">
      <c r="A1696" s="154"/>
      <c r="B1696" s="155"/>
      <c r="C1696" s="155"/>
      <c r="D1696" s="156" t="s">
        <v>2659</v>
      </c>
      <c r="E1696" s="156" t="s">
        <v>2660</v>
      </c>
      <c r="F1696" s="155"/>
      <c r="G1696" s="157" t="n">
        <v>152.9</v>
      </c>
      <c r="H1696" s="158"/>
      <c r="I1696" s="155"/>
      <c r="J1696" s="155"/>
      <c r="K1696" s="146"/>
    </row>
    <row r="1697">
      <c r="A1697" s="9" t="s">
        <v>2689</v>
      </c>
      <c r="B1697" s="10" t="s">
        <v>84</v>
      </c>
      <c r="C1697" s="10" t="s">
        <v>2690</v>
      </c>
      <c r="D1697" s="14" t="s">
        <v>2691</v>
      </c>
      <c r="E1697" s="10"/>
      <c r="F1697" s="10" t="s">
        <v>145</v>
      </c>
      <c r="G1697" s="111" t="n">
        <v>264.50524</v>
      </c>
      <c r="H1697" s="152" t="n">
        <v>0</v>
      </c>
      <c r="I1697" s="111">
        <f>G1697*H1697</f>
      </c>
      <c r="J1697" s="153" t="s">
        <v>134</v>
      </c>
      <c r="K1697" s="146"/>
      <c r="Z1697" s="111">
        <f>IF(AQ1697="5",BJ1697,0)</f>
      </c>
      <c r="AB1697" s="111">
        <f>IF(AQ1697="1",BH1697,0)</f>
      </c>
      <c r="AC1697" s="111">
        <f>IF(AQ1697="1",BI1697,0)</f>
      </c>
      <c r="AD1697" s="111">
        <f>IF(AQ1697="7",BH1697,0)</f>
      </c>
      <c r="AE1697" s="111">
        <f>IF(AQ1697="7",BI1697,0)</f>
      </c>
      <c r="AF1697" s="111">
        <f>IF(AQ1697="2",BH1697,0)</f>
      </c>
      <c r="AG1697" s="111">
        <f>IF(AQ1697="2",BI1697,0)</f>
      </c>
      <c r="AH1697" s="111">
        <f>IF(AQ1697="0",BJ1697,0)</f>
      </c>
      <c r="AI1697" s="132" t="s">
        <v>84</v>
      </c>
      <c r="AJ1697" s="111">
        <f>IF(AN1697=0,I1697,0)</f>
      </c>
      <c r="AK1697" s="111">
        <f>IF(AN1697=12,I1697,0)</f>
      </c>
      <c r="AL1697" s="111">
        <f>IF(AN1697=21,I1697,0)</f>
      </c>
      <c r="AN1697" s="111" t="n">
        <v>21</v>
      </c>
      <c r="AO1697" s="111">
        <f>H1697*1</f>
      </c>
      <c r="AP1697" s="111">
        <f>H1697*(1-1)</f>
      </c>
      <c r="AQ1697" s="153" t="s">
        <v>173</v>
      </c>
      <c r="AV1697" s="111">
        <f>AW1697+AX1697</f>
      </c>
      <c r="AW1697" s="111">
        <f>G1697*AO1697</f>
      </c>
      <c r="AX1697" s="111">
        <f>G1697*AP1697</f>
      </c>
      <c r="AY1697" s="153" t="s">
        <v>2657</v>
      </c>
      <c r="AZ1697" s="153" t="s">
        <v>2486</v>
      </c>
      <c r="BA1697" s="132" t="s">
        <v>137</v>
      </c>
      <c r="BC1697" s="111">
        <f>AW1697+AX1697</f>
      </c>
      <c r="BD1697" s="111">
        <f>H1697/(100-BE1697)*100</f>
      </c>
      <c r="BE1697" s="111" t="n">
        <v>0</v>
      </c>
      <c r="BF1697" s="111">
        <f>1697</f>
      </c>
      <c r="BH1697" s="111">
        <f>G1697*AO1697</f>
      </c>
      <c r="BI1697" s="111">
        <f>G1697*AP1697</f>
      </c>
      <c r="BJ1697" s="111">
        <f>G1697*H1697</f>
      </c>
      <c r="BK1697" s="111"/>
      <c r="BL1697" s="111" t="n">
        <v>776</v>
      </c>
      <c r="BW1697" s="111" t="n">
        <v>21</v>
      </c>
      <c r="BX1697" s="14" t="s">
        <v>2691</v>
      </c>
    </row>
    <row r="1698">
      <c r="A1698" s="154"/>
      <c r="B1698" s="155"/>
      <c r="C1698" s="155"/>
      <c r="D1698" s="156" t="s">
        <v>4</v>
      </c>
      <c r="E1698" s="156" t="s">
        <v>2692</v>
      </c>
      <c r="F1698" s="155"/>
      <c r="G1698" s="157" t="n">
        <v>0</v>
      </c>
      <c r="H1698" s="158"/>
      <c r="I1698" s="155"/>
      <c r="J1698" s="155"/>
      <c r="K1698" s="146"/>
    </row>
    <row r="1699">
      <c r="A1699" s="154"/>
      <c r="B1699" s="155"/>
      <c r="C1699" s="155"/>
      <c r="D1699" s="156" t="s">
        <v>2693</v>
      </c>
      <c r="E1699" s="156" t="s">
        <v>2662</v>
      </c>
      <c r="F1699" s="155"/>
      <c r="G1699" s="157" t="n">
        <v>2.44235</v>
      </c>
      <c r="H1699" s="158"/>
      <c r="I1699" s="155"/>
      <c r="J1699" s="155"/>
      <c r="K1699" s="146"/>
    </row>
    <row r="1700">
      <c r="A1700" s="154"/>
      <c r="B1700" s="155"/>
      <c r="C1700" s="155"/>
      <c r="D1700" s="156" t="s">
        <v>4</v>
      </c>
      <c r="E1700" s="156" t="s">
        <v>2694</v>
      </c>
      <c r="F1700" s="155"/>
      <c r="G1700" s="157" t="n">
        <v>0</v>
      </c>
      <c r="H1700" s="158"/>
      <c r="I1700" s="155"/>
      <c r="J1700" s="155"/>
      <c r="K1700" s="146"/>
    </row>
    <row r="1701">
      <c r="A1701" s="154"/>
      <c r="B1701" s="155"/>
      <c r="C1701" s="155"/>
      <c r="D1701" s="156" t="s">
        <v>2695</v>
      </c>
      <c r="E1701" s="156" t="s">
        <v>2696</v>
      </c>
      <c r="F1701" s="155"/>
      <c r="G1701" s="157" t="n">
        <v>10.2852</v>
      </c>
      <c r="H1701" s="158"/>
      <c r="I1701" s="155"/>
      <c r="J1701" s="155"/>
      <c r="K1701" s="146"/>
    </row>
    <row r="1702">
      <c r="A1702" s="154"/>
      <c r="B1702" s="155"/>
      <c r="C1702" s="155"/>
      <c r="D1702" s="156" t="s">
        <v>892</v>
      </c>
      <c r="E1702" s="156" t="s">
        <v>2658</v>
      </c>
      <c r="F1702" s="155"/>
      <c r="G1702" s="157" t="n">
        <v>89.1</v>
      </c>
      <c r="H1702" s="158"/>
      <c r="I1702" s="155"/>
      <c r="J1702" s="155"/>
      <c r="K1702" s="146"/>
    </row>
    <row r="1703">
      <c r="A1703" s="154"/>
      <c r="B1703" s="155"/>
      <c r="C1703" s="155"/>
      <c r="D1703" s="156" t="s">
        <v>2659</v>
      </c>
      <c r="E1703" s="156" t="s">
        <v>2660</v>
      </c>
      <c r="F1703" s="155"/>
      <c r="G1703" s="157" t="n">
        <v>152.9</v>
      </c>
      <c r="H1703" s="158"/>
      <c r="I1703" s="155"/>
      <c r="J1703" s="155"/>
      <c r="K1703" s="146"/>
    </row>
    <row r="1704">
      <c r="A1704" s="154"/>
      <c r="B1704" s="155"/>
      <c r="C1704" s="155"/>
      <c r="D1704" s="156" t="s">
        <v>2697</v>
      </c>
      <c r="E1704" s="156" t="s">
        <v>1868</v>
      </c>
      <c r="F1704" s="155"/>
      <c r="G1704" s="157" t="n">
        <v>9.77769</v>
      </c>
      <c r="H1704" s="158"/>
      <c r="I1704" s="155"/>
      <c r="J1704" s="155"/>
      <c r="K1704" s="146"/>
    </row>
    <row r="1705">
      <c r="A1705" s="9" t="s">
        <v>2698</v>
      </c>
      <c r="B1705" s="10" t="s">
        <v>84</v>
      </c>
      <c r="C1705" s="10" t="s">
        <v>2699</v>
      </c>
      <c r="D1705" s="14" t="s">
        <v>2700</v>
      </c>
      <c r="E1705" s="10"/>
      <c r="F1705" s="10" t="s">
        <v>282</v>
      </c>
      <c r="G1705" s="111" t="n">
        <v>154.5</v>
      </c>
      <c r="H1705" s="152" t="n">
        <v>0</v>
      </c>
      <c r="I1705" s="111">
        <f>G1705*H1705</f>
      </c>
      <c r="J1705" s="153" t="s">
        <v>134</v>
      </c>
      <c r="K1705" s="146"/>
      <c r="Z1705" s="111">
        <f>IF(AQ1705="5",BJ1705,0)</f>
      </c>
      <c r="AB1705" s="111">
        <f>IF(AQ1705="1",BH1705,0)</f>
      </c>
      <c r="AC1705" s="111">
        <f>IF(AQ1705="1",BI1705,0)</f>
      </c>
      <c r="AD1705" s="111">
        <f>IF(AQ1705="7",BH1705,0)</f>
      </c>
      <c r="AE1705" s="111">
        <f>IF(AQ1705="7",BI1705,0)</f>
      </c>
      <c r="AF1705" s="111">
        <f>IF(AQ1705="2",BH1705,0)</f>
      </c>
      <c r="AG1705" s="111">
        <f>IF(AQ1705="2",BI1705,0)</f>
      </c>
      <c r="AH1705" s="111">
        <f>IF(AQ1705="0",BJ1705,0)</f>
      </c>
      <c r="AI1705" s="132" t="s">
        <v>84</v>
      </c>
      <c r="AJ1705" s="111">
        <f>IF(AN1705=0,I1705,0)</f>
      </c>
      <c r="AK1705" s="111">
        <f>IF(AN1705=12,I1705,0)</f>
      </c>
      <c r="AL1705" s="111">
        <f>IF(AN1705=21,I1705,0)</f>
      </c>
      <c r="AN1705" s="111" t="n">
        <v>21</v>
      </c>
      <c r="AO1705" s="111">
        <f>H1705*0.272140762</f>
      </c>
      <c r="AP1705" s="111">
        <f>H1705*(1-0.272140762)</f>
      </c>
      <c r="AQ1705" s="153" t="s">
        <v>173</v>
      </c>
      <c r="AV1705" s="111">
        <f>AW1705+AX1705</f>
      </c>
      <c r="AW1705" s="111">
        <f>G1705*AO1705</f>
      </c>
      <c r="AX1705" s="111">
        <f>G1705*AP1705</f>
      </c>
      <c r="AY1705" s="153" t="s">
        <v>2657</v>
      </c>
      <c r="AZ1705" s="153" t="s">
        <v>2486</v>
      </c>
      <c r="BA1705" s="132" t="s">
        <v>137</v>
      </c>
      <c r="BC1705" s="111">
        <f>AW1705+AX1705</f>
      </c>
      <c r="BD1705" s="111">
        <f>H1705/(100-BE1705)*100</f>
      </c>
      <c r="BE1705" s="111" t="n">
        <v>0</v>
      </c>
      <c r="BF1705" s="111">
        <f>1705</f>
      </c>
      <c r="BH1705" s="111">
        <f>G1705*AO1705</f>
      </c>
      <c r="BI1705" s="111">
        <f>G1705*AP1705</f>
      </c>
      <c r="BJ1705" s="111">
        <f>G1705*H1705</f>
      </c>
      <c r="BK1705" s="111"/>
      <c r="BL1705" s="111" t="n">
        <v>776</v>
      </c>
      <c r="BW1705" s="111" t="n">
        <v>21</v>
      </c>
      <c r="BX1705" s="14" t="s">
        <v>2700</v>
      </c>
    </row>
    <row r="1706">
      <c r="A1706" s="154"/>
      <c r="B1706" s="155"/>
      <c r="C1706" s="155"/>
      <c r="D1706" s="156" t="s">
        <v>4</v>
      </c>
      <c r="E1706" s="156" t="s">
        <v>2701</v>
      </c>
      <c r="F1706" s="155"/>
      <c r="G1706" s="157" t="n">
        <v>0</v>
      </c>
      <c r="H1706" s="158"/>
      <c r="I1706" s="155"/>
      <c r="J1706" s="155"/>
      <c r="K1706" s="146"/>
    </row>
    <row r="1707">
      <c r="A1707" s="154"/>
      <c r="B1707" s="155"/>
      <c r="C1707" s="155"/>
      <c r="D1707" s="156" t="s">
        <v>2702</v>
      </c>
      <c r="E1707" s="156" t="s">
        <v>596</v>
      </c>
      <c r="F1707" s="155"/>
      <c r="G1707" s="157" t="n">
        <v>33.3</v>
      </c>
      <c r="H1707" s="158"/>
      <c r="I1707" s="155"/>
      <c r="J1707" s="155"/>
      <c r="K1707" s="146"/>
    </row>
    <row r="1708">
      <c r="A1708" s="154"/>
      <c r="B1708" s="155"/>
      <c r="C1708" s="155"/>
      <c r="D1708" s="156" t="s">
        <v>2703</v>
      </c>
      <c r="E1708" s="156" t="s">
        <v>982</v>
      </c>
      <c r="F1708" s="155"/>
      <c r="G1708" s="157" t="n">
        <v>19.44</v>
      </c>
      <c r="H1708" s="158"/>
      <c r="I1708" s="155"/>
      <c r="J1708" s="155"/>
      <c r="K1708" s="146"/>
    </row>
    <row r="1709">
      <c r="A1709" s="154"/>
      <c r="B1709" s="155"/>
      <c r="C1709" s="155"/>
      <c r="D1709" s="156" t="s">
        <v>2704</v>
      </c>
      <c r="E1709" s="156" t="s">
        <v>862</v>
      </c>
      <c r="F1709" s="155"/>
      <c r="G1709" s="157" t="n">
        <v>11.65</v>
      </c>
      <c r="H1709" s="158"/>
      <c r="I1709" s="155"/>
      <c r="J1709" s="155"/>
      <c r="K1709" s="146"/>
    </row>
    <row r="1710">
      <c r="A1710" s="154"/>
      <c r="B1710" s="155"/>
      <c r="C1710" s="155"/>
      <c r="D1710" s="156" t="s">
        <v>2705</v>
      </c>
      <c r="E1710" s="156" t="s">
        <v>993</v>
      </c>
      <c r="F1710" s="155"/>
      <c r="G1710" s="157" t="n">
        <v>5.25</v>
      </c>
      <c r="H1710" s="158"/>
      <c r="I1710" s="155"/>
      <c r="J1710" s="155"/>
      <c r="K1710" s="146"/>
    </row>
    <row r="1711">
      <c r="A1711" s="154"/>
      <c r="B1711" s="155"/>
      <c r="C1711" s="155"/>
      <c r="D1711" s="156" t="s">
        <v>2706</v>
      </c>
      <c r="E1711" s="156" t="s">
        <v>995</v>
      </c>
      <c r="F1711" s="155"/>
      <c r="G1711" s="157" t="n">
        <v>12.12</v>
      </c>
      <c r="H1711" s="158"/>
      <c r="I1711" s="155"/>
      <c r="J1711" s="155"/>
      <c r="K1711" s="146"/>
    </row>
    <row r="1712">
      <c r="A1712" s="154"/>
      <c r="B1712" s="155"/>
      <c r="C1712" s="155"/>
      <c r="D1712" s="156" t="s">
        <v>2707</v>
      </c>
      <c r="E1712" s="156" t="s">
        <v>997</v>
      </c>
      <c r="F1712" s="155"/>
      <c r="G1712" s="157" t="n">
        <v>12.58</v>
      </c>
      <c r="H1712" s="158"/>
      <c r="I1712" s="155"/>
      <c r="J1712" s="155"/>
      <c r="K1712" s="146"/>
    </row>
    <row r="1713">
      <c r="A1713" s="154"/>
      <c r="B1713" s="155"/>
      <c r="C1713" s="155"/>
      <c r="D1713" s="156" t="s">
        <v>2708</v>
      </c>
      <c r="E1713" s="156" t="s">
        <v>1000</v>
      </c>
      <c r="F1713" s="155"/>
      <c r="G1713" s="157" t="n">
        <v>8.47</v>
      </c>
      <c r="H1713" s="158"/>
      <c r="I1713" s="155"/>
      <c r="J1713" s="155"/>
      <c r="K1713" s="146"/>
    </row>
    <row r="1714">
      <c r="A1714" s="154"/>
      <c r="B1714" s="155"/>
      <c r="C1714" s="155"/>
      <c r="D1714" s="156" t="s">
        <v>2709</v>
      </c>
      <c r="E1714" s="156" t="s">
        <v>933</v>
      </c>
      <c r="F1714" s="155"/>
      <c r="G1714" s="157" t="n">
        <v>13.89</v>
      </c>
      <c r="H1714" s="158"/>
      <c r="I1714" s="155"/>
      <c r="J1714" s="155"/>
      <c r="K1714" s="146"/>
    </row>
    <row r="1715">
      <c r="A1715" s="154"/>
      <c r="B1715" s="155"/>
      <c r="C1715" s="155"/>
      <c r="D1715" s="156" t="s">
        <v>2710</v>
      </c>
      <c r="E1715" s="156" t="s">
        <v>1005</v>
      </c>
      <c r="F1715" s="155"/>
      <c r="G1715" s="157" t="n">
        <v>34.6</v>
      </c>
      <c r="H1715" s="158"/>
      <c r="I1715" s="155"/>
      <c r="J1715" s="155"/>
      <c r="K1715" s="146"/>
    </row>
    <row r="1716">
      <c r="A1716" s="154"/>
      <c r="B1716" s="155"/>
      <c r="C1716" s="155"/>
      <c r="D1716" s="156" t="s">
        <v>2661</v>
      </c>
      <c r="E1716" s="156" t="s">
        <v>2662</v>
      </c>
      <c r="F1716" s="155"/>
      <c r="G1716" s="157" t="n">
        <v>3.2</v>
      </c>
      <c r="H1716" s="158"/>
      <c r="I1716" s="155"/>
      <c r="J1716" s="155"/>
      <c r="K1716" s="146"/>
    </row>
    <row r="1717">
      <c r="A1717" s="9" t="s">
        <v>2711</v>
      </c>
      <c r="B1717" s="10" t="s">
        <v>84</v>
      </c>
      <c r="C1717" s="10" t="s">
        <v>2712</v>
      </c>
      <c r="D1717" s="14" t="s">
        <v>2713</v>
      </c>
      <c r="E1717" s="10"/>
      <c r="F1717" s="10" t="s">
        <v>282</v>
      </c>
      <c r="G1717" s="111" t="n">
        <v>157.59</v>
      </c>
      <c r="H1717" s="152" t="n">
        <v>0</v>
      </c>
      <c r="I1717" s="111">
        <f>G1717*H1717</f>
      </c>
      <c r="J1717" s="153" t="s">
        <v>134</v>
      </c>
      <c r="K1717" s="146"/>
      <c r="Z1717" s="111">
        <f>IF(AQ1717="5",BJ1717,0)</f>
      </c>
      <c r="AB1717" s="111">
        <f>IF(AQ1717="1",BH1717,0)</f>
      </c>
      <c r="AC1717" s="111">
        <f>IF(AQ1717="1",BI1717,0)</f>
      </c>
      <c r="AD1717" s="111">
        <f>IF(AQ1717="7",BH1717,0)</f>
      </c>
      <c r="AE1717" s="111">
        <f>IF(AQ1717="7",BI1717,0)</f>
      </c>
      <c r="AF1717" s="111">
        <f>IF(AQ1717="2",BH1717,0)</f>
      </c>
      <c r="AG1717" s="111">
        <f>IF(AQ1717="2",BI1717,0)</f>
      </c>
      <c r="AH1717" s="111">
        <f>IF(AQ1717="0",BJ1717,0)</f>
      </c>
      <c r="AI1717" s="132" t="s">
        <v>84</v>
      </c>
      <c r="AJ1717" s="111">
        <f>IF(AN1717=0,I1717,0)</f>
      </c>
      <c r="AK1717" s="111">
        <f>IF(AN1717=12,I1717,0)</f>
      </c>
      <c r="AL1717" s="111">
        <f>IF(AN1717=21,I1717,0)</f>
      </c>
      <c r="AN1717" s="111" t="n">
        <v>21</v>
      </c>
      <c r="AO1717" s="111">
        <f>H1717*1</f>
      </c>
      <c r="AP1717" s="111">
        <f>H1717*(1-1)</f>
      </c>
      <c r="AQ1717" s="153" t="s">
        <v>173</v>
      </c>
      <c r="AV1717" s="111">
        <f>AW1717+AX1717</f>
      </c>
      <c r="AW1717" s="111">
        <f>G1717*AO1717</f>
      </c>
      <c r="AX1717" s="111">
        <f>G1717*AP1717</f>
      </c>
      <c r="AY1717" s="153" t="s">
        <v>2657</v>
      </c>
      <c r="AZ1717" s="153" t="s">
        <v>2486</v>
      </c>
      <c r="BA1717" s="132" t="s">
        <v>137</v>
      </c>
      <c r="BC1717" s="111">
        <f>AW1717+AX1717</f>
      </c>
      <c r="BD1717" s="111">
        <f>H1717/(100-BE1717)*100</f>
      </c>
      <c r="BE1717" s="111" t="n">
        <v>0</v>
      </c>
      <c r="BF1717" s="111">
        <f>1717</f>
      </c>
      <c r="BH1717" s="111">
        <f>G1717*AO1717</f>
      </c>
      <c r="BI1717" s="111">
        <f>G1717*AP1717</f>
      </c>
      <c r="BJ1717" s="111">
        <f>G1717*H1717</f>
      </c>
      <c r="BK1717" s="111"/>
      <c r="BL1717" s="111" t="n">
        <v>776</v>
      </c>
      <c r="BW1717" s="111" t="n">
        <v>21</v>
      </c>
      <c r="BX1717" s="14" t="s">
        <v>2713</v>
      </c>
    </row>
    <row r="1718">
      <c r="A1718" s="154"/>
      <c r="B1718" s="155"/>
      <c r="C1718" s="155"/>
      <c r="D1718" s="156" t="s">
        <v>4</v>
      </c>
      <c r="E1718" s="156" t="s">
        <v>2701</v>
      </c>
      <c r="F1718" s="155"/>
      <c r="G1718" s="157" t="n">
        <v>0</v>
      </c>
      <c r="H1718" s="158"/>
      <c r="I1718" s="155"/>
      <c r="J1718" s="155"/>
      <c r="K1718" s="146"/>
    </row>
    <row r="1719">
      <c r="A1719" s="154"/>
      <c r="B1719" s="155"/>
      <c r="C1719" s="155"/>
      <c r="D1719" s="156" t="s">
        <v>2704</v>
      </c>
      <c r="E1719" s="156" t="s">
        <v>862</v>
      </c>
      <c r="F1719" s="155"/>
      <c r="G1719" s="157" t="n">
        <v>11.65</v>
      </c>
      <c r="H1719" s="158"/>
      <c r="I1719" s="155"/>
      <c r="J1719" s="155"/>
      <c r="K1719" s="146"/>
    </row>
    <row r="1720">
      <c r="A1720" s="154"/>
      <c r="B1720" s="155"/>
      <c r="C1720" s="155"/>
      <c r="D1720" s="156" t="s">
        <v>2702</v>
      </c>
      <c r="E1720" s="156" t="s">
        <v>596</v>
      </c>
      <c r="F1720" s="155"/>
      <c r="G1720" s="157" t="n">
        <v>33.3</v>
      </c>
      <c r="H1720" s="158"/>
      <c r="I1720" s="155"/>
      <c r="J1720" s="155"/>
      <c r="K1720" s="146"/>
    </row>
    <row r="1721">
      <c r="A1721" s="154"/>
      <c r="B1721" s="155"/>
      <c r="C1721" s="155"/>
      <c r="D1721" s="156" t="s">
        <v>2703</v>
      </c>
      <c r="E1721" s="156" t="s">
        <v>982</v>
      </c>
      <c r="F1721" s="155"/>
      <c r="G1721" s="157" t="n">
        <v>19.44</v>
      </c>
      <c r="H1721" s="158"/>
      <c r="I1721" s="155"/>
      <c r="J1721" s="155"/>
      <c r="K1721" s="146"/>
    </row>
    <row r="1722">
      <c r="A1722" s="154"/>
      <c r="B1722" s="155"/>
      <c r="C1722" s="155"/>
      <c r="D1722" s="156" t="s">
        <v>2714</v>
      </c>
      <c r="E1722" s="156" t="s">
        <v>2607</v>
      </c>
      <c r="F1722" s="155"/>
      <c r="G1722" s="157" t="n">
        <v>3.09</v>
      </c>
      <c r="H1722" s="158"/>
      <c r="I1722" s="155"/>
      <c r="J1722" s="155"/>
      <c r="K1722" s="146"/>
    </row>
    <row r="1723">
      <c r="A1723" s="154"/>
      <c r="B1723" s="155"/>
      <c r="C1723" s="155"/>
      <c r="D1723" s="156" t="s">
        <v>2705</v>
      </c>
      <c r="E1723" s="156" t="s">
        <v>993</v>
      </c>
      <c r="F1723" s="155"/>
      <c r="G1723" s="157" t="n">
        <v>5.25</v>
      </c>
      <c r="H1723" s="158"/>
      <c r="I1723" s="155"/>
      <c r="J1723" s="155"/>
      <c r="K1723" s="146"/>
    </row>
    <row r="1724">
      <c r="A1724" s="154"/>
      <c r="B1724" s="155"/>
      <c r="C1724" s="155"/>
      <c r="D1724" s="156" t="s">
        <v>2661</v>
      </c>
      <c r="E1724" s="156" t="s">
        <v>2662</v>
      </c>
      <c r="F1724" s="155"/>
      <c r="G1724" s="157" t="n">
        <v>3.2</v>
      </c>
      <c r="H1724" s="158"/>
      <c r="I1724" s="155"/>
      <c r="J1724" s="155"/>
      <c r="K1724" s="146"/>
    </row>
    <row r="1725">
      <c r="A1725" s="154"/>
      <c r="B1725" s="155"/>
      <c r="C1725" s="155"/>
      <c r="D1725" s="156" t="s">
        <v>2706</v>
      </c>
      <c r="E1725" s="156" t="s">
        <v>995</v>
      </c>
      <c r="F1725" s="155"/>
      <c r="G1725" s="157" t="n">
        <v>12.12</v>
      </c>
      <c r="H1725" s="158"/>
      <c r="I1725" s="155"/>
      <c r="J1725" s="155"/>
      <c r="K1725" s="146"/>
    </row>
    <row r="1726">
      <c r="A1726" s="154"/>
      <c r="B1726" s="155"/>
      <c r="C1726" s="155"/>
      <c r="D1726" s="156" t="s">
        <v>2707</v>
      </c>
      <c r="E1726" s="156" t="s">
        <v>997</v>
      </c>
      <c r="F1726" s="155"/>
      <c r="G1726" s="157" t="n">
        <v>12.58</v>
      </c>
      <c r="H1726" s="158"/>
      <c r="I1726" s="155"/>
      <c r="J1726" s="155"/>
      <c r="K1726" s="146"/>
    </row>
    <row r="1727">
      <c r="A1727" s="154"/>
      <c r="B1727" s="155"/>
      <c r="C1727" s="155"/>
      <c r="D1727" s="156" t="s">
        <v>2708</v>
      </c>
      <c r="E1727" s="156" t="s">
        <v>1000</v>
      </c>
      <c r="F1727" s="155"/>
      <c r="G1727" s="157" t="n">
        <v>8.47</v>
      </c>
      <c r="H1727" s="158"/>
      <c r="I1727" s="155"/>
      <c r="J1727" s="155"/>
      <c r="K1727" s="146"/>
    </row>
    <row r="1728">
      <c r="A1728" s="154"/>
      <c r="B1728" s="155"/>
      <c r="C1728" s="155"/>
      <c r="D1728" s="156" t="s">
        <v>2710</v>
      </c>
      <c r="E1728" s="156" t="s">
        <v>1005</v>
      </c>
      <c r="F1728" s="155"/>
      <c r="G1728" s="157" t="n">
        <v>34.6</v>
      </c>
      <c r="H1728" s="158"/>
      <c r="I1728" s="155"/>
      <c r="J1728" s="155"/>
      <c r="K1728" s="146"/>
    </row>
    <row r="1729">
      <c r="A1729" s="154"/>
      <c r="B1729" s="155"/>
      <c r="C1729" s="155"/>
      <c r="D1729" s="156" t="s">
        <v>2709</v>
      </c>
      <c r="E1729" s="156" t="s">
        <v>933</v>
      </c>
      <c r="F1729" s="155"/>
      <c r="G1729" s="157" t="n">
        <v>13.89</v>
      </c>
      <c r="H1729" s="158"/>
      <c r="I1729" s="155"/>
      <c r="J1729" s="155"/>
      <c r="K1729" s="146"/>
    </row>
    <row r="1730">
      <c r="A1730" s="9" t="s">
        <v>2715</v>
      </c>
      <c r="B1730" s="10" t="s">
        <v>84</v>
      </c>
      <c r="C1730" s="10" t="s">
        <v>2716</v>
      </c>
      <c r="D1730" s="14" t="s">
        <v>2717</v>
      </c>
      <c r="E1730" s="10"/>
      <c r="F1730" s="10" t="s">
        <v>282</v>
      </c>
      <c r="G1730" s="111" t="n">
        <v>3.02</v>
      </c>
      <c r="H1730" s="152" t="n">
        <v>0</v>
      </c>
      <c r="I1730" s="111">
        <f>G1730*H1730</f>
      </c>
      <c r="J1730" s="153" t="s">
        <v>134</v>
      </c>
      <c r="K1730" s="146"/>
      <c r="Z1730" s="111">
        <f>IF(AQ1730="5",BJ1730,0)</f>
      </c>
      <c r="AB1730" s="111">
        <f>IF(AQ1730="1",BH1730,0)</f>
      </c>
      <c r="AC1730" s="111">
        <f>IF(AQ1730="1",BI1730,0)</f>
      </c>
      <c r="AD1730" s="111">
        <f>IF(AQ1730="7",BH1730,0)</f>
      </c>
      <c r="AE1730" s="111">
        <f>IF(AQ1730="7",BI1730,0)</f>
      </c>
      <c r="AF1730" s="111">
        <f>IF(AQ1730="2",BH1730,0)</f>
      </c>
      <c r="AG1730" s="111">
        <f>IF(AQ1730="2",BI1730,0)</f>
      </c>
      <c r="AH1730" s="111">
        <f>IF(AQ1730="0",BJ1730,0)</f>
      </c>
      <c r="AI1730" s="132" t="s">
        <v>84</v>
      </c>
      <c r="AJ1730" s="111">
        <f>IF(AN1730=0,I1730,0)</f>
      </c>
      <c r="AK1730" s="111">
        <f>IF(AN1730=12,I1730,0)</f>
      </c>
      <c r="AL1730" s="111">
        <f>IF(AN1730=21,I1730,0)</f>
      </c>
      <c r="AN1730" s="111" t="n">
        <v>21</v>
      </c>
      <c r="AO1730" s="111">
        <f>H1730*0.132662722</f>
      </c>
      <c r="AP1730" s="111">
        <f>H1730*(1-0.132662722)</f>
      </c>
      <c r="AQ1730" s="153" t="s">
        <v>173</v>
      </c>
      <c r="AV1730" s="111">
        <f>AW1730+AX1730</f>
      </c>
      <c r="AW1730" s="111">
        <f>G1730*AO1730</f>
      </c>
      <c r="AX1730" s="111">
        <f>G1730*AP1730</f>
      </c>
      <c r="AY1730" s="153" t="s">
        <v>2657</v>
      </c>
      <c r="AZ1730" s="153" t="s">
        <v>2486</v>
      </c>
      <c r="BA1730" s="132" t="s">
        <v>137</v>
      </c>
      <c r="BC1730" s="111">
        <f>AW1730+AX1730</f>
      </c>
      <c r="BD1730" s="111">
        <f>H1730/(100-BE1730)*100</f>
      </c>
      <c r="BE1730" s="111" t="n">
        <v>0</v>
      </c>
      <c r="BF1730" s="111">
        <f>1730</f>
      </c>
      <c r="BH1730" s="111">
        <f>G1730*AO1730</f>
      </c>
      <c r="BI1730" s="111">
        <f>G1730*AP1730</f>
      </c>
      <c r="BJ1730" s="111">
        <f>G1730*H1730</f>
      </c>
      <c r="BK1730" s="111"/>
      <c r="BL1730" s="111" t="n">
        <v>776</v>
      </c>
      <c r="BW1730" s="111" t="n">
        <v>21</v>
      </c>
      <c r="BX1730" s="14" t="s">
        <v>2717</v>
      </c>
    </row>
    <row r="1731" customHeight="true" ht="13.5">
      <c r="A1731" s="159"/>
      <c r="C1731" s="160" t="s">
        <v>146</v>
      </c>
      <c r="D1731" s="161" t="s">
        <v>2718</v>
      </c>
      <c r="E1731" s="156"/>
      <c r="F1731" s="156"/>
      <c r="G1731" s="156"/>
      <c r="H1731" s="162"/>
      <c r="I1731" s="156"/>
      <c r="J1731" s="156"/>
      <c r="K1731" s="163"/>
    </row>
    <row r="1732">
      <c r="A1732" s="154"/>
      <c r="B1732" s="155"/>
      <c r="C1732" s="155"/>
      <c r="D1732" s="156" t="s">
        <v>2719</v>
      </c>
      <c r="E1732" s="156" t="s">
        <v>933</v>
      </c>
      <c r="F1732" s="155"/>
      <c r="G1732" s="157" t="n">
        <v>3.02</v>
      </c>
      <c r="H1732" s="158"/>
      <c r="I1732" s="155"/>
      <c r="J1732" s="155"/>
      <c r="K1732" s="146"/>
    </row>
    <row r="1733">
      <c r="A1733" s="9" t="s">
        <v>2720</v>
      </c>
      <c r="B1733" s="10" t="s">
        <v>84</v>
      </c>
      <c r="C1733" s="10" t="s">
        <v>2721</v>
      </c>
      <c r="D1733" s="14" t="s">
        <v>2722</v>
      </c>
      <c r="E1733" s="10"/>
      <c r="F1733" s="10" t="s">
        <v>282</v>
      </c>
      <c r="G1733" s="111" t="n">
        <v>4.64</v>
      </c>
      <c r="H1733" s="152" t="n">
        <v>0</v>
      </c>
      <c r="I1733" s="111">
        <f>G1733*H1733</f>
      </c>
      <c r="J1733" s="153" t="s">
        <v>134</v>
      </c>
      <c r="K1733" s="146"/>
      <c r="Z1733" s="111">
        <f>IF(AQ1733="5",BJ1733,0)</f>
      </c>
      <c r="AB1733" s="111">
        <f>IF(AQ1733="1",BH1733,0)</f>
      </c>
      <c r="AC1733" s="111">
        <f>IF(AQ1733="1",BI1733,0)</f>
      </c>
      <c r="AD1733" s="111">
        <f>IF(AQ1733="7",BH1733,0)</f>
      </c>
      <c r="AE1733" s="111">
        <f>IF(AQ1733="7",BI1733,0)</f>
      </c>
      <c r="AF1733" s="111">
        <f>IF(AQ1733="2",BH1733,0)</f>
      </c>
      <c r="AG1733" s="111">
        <f>IF(AQ1733="2",BI1733,0)</f>
      </c>
      <c r="AH1733" s="111">
        <f>IF(AQ1733="0",BJ1733,0)</f>
      </c>
      <c r="AI1733" s="132" t="s">
        <v>84</v>
      </c>
      <c r="AJ1733" s="111">
        <f>IF(AN1733=0,I1733,0)</f>
      </c>
      <c r="AK1733" s="111">
        <f>IF(AN1733=12,I1733,0)</f>
      </c>
      <c r="AL1733" s="111">
        <f>IF(AN1733=21,I1733,0)</f>
      </c>
      <c r="AN1733" s="111" t="n">
        <v>21</v>
      </c>
      <c r="AO1733" s="111">
        <f>H1733*0.091759891</f>
      </c>
      <c r="AP1733" s="111">
        <f>H1733*(1-0.091759891)</f>
      </c>
      <c r="AQ1733" s="153" t="s">
        <v>173</v>
      </c>
      <c r="AV1733" s="111">
        <f>AW1733+AX1733</f>
      </c>
      <c r="AW1733" s="111">
        <f>G1733*AO1733</f>
      </c>
      <c r="AX1733" s="111">
        <f>G1733*AP1733</f>
      </c>
      <c r="AY1733" s="153" t="s">
        <v>2657</v>
      </c>
      <c r="AZ1733" s="153" t="s">
        <v>2486</v>
      </c>
      <c r="BA1733" s="132" t="s">
        <v>137</v>
      </c>
      <c r="BC1733" s="111">
        <f>AW1733+AX1733</f>
      </c>
      <c r="BD1733" s="111">
        <f>H1733/(100-BE1733)*100</f>
      </c>
      <c r="BE1733" s="111" t="n">
        <v>0</v>
      </c>
      <c r="BF1733" s="111">
        <f>1733</f>
      </c>
      <c r="BH1733" s="111">
        <f>G1733*AO1733</f>
      </c>
      <c r="BI1733" s="111">
        <f>G1733*AP1733</f>
      </c>
      <c r="BJ1733" s="111">
        <f>G1733*H1733</f>
      </c>
      <c r="BK1733" s="111"/>
      <c r="BL1733" s="111" t="n">
        <v>776</v>
      </c>
      <c r="BW1733" s="111" t="n">
        <v>21</v>
      </c>
      <c r="BX1733" s="14" t="s">
        <v>2722</v>
      </c>
    </row>
    <row r="1734" customHeight="true" ht="13.5">
      <c r="A1734" s="159"/>
      <c r="C1734" s="160" t="s">
        <v>146</v>
      </c>
      <c r="D1734" s="161" t="s">
        <v>2718</v>
      </c>
      <c r="E1734" s="156"/>
      <c r="F1734" s="156"/>
      <c r="G1734" s="156"/>
      <c r="H1734" s="162"/>
      <c r="I1734" s="156"/>
      <c r="J1734" s="156"/>
      <c r="K1734" s="163"/>
    </row>
    <row r="1735">
      <c r="A1735" s="154"/>
      <c r="B1735" s="155"/>
      <c r="C1735" s="155"/>
      <c r="D1735" s="156" t="s">
        <v>2723</v>
      </c>
      <c r="E1735" s="156" t="s">
        <v>933</v>
      </c>
      <c r="F1735" s="155"/>
      <c r="G1735" s="157" t="n">
        <v>4.64</v>
      </c>
      <c r="H1735" s="158"/>
      <c r="I1735" s="155"/>
      <c r="J1735" s="155"/>
      <c r="K1735" s="146"/>
    </row>
    <row r="1736">
      <c r="A1736" s="9" t="s">
        <v>2724</v>
      </c>
      <c r="B1736" s="10" t="s">
        <v>84</v>
      </c>
      <c r="C1736" s="10" t="s">
        <v>2725</v>
      </c>
      <c r="D1736" s="14" t="s">
        <v>2726</v>
      </c>
      <c r="E1736" s="10"/>
      <c r="F1736" s="10" t="s">
        <v>282</v>
      </c>
      <c r="G1736" s="111" t="n">
        <v>7.72</v>
      </c>
      <c r="H1736" s="152" t="n">
        <v>0</v>
      </c>
      <c r="I1736" s="111">
        <f>G1736*H1736</f>
      </c>
      <c r="J1736" s="153" t="s">
        <v>134</v>
      </c>
      <c r="K1736" s="146"/>
      <c r="Z1736" s="111">
        <f>IF(AQ1736="5",BJ1736,0)</f>
      </c>
      <c r="AB1736" s="111">
        <f>IF(AQ1736="1",BH1736,0)</f>
      </c>
      <c r="AC1736" s="111">
        <f>IF(AQ1736="1",BI1736,0)</f>
      </c>
      <c r="AD1736" s="111">
        <f>IF(AQ1736="7",BH1736,0)</f>
      </c>
      <c r="AE1736" s="111">
        <f>IF(AQ1736="7",BI1736,0)</f>
      </c>
      <c r="AF1736" s="111">
        <f>IF(AQ1736="2",BH1736,0)</f>
      </c>
      <c r="AG1736" s="111">
        <f>IF(AQ1736="2",BI1736,0)</f>
      </c>
      <c r="AH1736" s="111">
        <f>IF(AQ1736="0",BJ1736,0)</f>
      </c>
      <c r="AI1736" s="132" t="s">
        <v>84</v>
      </c>
      <c r="AJ1736" s="111">
        <f>IF(AN1736=0,I1736,0)</f>
      </c>
      <c r="AK1736" s="111">
        <f>IF(AN1736=12,I1736,0)</f>
      </c>
      <c r="AL1736" s="111">
        <f>IF(AN1736=21,I1736,0)</f>
      </c>
      <c r="AN1736" s="111" t="n">
        <v>21</v>
      </c>
      <c r="AO1736" s="111">
        <f>H1736*0.068805573</f>
      </c>
      <c r="AP1736" s="111">
        <f>H1736*(1-0.068805573)</f>
      </c>
      <c r="AQ1736" s="153" t="s">
        <v>173</v>
      </c>
      <c r="AV1736" s="111">
        <f>AW1736+AX1736</f>
      </c>
      <c r="AW1736" s="111">
        <f>G1736*AO1736</f>
      </c>
      <c r="AX1736" s="111">
        <f>G1736*AP1736</f>
      </c>
      <c r="AY1736" s="153" t="s">
        <v>2657</v>
      </c>
      <c r="AZ1736" s="153" t="s">
        <v>2486</v>
      </c>
      <c r="BA1736" s="132" t="s">
        <v>137</v>
      </c>
      <c r="BC1736" s="111">
        <f>AW1736+AX1736</f>
      </c>
      <c r="BD1736" s="111">
        <f>H1736/(100-BE1736)*100</f>
      </c>
      <c r="BE1736" s="111" t="n">
        <v>0</v>
      </c>
      <c r="BF1736" s="111">
        <f>1736</f>
      </c>
      <c r="BH1736" s="111">
        <f>G1736*AO1736</f>
      </c>
      <c r="BI1736" s="111">
        <f>G1736*AP1736</f>
      </c>
      <c r="BJ1736" s="111">
        <f>G1736*H1736</f>
      </c>
      <c r="BK1736" s="111"/>
      <c r="BL1736" s="111" t="n">
        <v>776</v>
      </c>
      <c r="BW1736" s="111" t="n">
        <v>21</v>
      </c>
      <c r="BX1736" s="14" t="s">
        <v>2726</v>
      </c>
    </row>
    <row r="1737" customHeight="true" ht="13.5">
      <c r="A1737" s="159"/>
      <c r="C1737" s="160" t="s">
        <v>146</v>
      </c>
      <c r="D1737" s="161" t="s">
        <v>2718</v>
      </c>
      <c r="E1737" s="156"/>
      <c r="F1737" s="156"/>
      <c r="G1737" s="156"/>
      <c r="H1737" s="162"/>
      <c r="I1737" s="156"/>
      <c r="J1737" s="156"/>
      <c r="K1737" s="163"/>
    </row>
    <row r="1738">
      <c r="A1738" s="154"/>
      <c r="B1738" s="155"/>
      <c r="C1738" s="155"/>
      <c r="D1738" s="156" t="s">
        <v>2727</v>
      </c>
      <c r="E1738" s="156" t="s">
        <v>933</v>
      </c>
      <c r="F1738" s="155"/>
      <c r="G1738" s="157" t="n">
        <v>7.72</v>
      </c>
      <c r="H1738" s="158"/>
      <c r="I1738" s="155"/>
      <c r="J1738" s="155"/>
      <c r="K1738" s="146"/>
    </row>
    <row r="1739">
      <c r="A1739" s="9" t="s">
        <v>2728</v>
      </c>
      <c r="B1739" s="10" t="s">
        <v>84</v>
      </c>
      <c r="C1739" s="10" t="s">
        <v>2729</v>
      </c>
      <c r="D1739" s="14" t="s">
        <v>2730</v>
      </c>
      <c r="E1739" s="10"/>
      <c r="F1739" s="10" t="s">
        <v>282</v>
      </c>
      <c r="G1739" s="111" t="n">
        <v>7.72</v>
      </c>
      <c r="H1739" s="152" t="n">
        <v>0</v>
      </c>
      <c r="I1739" s="111">
        <f>G1739*H1739</f>
      </c>
      <c r="J1739" s="153" t="s">
        <v>134</v>
      </c>
      <c r="K1739" s="146"/>
      <c r="Z1739" s="111">
        <f>IF(AQ1739="5",BJ1739,0)</f>
      </c>
      <c r="AB1739" s="111">
        <f>IF(AQ1739="1",BH1739,0)</f>
      </c>
      <c r="AC1739" s="111">
        <f>IF(AQ1739="1",BI1739,0)</f>
      </c>
      <c r="AD1739" s="111">
        <f>IF(AQ1739="7",BH1739,0)</f>
      </c>
      <c r="AE1739" s="111">
        <f>IF(AQ1739="7",BI1739,0)</f>
      </c>
      <c r="AF1739" s="111">
        <f>IF(AQ1739="2",BH1739,0)</f>
      </c>
      <c r="AG1739" s="111">
        <f>IF(AQ1739="2",BI1739,0)</f>
      </c>
      <c r="AH1739" s="111">
        <f>IF(AQ1739="0",BJ1739,0)</f>
      </c>
      <c r="AI1739" s="132" t="s">
        <v>84</v>
      </c>
      <c r="AJ1739" s="111">
        <f>IF(AN1739=0,I1739,0)</f>
      </c>
      <c r="AK1739" s="111">
        <f>IF(AN1739=12,I1739,0)</f>
      </c>
      <c r="AL1739" s="111">
        <f>IF(AN1739=21,I1739,0)</f>
      </c>
      <c r="AN1739" s="111" t="n">
        <v>21</v>
      </c>
      <c r="AO1739" s="111">
        <f>H1739*0.20302061</f>
      </c>
      <c r="AP1739" s="111">
        <f>H1739*(1-0.20302061)</f>
      </c>
      <c r="AQ1739" s="153" t="s">
        <v>173</v>
      </c>
      <c r="AV1739" s="111">
        <f>AW1739+AX1739</f>
      </c>
      <c r="AW1739" s="111">
        <f>G1739*AO1739</f>
      </c>
      <c r="AX1739" s="111">
        <f>G1739*AP1739</f>
      </c>
      <c r="AY1739" s="153" t="s">
        <v>2657</v>
      </c>
      <c r="AZ1739" s="153" t="s">
        <v>2486</v>
      </c>
      <c r="BA1739" s="132" t="s">
        <v>137</v>
      </c>
      <c r="BC1739" s="111">
        <f>AW1739+AX1739</f>
      </c>
      <c r="BD1739" s="111">
        <f>H1739/(100-BE1739)*100</f>
      </c>
      <c r="BE1739" s="111" t="n">
        <v>0</v>
      </c>
      <c r="BF1739" s="111">
        <f>1739</f>
      </c>
      <c r="BH1739" s="111">
        <f>G1739*AO1739</f>
      </c>
      <c r="BI1739" s="111">
        <f>G1739*AP1739</f>
      </c>
      <c r="BJ1739" s="111">
        <f>G1739*H1739</f>
      </c>
      <c r="BK1739" s="111"/>
      <c r="BL1739" s="111" t="n">
        <v>776</v>
      </c>
      <c r="BW1739" s="111" t="n">
        <v>21</v>
      </c>
      <c r="BX1739" s="14" t="s">
        <v>2730</v>
      </c>
    </row>
    <row r="1740" customHeight="true" ht="13.5">
      <c r="A1740" s="159"/>
      <c r="C1740" s="160" t="s">
        <v>146</v>
      </c>
      <c r="D1740" s="161" t="s">
        <v>2731</v>
      </c>
      <c r="E1740" s="156"/>
      <c r="F1740" s="156"/>
      <c r="G1740" s="156"/>
      <c r="H1740" s="162"/>
      <c r="I1740" s="156"/>
      <c r="J1740" s="156"/>
      <c r="K1740" s="163"/>
    </row>
    <row r="1741">
      <c r="A1741" s="154"/>
      <c r="B1741" s="155"/>
      <c r="C1741" s="155"/>
      <c r="D1741" s="156" t="s">
        <v>2727</v>
      </c>
      <c r="E1741" s="156" t="s">
        <v>933</v>
      </c>
      <c r="F1741" s="155"/>
      <c r="G1741" s="157" t="n">
        <v>7.72</v>
      </c>
      <c r="H1741" s="158"/>
      <c r="I1741" s="155"/>
      <c r="J1741" s="155"/>
      <c r="K1741" s="146"/>
    </row>
    <row r="1742">
      <c r="A1742" s="9" t="s">
        <v>2732</v>
      </c>
      <c r="B1742" s="10" t="s">
        <v>84</v>
      </c>
      <c r="C1742" s="10" t="s">
        <v>2733</v>
      </c>
      <c r="D1742" s="14" t="s">
        <v>2734</v>
      </c>
      <c r="E1742" s="10"/>
      <c r="F1742" s="10" t="s">
        <v>133</v>
      </c>
      <c r="G1742" s="111" t="n">
        <v>8.492</v>
      </c>
      <c r="H1742" s="152" t="n">
        <v>0</v>
      </c>
      <c r="I1742" s="111">
        <f>G1742*H1742</f>
      </c>
      <c r="J1742" s="153" t="s">
        <v>134</v>
      </c>
      <c r="K1742" s="146"/>
      <c r="Z1742" s="111">
        <f>IF(AQ1742="5",BJ1742,0)</f>
      </c>
      <c r="AB1742" s="111">
        <f>IF(AQ1742="1",BH1742,0)</f>
      </c>
      <c r="AC1742" s="111">
        <f>IF(AQ1742="1",BI1742,0)</f>
      </c>
      <c r="AD1742" s="111">
        <f>IF(AQ1742="7",BH1742,0)</f>
      </c>
      <c r="AE1742" s="111">
        <f>IF(AQ1742="7",BI1742,0)</f>
      </c>
      <c r="AF1742" s="111">
        <f>IF(AQ1742="2",BH1742,0)</f>
      </c>
      <c r="AG1742" s="111">
        <f>IF(AQ1742="2",BI1742,0)</f>
      </c>
      <c r="AH1742" s="111">
        <f>IF(AQ1742="0",BJ1742,0)</f>
      </c>
      <c r="AI1742" s="132" t="s">
        <v>84</v>
      </c>
      <c r="AJ1742" s="111">
        <f>IF(AN1742=0,I1742,0)</f>
      </c>
      <c r="AK1742" s="111">
        <f>IF(AN1742=12,I1742,0)</f>
      </c>
      <c r="AL1742" s="111">
        <f>IF(AN1742=21,I1742,0)</f>
      </c>
      <c r="AN1742" s="111" t="n">
        <v>21</v>
      </c>
      <c r="AO1742" s="111">
        <f>H1742*1</f>
      </c>
      <c r="AP1742" s="111">
        <f>H1742*(1-1)</f>
      </c>
      <c r="AQ1742" s="153" t="s">
        <v>173</v>
      </c>
      <c r="AV1742" s="111">
        <f>AW1742+AX1742</f>
      </c>
      <c r="AW1742" s="111">
        <f>G1742*AO1742</f>
      </c>
      <c r="AX1742" s="111">
        <f>G1742*AP1742</f>
      </c>
      <c r="AY1742" s="153" t="s">
        <v>2657</v>
      </c>
      <c r="AZ1742" s="153" t="s">
        <v>2486</v>
      </c>
      <c r="BA1742" s="132" t="s">
        <v>137</v>
      </c>
      <c r="BC1742" s="111">
        <f>AW1742+AX1742</f>
      </c>
      <c r="BD1742" s="111">
        <f>H1742/(100-BE1742)*100</f>
      </c>
      <c r="BE1742" s="111" t="n">
        <v>0</v>
      </c>
      <c r="BF1742" s="111">
        <f>1742</f>
      </c>
      <c r="BH1742" s="111">
        <f>G1742*AO1742</f>
      </c>
      <c r="BI1742" s="111">
        <f>G1742*AP1742</f>
      </c>
      <c r="BJ1742" s="111">
        <f>G1742*H1742</f>
      </c>
      <c r="BK1742" s="111"/>
      <c r="BL1742" s="111" t="n">
        <v>776</v>
      </c>
      <c r="BW1742" s="111" t="n">
        <v>21</v>
      </c>
      <c r="BX1742" s="14" t="s">
        <v>2734</v>
      </c>
    </row>
    <row r="1743">
      <c r="A1743" s="154"/>
      <c r="B1743" s="155"/>
      <c r="C1743" s="155"/>
      <c r="D1743" s="156" t="s">
        <v>2727</v>
      </c>
      <c r="E1743" s="156" t="s">
        <v>933</v>
      </c>
      <c r="F1743" s="155"/>
      <c r="G1743" s="157" t="n">
        <v>7.72</v>
      </c>
      <c r="H1743" s="158"/>
      <c r="I1743" s="155"/>
      <c r="J1743" s="155"/>
      <c r="K1743" s="146"/>
    </row>
    <row r="1744">
      <c r="A1744" s="154"/>
      <c r="B1744" s="155"/>
      <c r="C1744" s="155"/>
      <c r="D1744" s="156" t="s">
        <v>2735</v>
      </c>
      <c r="E1744" s="156" t="s">
        <v>1730</v>
      </c>
      <c r="F1744" s="155"/>
      <c r="G1744" s="157" t="n">
        <v>0.772</v>
      </c>
      <c r="H1744" s="158"/>
      <c r="I1744" s="155"/>
      <c r="J1744" s="155"/>
      <c r="K1744" s="146"/>
    </row>
    <row r="1745">
      <c r="A1745" s="9" t="s">
        <v>2736</v>
      </c>
      <c r="B1745" s="10" t="s">
        <v>84</v>
      </c>
      <c r="C1745" s="10" t="s">
        <v>2737</v>
      </c>
      <c r="D1745" s="14" t="s">
        <v>2738</v>
      </c>
      <c r="E1745" s="10"/>
      <c r="F1745" s="10" t="s">
        <v>145</v>
      </c>
      <c r="G1745" s="111" t="n">
        <v>11</v>
      </c>
      <c r="H1745" s="152" t="n">
        <v>0</v>
      </c>
      <c r="I1745" s="111">
        <f>G1745*H1745</f>
      </c>
      <c r="J1745" s="153" t="s">
        <v>134</v>
      </c>
      <c r="K1745" s="146"/>
      <c r="Z1745" s="111">
        <f>IF(AQ1745="5",BJ1745,0)</f>
      </c>
      <c r="AB1745" s="111">
        <f>IF(AQ1745="1",BH1745,0)</f>
      </c>
      <c r="AC1745" s="111">
        <f>IF(AQ1745="1",BI1745,0)</f>
      </c>
      <c r="AD1745" s="111">
        <f>IF(AQ1745="7",BH1745,0)</f>
      </c>
      <c r="AE1745" s="111">
        <f>IF(AQ1745="7",BI1745,0)</f>
      </c>
      <c r="AF1745" s="111">
        <f>IF(AQ1745="2",BH1745,0)</f>
      </c>
      <c r="AG1745" s="111">
        <f>IF(AQ1745="2",BI1745,0)</f>
      </c>
      <c r="AH1745" s="111">
        <f>IF(AQ1745="0",BJ1745,0)</f>
      </c>
      <c r="AI1745" s="132" t="s">
        <v>84</v>
      </c>
      <c r="AJ1745" s="111">
        <f>IF(AN1745=0,I1745,0)</f>
      </c>
      <c r="AK1745" s="111">
        <f>IF(AN1745=12,I1745,0)</f>
      </c>
      <c r="AL1745" s="111">
        <f>IF(AN1745=21,I1745,0)</f>
      </c>
      <c r="AN1745" s="111" t="n">
        <v>21</v>
      </c>
      <c r="AO1745" s="111">
        <f>H1745*0.972861272</f>
      </c>
      <c r="AP1745" s="111">
        <f>H1745*(1-0.972861272)</f>
      </c>
      <c r="AQ1745" s="153" t="s">
        <v>173</v>
      </c>
      <c r="AV1745" s="111">
        <f>AW1745+AX1745</f>
      </c>
      <c r="AW1745" s="111">
        <f>G1745*AO1745</f>
      </c>
      <c r="AX1745" s="111">
        <f>G1745*AP1745</f>
      </c>
      <c r="AY1745" s="153" t="s">
        <v>2657</v>
      </c>
      <c r="AZ1745" s="153" t="s">
        <v>2486</v>
      </c>
      <c r="BA1745" s="132" t="s">
        <v>137</v>
      </c>
      <c r="BC1745" s="111">
        <f>AW1745+AX1745</f>
      </c>
      <c r="BD1745" s="111">
        <f>H1745/(100-BE1745)*100</f>
      </c>
      <c r="BE1745" s="111" t="n">
        <v>0</v>
      </c>
      <c r="BF1745" s="111">
        <f>1745</f>
      </c>
      <c r="BH1745" s="111">
        <f>G1745*AO1745</f>
      </c>
      <c r="BI1745" s="111">
        <f>G1745*AP1745</f>
      </c>
      <c r="BJ1745" s="111">
        <f>G1745*H1745</f>
      </c>
      <c r="BK1745" s="111"/>
      <c r="BL1745" s="111" t="n">
        <v>776</v>
      </c>
      <c r="BW1745" s="111" t="n">
        <v>21</v>
      </c>
      <c r="BX1745" s="14" t="s">
        <v>2738</v>
      </c>
    </row>
    <row r="1746" customHeight="true" ht="13.5">
      <c r="A1746" s="159"/>
      <c r="C1746" s="160" t="s">
        <v>146</v>
      </c>
      <c r="D1746" s="161" t="s">
        <v>2739</v>
      </c>
      <c r="E1746" s="156"/>
      <c r="F1746" s="156"/>
      <c r="G1746" s="156"/>
      <c r="H1746" s="162"/>
      <c r="I1746" s="156"/>
      <c r="J1746" s="156"/>
      <c r="K1746" s="163"/>
    </row>
    <row r="1747">
      <c r="A1747" s="154"/>
      <c r="B1747" s="155"/>
      <c r="C1747" s="155"/>
      <c r="D1747" s="156" t="s">
        <v>128</v>
      </c>
      <c r="E1747" s="156" t="s">
        <v>2740</v>
      </c>
      <c r="F1747" s="155"/>
      <c r="G1747" s="157" t="n">
        <v>11</v>
      </c>
      <c r="H1747" s="158"/>
      <c r="I1747" s="155"/>
      <c r="J1747" s="155"/>
      <c r="K1747" s="146"/>
    </row>
    <row r="1748">
      <c r="A1748" s="9" t="s">
        <v>2741</v>
      </c>
      <c r="B1748" s="10" t="s">
        <v>84</v>
      </c>
      <c r="C1748" s="10" t="s">
        <v>2742</v>
      </c>
      <c r="D1748" s="14" t="s">
        <v>2743</v>
      </c>
      <c r="E1748" s="10"/>
      <c r="F1748" s="10" t="s">
        <v>282</v>
      </c>
      <c r="G1748" s="111" t="n">
        <v>9.55</v>
      </c>
      <c r="H1748" s="152" t="n">
        <v>0</v>
      </c>
      <c r="I1748" s="111">
        <f>G1748*H1748</f>
      </c>
      <c r="J1748" s="153" t="s">
        <v>134</v>
      </c>
      <c r="K1748" s="146"/>
      <c r="Z1748" s="111">
        <f>IF(AQ1748="5",BJ1748,0)</f>
      </c>
      <c r="AB1748" s="111">
        <f>IF(AQ1748="1",BH1748,0)</f>
      </c>
      <c r="AC1748" s="111">
        <f>IF(AQ1748="1",BI1748,0)</f>
      </c>
      <c r="AD1748" s="111">
        <f>IF(AQ1748="7",BH1748,0)</f>
      </c>
      <c r="AE1748" s="111">
        <f>IF(AQ1748="7",BI1748,0)</f>
      </c>
      <c r="AF1748" s="111">
        <f>IF(AQ1748="2",BH1748,0)</f>
      </c>
      <c r="AG1748" s="111">
        <f>IF(AQ1748="2",BI1748,0)</f>
      </c>
      <c r="AH1748" s="111">
        <f>IF(AQ1748="0",BJ1748,0)</f>
      </c>
      <c r="AI1748" s="132" t="s">
        <v>84</v>
      </c>
      <c r="AJ1748" s="111">
        <f>IF(AN1748=0,I1748,0)</f>
      </c>
      <c r="AK1748" s="111">
        <f>IF(AN1748=12,I1748,0)</f>
      </c>
      <c r="AL1748" s="111">
        <f>IF(AN1748=21,I1748,0)</f>
      </c>
      <c r="AN1748" s="111" t="n">
        <v>21</v>
      </c>
      <c r="AO1748" s="111">
        <f>H1748*0.578208556</f>
      </c>
      <c r="AP1748" s="111">
        <f>H1748*(1-0.578208556)</f>
      </c>
      <c r="AQ1748" s="153" t="s">
        <v>173</v>
      </c>
      <c r="AV1748" s="111">
        <f>AW1748+AX1748</f>
      </c>
      <c r="AW1748" s="111">
        <f>G1748*AO1748</f>
      </c>
      <c r="AX1748" s="111">
        <f>G1748*AP1748</f>
      </c>
      <c r="AY1748" s="153" t="s">
        <v>2657</v>
      </c>
      <c r="AZ1748" s="153" t="s">
        <v>2486</v>
      </c>
      <c r="BA1748" s="132" t="s">
        <v>137</v>
      </c>
      <c r="BC1748" s="111">
        <f>AW1748+AX1748</f>
      </c>
      <c r="BD1748" s="111">
        <f>H1748/(100-BE1748)*100</f>
      </c>
      <c r="BE1748" s="111" t="n">
        <v>0</v>
      </c>
      <c r="BF1748" s="111">
        <f>1748</f>
      </c>
      <c r="BH1748" s="111">
        <f>G1748*AO1748</f>
      </c>
      <c r="BI1748" s="111">
        <f>G1748*AP1748</f>
      </c>
      <c r="BJ1748" s="111">
        <f>G1748*H1748</f>
      </c>
      <c r="BK1748" s="111"/>
      <c r="BL1748" s="111" t="n">
        <v>776</v>
      </c>
      <c r="BW1748" s="111" t="n">
        <v>21</v>
      </c>
      <c r="BX1748" s="14" t="s">
        <v>2743</v>
      </c>
    </row>
    <row r="1749" customHeight="true" ht="13.5">
      <c r="A1749" s="159"/>
      <c r="C1749" s="160" t="s">
        <v>146</v>
      </c>
      <c r="D1749" s="161" t="s">
        <v>2744</v>
      </c>
      <c r="E1749" s="156"/>
      <c r="F1749" s="156"/>
      <c r="G1749" s="156"/>
      <c r="H1749" s="162"/>
      <c r="I1749" s="156"/>
      <c r="J1749" s="156"/>
      <c r="K1749" s="163"/>
    </row>
    <row r="1750">
      <c r="A1750" s="154"/>
      <c r="B1750" s="155"/>
      <c r="C1750" s="155"/>
      <c r="D1750" s="156" t="s">
        <v>2745</v>
      </c>
      <c r="E1750" s="156" t="s">
        <v>2746</v>
      </c>
      <c r="F1750" s="155"/>
      <c r="G1750" s="157" t="n">
        <v>0.9</v>
      </c>
      <c r="H1750" s="158"/>
      <c r="I1750" s="155"/>
      <c r="J1750" s="155"/>
      <c r="K1750" s="146"/>
    </row>
    <row r="1751">
      <c r="A1751" s="154"/>
      <c r="B1751" s="155"/>
      <c r="C1751" s="155"/>
      <c r="D1751" s="156" t="s">
        <v>2747</v>
      </c>
      <c r="E1751" s="156" t="s">
        <v>2748</v>
      </c>
      <c r="F1751" s="155"/>
      <c r="G1751" s="157" t="n">
        <v>3.05</v>
      </c>
      <c r="H1751" s="158"/>
      <c r="I1751" s="155"/>
      <c r="J1751" s="155"/>
      <c r="K1751" s="146"/>
    </row>
    <row r="1752">
      <c r="A1752" s="154"/>
      <c r="B1752" s="155"/>
      <c r="C1752" s="155"/>
      <c r="D1752" s="156" t="s">
        <v>2749</v>
      </c>
      <c r="E1752" s="156" t="s">
        <v>993</v>
      </c>
      <c r="F1752" s="155"/>
      <c r="G1752" s="157" t="n">
        <v>4</v>
      </c>
      <c r="H1752" s="158"/>
      <c r="I1752" s="155"/>
      <c r="J1752" s="155"/>
      <c r="K1752" s="146"/>
    </row>
    <row r="1753">
      <c r="A1753" s="154"/>
      <c r="B1753" s="155"/>
      <c r="C1753" s="155"/>
      <c r="D1753" s="156" t="s">
        <v>2750</v>
      </c>
      <c r="E1753" s="156" t="s">
        <v>2751</v>
      </c>
      <c r="F1753" s="155"/>
      <c r="G1753" s="157" t="n">
        <v>1.6</v>
      </c>
      <c r="H1753" s="158"/>
      <c r="I1753" s="155"/>
      <c r="J1753" s="155"/>
      <c r="K1753" s="146"/>
    </row>
    <row r="1754">
      <c r="A1754" s="9" t="s">
        <v>2752</v>
      </c>
      <c r="B1754" s="10" t="s">
        <v>84</v>
      </c>
      <c r="C1754" s="10" t="s">
        <v>2753</v>
      </c>
      <c r="D1754" s="14" t="s">
        <v>2754</v>
      </c>
      <c r="E1754" s="10"/>
      <c r="F1754" s="10" t="s">
        <v>61</v>
      </c>
      <c r="G1754" s="111" t="n">
        <v>0.93</v>
      </c>
      <c r="H1754" s="152" t="n">
        <v>0</v>
      </c>
      <c r="I1754" s="111">
        <f>G1754*H1754</f>
      </c>
      <c r="J1754" s="153" t="s">
        <v>134</v>
      </c>
      <c r="K1754" s="146"/>
      <c r="Z1754" s="111">
        <f>IF(AQ1754="5",BJ1754,0)</f>
      </c>
      <c r="AB1754" s="111">
        <f>IF(AQ1754="1",BH1754,0)</f>
      </c>
      <c r="AC1754" s="111">
        <f>IF(AQ1754="1",BI1754,0)</f>
      </c>
      <c r="AD1754" s="111">
        <f>IF(AQ1754="7",BH1754,0)</f>
      </c>
      <c r="AE1754" s="111">
        <f>IF(AQ1754="7",BI1754,0)</f>
      </c>
      <c r="AF1754" s="111">
        <f>IF(AQ1754="2",BH1754,0)</f>
      </c>
      <c r="AG1754" s="111">
        <f>IF(AQ1754="2",BI1754,0)</f>
      </c>
      <c r="AH1754" s="111">
        <f>IF(AQ1754="0",BJ1754,0)</f>
      </c>
      <c r="AI1754" s="132" t="s">
        <v>84</v>
      </c>
      <c r="AJ1754" s="111">
        <f>IF(AN1754=0,I1754,0)</f>
      </c>
      <c r="AK1754" s="111">
        <f>IF(AN1754=12,I1754,0)</f>
      </c>
      <c r="AL1754" s="111">
        <f>IF(AN1754=21,I1754,0)</f>
      </c>
      <c r="AN1754" s="111" t="n">
        <v>21</v>
      </c>
      <c r="AO1754" s="111">
        <f>H1754*0</f>
      </c>
      <c r="AP1754" s="111">
        <f>H1754*(1-0)</f>
      </c>
      <c r="AQ1754" s="153" t="s">
        <v>156</v>
      </c>
      <c r="AV1754" s="111">
        <f>AW1754+AX1754</f>
      </c>
      <c r="AW1754" s="111">
        <f>G1754*AO1754</f>
      </c>
      <c r="AX1754" s="111">
        <f>G1754*AP1754</f>
      </c>
      <c r="AY1754" s="153" t="s">
        <v>2657</v>
      </c>
      <c r="AZ1754" s="153" t="s">
        <v>2486</v>
      </c>
      <c r="BA1754" s="132" t="s">
        <v>137</v>
      </c>
      <c r="BC1754" s="111">
        <f>AW1754+AX1754</f>
      </c>
      <c r="BD1754" s="111">
        <f>H1754/(100-BE1754)*100</f>
      </c>
      <c r="BE1754" s="111" t="n">
        <v>0</v>
      </c>
      <c r="BF1754" s="111">
        <f>1754</f>
      </c>
      <c r="BH1754" s="111">
        <f>G1754*AO1754</f>
      </c>
      <c r="BI1754" s="111">
        <f>G1754*AP1754</f>
      </c>
      <c r="BJ1754" s="111">
        <f>G1754*H1754</f>
      </c>
      <c r="BK1754" s="111"/>
      <c r="BL1754" s="111" t="n">
        <v>776</v>
      </c>
      <c r="BW1754" s="111" t="n">
        <v>21</v>
      </c>
      <c r="BX1754" s="14" t="s">
        <v>2754</v>
      </c>
    </row>
    <row r="1755">
      <c r="A1755" s="9" t="s">
        <v>2755</v>
      </c>
      <c r="B1755" s="10" t="s">
        <v>84</v>
      </c>
      <c r="C1755" s="10" t="s">
        <v>2756</v>
      </c>
      <c r="D1755" s="14" t="s">
        <v>2757</v>
      </c>
      <c r="E1755" s="10"/>
      <c r="F1755" s="10" t="s">
        <v>61</v>
      </c>
      <c r="G1755" s="111" t="n">
        <v>0.58</v>
      </c>
      <c r="H1755" s="152" t="n">
        <v>0</v>
      </c>
      <c r="I1755" s="111">
        <f>G1755*H1755</f>
      </c>
      <c r="J1755" s="153" t="s">
        <v>134</v>
      </c>
      <c r="K1755" s="146"/>
      <c r="Z1755" s="111">
        <f>IF(AQ1755="5",BJ1755,0)</f>
      </c>
      <c r="AB1755" s="111">
        <f>IF(AQ1755="1",BH1755,0)</f>
      </c>
      <c r="AC1755" s="111">
        <f>IF(AQ1755="1",BI1755,0)</f>
      </c>
      <c r="AD1755" s="111">
        <f>IF(AQ1755="7",BH1755,0)</f>
      </c>
      <c r="AE1755" s="111">
        <f>IF(AQ1755="7",BI1755,0)</f>
      </c>
      <c r="AF1755" s="111">
        <f>IF(AQ1755="2",BH1755,0)</f>
      </c>
      <c r="AG1755" s="111">
        <f>IF(AQ1755="2",BI1755,0)</f>
      </c>
      <c r="AH1755" s="111">
        <f>IF(AQ1755="0",BJ1755,0)</f>
      </c>
      <c r="AI1755" s="132" t="s">
        <v>84</v>
      </c>
      <c r="AJ1755" s="111">
        <f>IF(AN1755=0,I1755,0)</f>
      </c>
      <c r="AK1755" s="111">
        <f>IF(AN1755=12,I1755,0)</f>
      </c>
      <c r="AL1755" s="111">
        <f>IF(AN1755=21,I1755,0)</f>
      </c>
      <c r="AN1755" s="111" t="n">
        <v>21</v>
      </c>
      <c r="AO1755" s="111">
        <f>H1755*0</f>
      </c>
      <c r="AP1755" s="111">
        <f>H1755*(1-0)</f>
      </c>
      <c r="AQ1755" s="153" t="s">
        <v>156</v>
      </c>
      <c r="AV1755" s="111">
        <f>AW1755+AX1755</f>
      </c>
      <c r="AW1755" s="111">
        <f>G1755*AO1755</f>
      </c>
      <c r="AX1755" s="111">
        <f>G1755*AP1755</f>
      </c>
      <c r="AY1755" s="153" t="s">
        <v>2657</v>
      </c>
      <c r="AZ1755" s="153" t="s">
        <v>2486</v>
      </c>
      <c r="BA1755" s="132" t="s">
        <v>137</v>
      </c>
      <c r="BC1755" s="111">
        <f>AW1755+AX1755</f>
      </c>
      <c r="BD1755" s="111">
        <f>H1755/(100-BE1755)*100</f>
      </c>
      <c r="BE1755" s="111" t="n">
        <v>0</v>
      </c>
      <c r="BF1755" s="111">
        <f>1755</f>
      </c>
      <c r="BH1755" s="111">
        <f>G1755*AO1755</f>
      </c>
      <c r="BI1755" s="111">
        <f>G1755*AP1755</f>
      </c>
      <c r="BJ1755" s="111">
        <f>G1755*H1755</f>
      </c>
      <c r="BK1755" s="111"/>
      <c r="BL1755" s="111" t="n">
        <v>776</v>
      </c>
      <c r="BW1755" s="111" t="n">
        <v>21</v>
      </c>
      <c r="BX1755" s="14" t="s">
        <v>2757</v>
      </c>
    </row>
    <row r="1756">
      <c r="A1756" s="147" t="s">
        <v>4</v>
      </c>
      <c r="B1756" s="148" t="s">
        <v>84</v>
      </c>
      <c r="C1756" s="148" t="s">
        <v>2758</v>
      </c>
      <c r="D1756" s="149" t="s">
        <v>2759</v>
      </c>
      <c r="E1756" s="148"/>
      <c r="F1756" s="150" t="s">
        <v>79</v>
      </c>
      <c r="G1756" s="150" t="s">
        <v>79</v>
      </c>
      <c r="H1756" s="151" t="s">
        <v>79</v>
      </c>
      <c r="I1756" s="117">
        <f>SUM(I1757:I1884)</f>
      </c>
      <c r="J1756" s="132" t="s">
        <v>4</v>
      </c>
      <c r="K1756" s="146"/>
      <c r="AI1756" s="132" t="s">
        <v>84</v>
      </c>
      <c r="AS1756" s="117">
        <f>SUM(AJ1757:AJ1884)</f>
      </c>
      <c r="AT1756" s="117">
        <f>SUM(AK1757:AK1884)</f>
      </c>
      <c r="AU1756" s="117">
        <f>SUM(AL1757:AL1884)</f>
      </c>
    </row>
    <row r="1757">
      <c r="A1757" s="9" t="s">
        <v>2760</v>
      </c>
      <c r="B1757" s="10" t="s">
        <v>84</v>
      </c>
      <c r="C1757" s="10" t="s">
        <v>2761</v>
      </c>
      <c r="D1757" s="14" t="s">
        <v>2762</v>
      </c>
      <c r="E1757" s="10"/>
      <c r="F1757" s="10" t="s">
        <v>145</v>
      </c>
      <c r="G1757" s="111" t="n">
        <v>156.794</v>
      </c>
      <c r="H1757" s="152" t="n">
        <v>0</v>
      </c>
      <c r="I1757" s="111">
        <f>G1757*H1757</f>
      </c>
      <c r="J1757" s="153" t="s">
        <v>134</v>
      </c>
      <c r="K1757" s="146"/>
      <c r="Z1757" s="111">
        <f>IF(AQ1757="5",BJ1757,0)</f>
      </c>
      <c r="AB1757" s="111">
        <f>IF(AQ1757="1",BH1757,0)</f>
      </c>
      <c r="AC1757" s="111">
        <f>IF(AQ1757="1",BI1757,0)</f>
      </c>
      <c r="AD1757" s="111">
        <f>IF(AQ1757="7",BH1757,0)</f>
      </c>
      <c r="AE1757" s="111">
        <f>IF(AQ1757="7",BI1757,0)</f>
      </c>
      <c r="AF1757" s="111">
        <f>IF(AQ1757="2",BH1757,0)</f>
      </c>
      <c r="AG1757" s="111">
        <f>IF(AQ1757="2",BI1757,0)</f>
      </c>
      <c r="AH1757" s="111">
        <f>IF(AQ1757="0",BJ1757,0)</f>
      </c>
      <c r="AI1757" s="132" t="s">
        <v>84</v>
      </c>
      <c r="AJ1757" s="111">
        <f>IF(AN1757=0,I1757,0)</f>
      </c>
      <c r="AK1757" s="111">
        <f>IF(AN1757=12,I1757,0)</f>
      </c>
      <c r="AL1757" s="111">
        <f>IF(AN1757=21,I1757,0)</f>
      </c>
      <c r="AN1757" s="111" t="n">
        <v>21</v>
      </c>
      <c r="AO1757" s="111">
        <f>H1757*0.4773653</f>
      </c>
      <c r="AP1757" s="111">
        <f>H1757*(1-0.4773653)</f>
      </c>
      <c r="AQ1757" s="153" t="s">
        <v>173</v>
      </c>
      <c r="AV1757" s="111">
        <f>AW1757+AX1757</f>
      </c>
      <c r="AW1757" s="111">
        <f>G1757*AO1757</f>
      </c>
      <c r="AX1757" s="111">
        <f>G1757*AP1757</f>
      </c>
      <c r="AY1757" s="153" t="s">
        <v>2763</v>
      </c>
      <c r="AZ1757" s="153" t="s">
        <v>2764</v>
      </c>
      <c r="BA1757" s="132" t="s">
        <v>137</v>
      </c>
      <c r="BC1757" s="111">
        <f>AW1757+AX1757</f>
      </c>
      <c r="BD1757" s="111">
        <f>H1757/(100-BE1757)*100</f>
      </c>
      <c r="BE1757" s="111" t="n">
        <v>0</v>
      </c>
      <c r="BF1757" s="111">
        <f>1757</f>
      </c>
      <c r="BH1757" s="111">
        <f>G1757*AO1757</f>
      </c>
      <c r="BI1757" s="111">
        <f>G1757*AP1757</f>
      </c>
      <c r="BJ1757" s="111">
        <f>G1757*H1757</f>
      </c>
      <c r="BK1757" s="111"/>
      <c r="BL1757" s="111" t="n">
        <v>781</v>
      </c>
      <c r="BW1757" s="111" t="n">
        <v>21</v>
      </c>
      <c r="BX1757" s="14" t="s">
        <v>2762</v>
      </c>
    </row>
    <row r="1758" customHeight="true" ht="13.5">
      <c r="A1758" s="159"/>
      <c r="C1758" s="160" t="s">
        <v>146</v>
      </c>
      <c r="D1758" s="161" t="s">
        <v>2765</v>
      </c>
      <c r="E1758" s="156"/>
      <c r="F1758" s="156"/>
      <c r="G1758" s="156"/>
      <c r="H1758" s="162"/>
      <c r="I1758" s="156"/>
      <c r="J1758" s="156"/>
      <c r="K1758" s="163"/>
    </row>
    <row r="1759">
      <c r="A1759" s="9" t="s">
        <v>2766</v>
      </c>
      <c r="B1759" s="10" t="s">
        <v>84</v>
      </c>
      <c r="C1759" s="10" t="s">
        <v>2767</v>
      </c>
      <c r="D1759" s="14" t="s">
        <v>2768</v>
      </c>
      <c r="E1759" s="10"/>
      <c r="F1759" s="10" t="s">
        <v>145</v>
      </c>
      <c r="G1759" s="111" t="n">
        <v>156.794</v>
      </c>
      <c r="H1759" s="152" t="n">
        <v>0</v>
      </c>
      <c r="I1759" s="111">
        <f>G1759*H1759</f>
      </c>
      <c r="J1759" s="153" t="s">
        <v>134</v>
      </c>
      <c r="K1759" s="146"/>
      <c r="Z1759" s="111">
        <f>IF(AQ1759="5",BJ1759,0)</f>
      </c>
      <c r="AB1759" s="111">
        <f>IF(AQ1759="1",BH1759,0)</f>
      </c>
      <c r="AC1759" s="111">
        <f>IF(AQ1759="1",BI1759,0)</f>
      </c>
      <c r="AD1759" s="111">
        <f>IF(AQ1759="7",BH1759,0)</f>
      </c>
      <c r="AE1759" s="111">
        <f>IF(AQ1759="7",BI1759,0)</f>
      </c>
      <c r="AF1759" s="111">
        <f>IF(AQ1759="2",BH1759,0)</f>
      </c>
      <c r="AG1759" s="111">
        <f>IF(AQ1759="2",BI1759,0)</f>
      </c>
      <c r="AH1759" s="111">
        <f>IF(AQ1759="0",BJ1759,0)</f>
      </c>
      <c r="AI1759" s="132" t="s">
        <v>84</v>
      </c>
      <c r="AJ1759" s="111">
        <f>IF(AN1759=0,I1759,0)</f>
      </c>
      <c r="AK1759" s="111">
        <f>IF(AN1759=12,I1759,0)</f>
      </c>
      <c r="AL1759" s="111">
        <f>IF(AN1759=21,I1759,0)</f>
      </c>
      <c r="AN1759" s="111" t="n">
        <v>21</v>
      </c>
      <c r="AO1759" s="111">
        <f>H1759*0.224663542</f>
      </c>
      <c r="AP1759" s="111">
        <f>H1759*(1-0.224663542)</f>
      </c>
      <c r="AQ1759" s="153" t="s">
        <v>173</v>
      </c>
      <c r="AV1759" s="111">
        <f>AW1759+AX1759</f>
      </c>
      <c r="AW1759" s="111">
        <f>G1759*AO1759</f>
      </c>
      <c r="AX1759" s="111">
        <f>G1759*AP1759</f>
      </c>
      <c r="AY1759" s="153" t="s">
        <v>2763</v>
      </c>
      <c r="AZ1759" s="153" t="s">
        <v>2764</v>
      </c>
      <c r="BA1759" s="132" t="s">
        <v>137</v>
      </c>
      <c r="BC1759" s="111">
        <f>AW1759+AX1759</f>
      </c>
      <c r="BD1759" s="111">
        <f>H1759/(100-BE1759)*100</f>
      </c>
      <c r="BE1759" s="111" t="n">
        <v>0</v>
      </c>
      <c r="BF1759" s="111">
        <f>1759</f>
      </c>
      <c r="BH1759" s="111">
        <f>G1759*AO1759</f>
      </c>
      <c r="BI1759" s="111">
        <f>G1759*AP1759</f>
      </c>
      <c r="BJ1759" s="111">
        <f>G1759*H1759</f>
      </c>
      <c r="BK1759" s="111"/>
      <c r="BL1759" s="111" t="n">
        <v>781</v>
      </c>
      <c r="BW1759" s="111" t="n">
        <v>21</v>
      </c>
      <c r="BX1759" s="14" t="s">
        <v>2768</v>
      </c>
    </row>
    <row r="1760">
      <c r="A1760" s="154"/>
      <c r="B1760" s="155"/>
      <c r="C1760" s="155"/>
      <c r="D1760" s="156" t="s">
        <v>1026</v>
      </c>
      <c r="E1760" s="156" t="s">
        <v>864</v>
      </c>
      <c r="F1760" s="155"/>
      <c r="G1760" s="157" t="n">
        <v>25.896</v>
      </c>
      <c r="H1760" s="158"/>
      <c r="I1760" s="155"/>
      <c r="J1760" s="155"/>
      <c r="K1760" s="146"/>
    </row>
    <row r="1761">
      <c r="A1761" s="154"/>
      <c r="B1761" s="155"/>
      <c r="C1761" s="155"/>
      <c r="D1761" s="156" t="s">
        <v>1027</v>
      </c>
      <c r="E1761" s="156" t="s">
        <v>566</v>
      </c>
      <c r="F1761" s="155"/>
      <c r="G1761" s="157" t="n">
        <v>25.416</v>
      </c>
      <c r="H1761" s="158"/>
      <c r="I1761" s="155"/>
      <c r="J1761" s="155"/>
      <c r="K1761" s="146"/>
    </row>
    <row r="1762">
      <c r="A1762" s="154"/>
      <c r="B1762" s="155"/>
      <c r="C1762" s="155"/>
      <c r="D1762" s="156" t="s">
        <v>1028</v>
      </c>
      <c r="E1762" s="156" t="s">
        <v>865</v>
      </c>
      <c r="F1762" s="155"/>
      <c r="G1762" s="157" t="n">
        <v>18.342</v>
      </c>
      <c r="H1762" s="158"/>
      <c r="I1762" s="155"/>
      <c r="J1762" s="155"/>
      <c r="K1762" s="146"/>
    </row>
    <row r="1763">
      <c r="A1763" s="154"/>
      <c r="B1763" s="155"/>
      <c r="C1763" s="155"/>
      <c r="D1763" s="156" t="s">
        <v>1029</v>
      </c>
      <c r="E1763" s="156" t="s">
        <v>1030</v>
      </c>
      <c r="F1763" s="155"/>
      <c r="G1763" s="157" t="n">
        <v>17.236</v>
      </c>
      <c r="H1763" s="158"/>
      <c r="I1763" s="155"/>
      <c r="J1763" s="155"/>
      <c r="K1763" s="146"/>
    </row>
    <row r="1764">
      <c r="A1764" s="154"/>
      <c r="B1764" s="155"/>
      <c r="C1764" s="155"/>
      <c r="D1764" s="156" t="s">
        <v>1031</v>
      </c>
      <c r="E1764" s="156" t="s">
        <v>1032</v>
      </c>
      <c r="F1764" s="155"/>
      <c r="G1764" s="157" t="n">
        <v>25.429</v>
      </c>
      <c r="H1764" s="158"/>
      <c r="I1764" s="155"/>
      <c r="J1764" s="155"/>
      <c r="K1764" s="146"/>
    </row>
    <row r="1765">
      <c r="A1765" s="154"/>
      <c r="B1765" s="155"/>
      <c r="C1765" s="155"/>
      <c r="D1765" s="156" t="s">
        <v>1033</v>
      </c>
      <c r="E1765" s="156" t="s">
        <v>1034</v>
      </c>
      <c r="F1765" s="155"/>
      <c r="G1765" s="157" t="n">
        <v>12.973</v>
      </c>
      <c r="H1765" s="158"/>
      <c r="I1765" s="155"/>
      <c r="J1765" s="155"/>
      <c r="K1765" s="146"/>
    </row>
    <row r="1766">
      <c r="A1766" s="154"/>
      <c r="B1766" s="155"/>
      <c r="C1766" s="155"/>
      <c r="D1766" s="156" t="s">
        <v>1035</v>
      </c>
      <c r="E1766" s="156" t="s">
        <v>1008</v>
      </c>
      <c r="F1766" s="155"/>
      <c r="G1766" s="157" t="n">
        <v>15.441</v>
      </c>
      <c r="H1766" s="158"/>
      <c r="I1766" s="155"/>
      <c r="J1766" s="155"/>
      <c r="K1766" s="146"/>
    </row>
    <row r="1767">
      <c r="A1767" s="154"/>
      <c r="B1767" s="155"/>
      <c r="C1767" s="155"/>
      <c r="D1767" s="156" t="s">
        <v>1036</v>
      </c>
      <c r="E1767" s="156" t="s">
        <v>1010</v>
      </c>
      <c r="F1767" s="155"/>
      <c r="G1767" s="157" t="n">
        <v>16.061</v>
      </c>
      <c r="H1767" s="158"/>
      <c r="I1767" s="155"/>
      <c r="J1767" s="155"/>
      <c r="K1767" s="146"/>
    </row>
    <row r="1768">
      <c r="A1768" s="9" t="s">
        <v>2769</v>
      </c>
      <c r="B1768" s="10" t="s">
        <v>84</v>
      </c>
      <c r="C1768" s="10" t="s">
        <v>2770</v>
      </c>
      <c r="D1768" s="14" t="s">
        <v>2771</v>
      </c>
      <c r="E1768" s="10"/>
      <c r="F1768" s="10" t="s">
        <v>145</v>
      </c>
      <c r="G1768" s="111" t="n">
        <v>51.312</v>
      </c>
      <c r="H1768" s="152" t="n">
        <v>0</v>
      </c>
      <c r="I1768" s="111">
        <f>G1768*H1768</f>
      </c>
      <c r="J1768" s="153" t="s">
        <v>134</v>
      </c>
      <c r="K1768" s="146"/>
      <c r="Z1768" s="111">
        <f>IF(AQ1768="5",BJ1768,0)</f>
      </c>
      <c r="AB1768" s="111">
        <f>IF(AQ1768="1",BH1768,0)</f>
      </c>
      <c r="AC1768" s="111">
        <f>IF(AQ1768="1",BI1768,0)</f>
      </c>
      <c r="AD1768" s="111">
        <f>IF(AQ1768="7",BH1768,0)</f>
      </c>
      <c r="AE1768" s="111">
        <f>IF(AQ1768="7",BI1768,0)</f>
      </c>
      <c r="AF1768" s="111">
        <f>IF(AQ1768="2",BH1768,0)</f>
      </c>
      <c r="AG1768" s="111">
        <f>IF(AQ1768="2",BI1768,0)</f>
      </c>
      <c r="AH1768" s="111">
        <f>IF(AQ1768="0",BJ1768,0)</f>
      </c>
      <c r="AI1768" s="132" t="s">
        <v>84</v>
      </c>
      <c r="AJ1768" s="111">
        <f>IF(AN1768=0,I1768,0)</f>
      </c>
      <c r="AK1768" s="111">
        <f>IF(AN1768=12,I1768,0)</f>
      </c>
      <c r="AL1768" s="111">
        <f>IF(AN1768=21,I1768,0)</f>
      </c>
      <c r="AN1768" s="111" t="n">
        <v>21</v>
      </c>
      <c r="AO1768" s="111">
        <f>H1768*0</f>
      </c>
      <c r="AP1768" s="111">
        <f>H1768*(1-0)</f>
      </c>
      <c r="AQ1768" s="153" t="s">
        <v>173</v>
      </c>
      <c r="AV1768" s="111">
        <f>AW1768+AX1768</f>
      </c>
      <c r="AW1768" s="111">
        <f>G1768*AO1768</f>
      </c>
      <c r="AX1768" s="111">
        <f>G1768*AP1768</f>
      </c>
      <c r="AY1768" s="153" t="s">
        <v>2763</v>
      </c>
      <c r="AZ1768" s="153" t="s">
        <v>2764</v>
      </c>
      <c r="BA1768" s="132" t="s">
        <v>137</v>
      </c>
      <c r="BC1768" s="111">
        <f>AW1768+AX1768</f>
      </c>
      <c r="BD1768" s="111">
        <f>H1768/(100-BE1768)*100</f>
      </c>
      <c r="BE1768" s="111" t="n">
        <v>0</v>
      </c>
      <c r="BF1768" s="111">
        <f>1768</f>
      </c>
      <c r="BH1768" s="111">
        <f>G1768*AO1768</f>
      </c>
      <c r="BI1768" s="111">
        <f>G1768*AP1768</f>
      </c>
      <c r="BJ1768" s="111">
        <f>G1768*H1768</f>
      </c>
      <c r="BK1768" s="111"/>
      <c r="BL1768" s="111" t="n">
        <v>781</v>
      </c>
      <c r="BW1768" s="111" t="n">
        <v>21</v>
      </c>
      <c r="BX1768" s="14" t="s">
        <v>2771</v>
      </c>
    </row>
    <row r="1769" customHeight="true" ht="13.5">
      <c r="A1769" s="159"/>
      <c r="C1769" s="160" t="s">
        <v>146</v>
      </c>
      <c r="D1769" s="161" t="s">
        <v>1856</v>
      </c>
      <c r="E1769" s="156"/>
      <c r="F1769" s="156"/>
      <c r="G1769" s="156"/>
      <c r="H1769" s="162"/>
      <c r="I1769" s="156"/>
      <c r="J1769" s="156"/>
      <c r="K1769" s="163"/>
    </row>
    <row r="1770">
      <c r="A1770" s="154"/>
      <c r="B1770" s="155"/>
      <c r="C1770" s="155"/>
      <c r="D1770" s="156" t="s">
        <v>1026</v>
      </c>
      <c r="E1770" s="156" t="s">
        <v>864</v>
      </c>
      <c r="F1770" s="155"/>
      <c r="G1770" s="157" t="n">
        <v>25.896</v>
      </c>
      <c r="H1770" s="158"/>
      <c r="I1770" s="155"/>
      <c r="J1770" s="155"/>
      <c r="K1770" s="146"/>
    </row>
    <row r="1771">
      <c r="A1771" s="154"/>
      <c r="B1771" s="155"/>
      <c r="C1771" s="155"/>
      <c r="D1771" s="156" t="s">
        <v>1027</v>
      </c>
      <c r="E1771" s="156" t="s">
        <v>566</v>
      </c>
      <c r="F1771" s="155"/>
      <c r="G1771" s="157" t="n">
        <v>25.416</v>
      </c>
      <c r="H1771" s="158"/>
      <c r="I1771" s="155"/>
      <c r="J1771" s="155"/>
      <c r="K1771" s="146"/>
    </row>
    <row r="1772">
      <c r="A1772" s="9" t="s">
        <v>2772</v>
      </c>
      <c r="B1772" s="10" t="s">
        <v>84</v>
      </c>
      <c r="C1772" s="10" t="s">
        <v>2508</v>
      </c>
      <c r="D1772" s="14" t="s">
        <v>2773</v>
      </c>
      <c r="E1772" s="10"/>
      <c r="F1772" s="10" t="s">
        <v>2426</v>
      </c>
      <c r="G1772" s="111" t="n">
        <v>172.40832</v>
      </c>
      <c r="H1772" s="152" t="n">
        <v>0</v>
      </c>
      <c r="I1772" s="111">
        <f>G1772*H1772</f>
      </c>
      <c r="J1772" s="153" t="s">
        <v>134</v>
      </c>
      <c r="K1772" s="146"/>
      <c r="Z1772" s="111">
        <f>IF(AQ1772="5",BJ1772,0)</f>
      </c>
      <c r="AB1772" s="111">
        <f>IF(AQ1772="1",BH1772,0)</f>
      </c>
      <c r="AC1772" s="111">
        <f>IF(AQ1772="1",BI1772,0)</f>
      </c>
      <c r="AD1772" s="111">
        <f>IF(AQ1772="7",BH1772,0)</f>
      </c>
      <c r="AE1772" s="111">
        <f>IF(AQ1772="7",BI1772,0)</f>
      </c>
      <c r="AF1772" s="111">
        <f>IF(AQ1772="2",BH1772,0)</f>
      </c>
      <c r="AG1772" s="111">
        <f>IF(AQ1772="2",BI1772,0)</f>
      </c>
      <c r="AH1772" s="111">
        <f>IF(AQ1772="0",BJ1772,0)</f>
      </c>
      <c r="AI1772" s="132" t="s">
        <v>84</v>
      </c>
      <c r="AJ1772" s="111">
        <f>IF(AN1772=0,I1772,0)</f>
      </c>
      <c r="AK1772" s="111">
        <f>IF(AN1772=12,I1772,0)</f>
      </c>
      <c r="AL1772" s="111">
        <f>IF(AN1772=21,I1772,0)</f>
      </c>
      <c r="AN1772" s="111" t="n">
        <v>21</v>
      </c>
      <c r="AO1772" s="111">
        <f>H1772*1</f>
      </c>
      <c r="AP1772" s="111">
        <f>H1772*(1-1)</f>
      </c>
      <c r="AQ1772" s="153" t="s">
        <v>173</v>
      </c>
      <c r="AV1772" s="111">
        <f>AW1772+AX1772</f>
      </c>
      <c r="AW1772" s="111">
        <f>G1772*AO1772</f>
      </c>
      <c r="AX1772" s="111">
        <f>G1772*AP1772</f>
      </c>
      <c r="AY1772" s="153" t="s">
        <v>2763</v>
      </c>
      <c r="AZ1772" s="153" t="s">
        <v>2764</v>
      </c>
      <c r="BA1772" s="132" t="s">
        <v>137</v>
      </c>
      <c r="BC1772" s="111">
        <f>AW1772+AX1772</f>
      </c>
      <c r="BD1772" s="111">
        <f>H1772/(100-BE1772)*100</f>
      </c>
      <c r="BE1772" s="111" t="n">
        <v>0</v>
      </c>
      <c r="BF1772" s="111">
        <f>1772</f>
      </c>
      <c r="BH1772" s="111">
        <f>G1772*AO1772</f>
      </c>
      <c r="BI1772" s="111">
        <f>G1772*AP1772</f>
      </c>
      <c r="BJ1772" s="111">
        <f>G1772*H1772</f>
      </c>
      <c r="BK1772" s="111"/>
      <c r="BL1772" s="111" t="n">
        <v>781</v>
      </c>
      <c r="BW1772" s="111" t="n">
        <v>21</v>
      </c>
      <c r="BX1772" s="14" t="s">
        <v>2773</v>
      </c>
    </row>
    <row r="1773">
      <c r="A1773" s="154"/>
      <c r="B1773" s="155"/>
      <c r="C1773" s="155"/>
      <c r="D1773" s="156" t="s">
        <v>4</v>
      </c>
      <c r="E1773" s="156" t="s">
        <v>2510</v>
      </c>
      <c r="F1773" s="155"/>
      <c r="G1773" s="157" t="n">
        <v>0</v>
      </c>
      <c r="H1773" s="158"/>
      <c r="I1773" s="155"/>
      <c r="J1773" s="155"/>
      <c r="K1773" s="146"/>
    </row>
    <row r="1774">
      <c r="A1774" s="154"/>
      <c r="B1774" s="155"/>
      <c r="C1774" s="155"/>
      <c r="D1774" s="156" t="s">
        <v>2774</v>
      </c>
      <c r="E1774" s="156" t="s">
        <v>864</v>
      </c>
      <c r="F1774" s="155"/>
      <c r="G1774" s="157" t="n">
        <v>100.55808</v>
      </c>
      <c r="H1774" s="158"/>
      <c r="I1774" s="155"/>
      <c r="J1774" s="155"/>
      <c r="K1774" s="146"/>
    </row>
    <row r="1775">
      <c r="A1775" s="154"/>
      <c r="B1775" s="155"/>
      <c r="C1775" s="155"/>
      <c r="D1775" s="156" t="s">
        <v>2775</v>
      </c>
      <c r="E1775" s="156" t="s">
        <v>4</v>
      </c>
      <c r="F1775" s="155"/>
      <c r="G1775" s="157" t="n">
        <v>-13.54752</v>
      </c>
      <c r="H1775" s="158"/>
      <c r="I1775" s="155"/>
      <c r="J1775" s="155"/>
      <c r="K1775" s="146"/>
    </row>
    <row r="1776">
      <c r="A1776" s="154"/>
      <c r="B1776" s="155"/>
      <c r="C1776" s="155"/>
      <c r="D1776" s="156" t="s">
        <v>2775</v>
      </c>
      <c r="E1776" s="156" t="s">
        <v>4</v>
      </c>
      <c r="F1776" s="155"/>
      <c r="G1776" s="157" t="n">
        <v>-13.54752</v>
      </c>
      <c r="H1776" s="158"/>
      <c r="I1776" s="155"/>
      <c r="J1776" s="155"/>
      <c r="K1776" s="146"/>
    </row>
    <row r="1777">
      <c r="A1777" s="154"/>
      <c r="B1777" s="155"/>
      <c r="C1777" s="155"/>
      <c r="D1777" s="156" t="s">
        <v>2776</v>
      </c>
      <c r="E1777" s="156" t="s">
        <v>566</v>
      </c>
      <c r="F1777" s="155"/>
      <c r="G1777" s="157" t="n">
        <v>98.94528</v>
      </c>
      <c r="H1777" s="158"/>
      <c r="I1777" s="155"/>
      <c r="J1777" s="155"/>
      <c r="K1777" s="146"/>
    </row>
    <row r="1778">
      <c r="A1778" s="9" t="s">
        <v>2777</v>
      </c>
      <c r="B1778" s="10" t="s">
        <v>84</v>
      </c>
      <c r="C1778" s="10" t="s">
        <v>2778</v>
      </c>
      <c r="D1778" s="14" t="s">
        <v>2779</v>
      </c>
      <c r="E1778" s="10"/>
      <c r="F1778" s="10" t="s">
        <v>282</v>
      </c>
      <c r="G1778" s="111" t="n">
        <v>8.4</v>
      </c>
      <c r="H1778" s="152" t="n">
        <v>0</v>
      </c>
      <c r="I1778" s="111">
        <f>G1778*H1778</f>
      </c>
      <c r="J1778" s="153" t="s">
        <v>134</v>
      </c>
      <c r="K1778" s="146"/>
      <c r="Z1778" s="111">
        <f>IF(AQ1778="5",BJ1778,0)</f>
      </c>
      <c r="AB1778" s="111">
        <f>IF(AQ1778="1",BH1778,0)</f>
      </c>
      <c r="AC1778" s="111">
        <f>IF(AQ1778="1",BI1778,0)</f>
      </c>
      <c r="AD1778" s="111">
        <f>IF(AQ1778="7",BH1778,0)</f>
      </c>
      <c r="AE1778" s="111">
        <f>IF(AQ1778="7",BI1778,0)</f>
      </c>
      <c r="AF1778" s="111">
        <f>IF(AQ1778="2",BH1778,0)</f>
      </c>
      <c r="AG1778" s="111">
        <f>IF(AQ1778="2",BI1778,0)</f>
      </c>
      <c r="AH1778" s="111">
        <f>IF(AQ1778="0",BJ1778,0)</f>
      </c>
      <c r="AI1778" s="132" t="s">
        <v>84</v>
      </c>
      <c r="AJ1778" s="111">
        <f>IF(AN1778=0,I1778,0)</f>
      </c>
      <c r="AK1778" s="111">
        <f>IF(AN1778=12,I1778,0)</f>
      </c>
      <c r="AL1778" s="111">
        <f>IF(AN1778=21,I1778,0)</f>
      </c>
      <c r="AN1778" s="111" t="n">
        <v>21</v>
      </c>
      <c r="AO1778" s="111">
        <f>H1778*0</f>
      </c>
      <c r="AP1778" s="111">
        <f>H1778*(1-0)</f>
      </c>
      <c r="AQ1778" s="153" t="s">
        <v>173</v>
      </c>
      <c r="AV1778" s="111">
        <f>AW1778+AX1778</f>
      </c>
      <c r="AW1778" s="111">
        <f>G1778*AO1778</f>
      </c>
      <c r="AX1778" s="111">
        <f>G1778*AP1778</f>
      </c>
      <c r="AY1778" s="153" t="s">
        <v>2763</v>
      </c>
      <c r="AZ1778" s="153" t="s">
        <v>2764</v>
      </c>
      <c r="BA1778" s="132" t="s">
        <v>137</v>
      </c>
      <c r="BC1778" s="111">
        <f>AW1778+AX1778</f>
      </c>
      <c r="BD1778" s="111">
        <f>H1778/(100-BE1778)*100</f>
      </c>
      <c r="BE1778" s="111" t="n">
        <v>0</v>
      </c>
      <c r="BF1778" s="111">
        <f>1778</f>
      </c>
      <c r="BH1778" s="111">
        <f>G1778*AO1778</f>
      </c>
      <c r="BI1778" s="111">
        <f>G1778*AP1778</f>
      </c>
      <c r="BJ1778" s="111">
        <f>G1778*H1778</f>
      </c>
      <c r="BK1778" s="111"/>
      <c r="BL1778" s="111" t="n">
        <v>781</v>
      </c>
      <c r="BW1778" s="111" t="n">
        <v>21</v>
      </c>
      <c r="BX1778" s="14" t="s">
        <v>2779</v>
      </c>
    </row>
    <row r="1779">
      <c r="A1779" s="154"/>
      <c r="B1779" s="155"/>
      <c r="C1779" s="155"/>
      <c r="D1779" s="156" t="s">
        <v>2780</v>
      </c>
      <c r="E1779" s="156" t="s">
        <v>2781</v>
      </c>
      <c r="F1779" s="155"/>
      <c r="G1779" s="157" t="n">
        <v>2.4</v>
      </c>
      <c r="H1779" s="158"/>
      <c r="I1779" s="155"/>
      <c r="J1779" s="155"/>
      <c r="K1779" s="146"/>
    </row>
    <row r="1780">
      <c r="A1780" s="154"/>
      <c r="B1780" s="155"/>
      <c r="C1780" s="155"/>
      <c r="D1780" s="156" t="s">
        <v>2780</v>
      </c>
      <c r="E1780" s="156" t="s">
        <v>2782</v>
      </c>
      <c r="F1780" s="155"/>
      <c r="G1780" s="157" t="n">
        <v>2.4</v>
      </c>
      <c r="H1780" s="158"/>
      <c r="I1780" s="155"/>
      <c r="J1780" s="155"/>
      <c r="K1780" s="146"/>
    </row>
    <row r="1781">
      <c r="A1781" s="154"/>
      <c r="B1781" s="155"/>
      <c r="C1781" s="155"/>
      <c r="D1781" s="156" t="s">
        <v>2783</v>
      </c>
      <c r="E1781" s="156" t="s">
        <v>2784</v>
      </c>
      <c r="F1781" s="155"/>
      <c r="G1781" s="157" t="n">
        <v>1.2</v>
      </c>
      <c r="H1781" s="158"/>
      <c r="I1781" s="155"/>
      <c r="J1781" s="155"/>
      <c r="K1781" s="146"/>
    </row>
    <row r="1782">
      <c r="A1782" s="154"/>
      <c r="B1782" s="155"/>
      <c r="C1782" s="155"/>
      <c r="D1782" s="156" t="s">
        <v>2783</v>
      </c>
      <c r="E1782" s="156" t="s">
        <v>2785</v>
      </c>
      <c r="F1782" s="155"/>
      <c r="G1782" s="157" t="n">
        <v>1.2</v>
      </c>
      <c r="H1782" s="158"/>
      <c r="I1782" s="155"/>
      <c r="J1782" s="155"/>
      <c r="K1782" s="146"/>
    </row>
    <row r="1783">
      <c r="A1783" s="154"/>
      <c r="B1783" s="155"/>
      <c r="C1783" s="155"/>
      <c r="D1783" s="156" t="s">
        <v>2783</v>
      </c>
      <c r="E1783" s="156" t="s">
        <v>2786</v>
      </c>
      <c r="F1783" s="155"/>
      <c r="G1783" s="157" t="n">
        <v>1.2</v>
      </c>
      <c r="H1783" s="158"/>
      <c r="I1783" s="155"/>
      <c r="J1783" s="155"/>
      <c r="K1783" s="146"/>
    </row>
    <row r="1784">
      <c r="A1784" s="9" t="s">
        <v>2787</v>
      </c>
      <c r="B1784" s="10" t="s">
        <v>84</v>
      </c>
      <c r="C1784" s="10" t="s">
        <v>2788</v>
      </c>
      <c r="D1784" s="14" t="s">
        <v>2789</v>
      </c>
      <c r="E1784" s="10"/>
      <c r="F1784" s="10" t="s">
        <v>282</v>
      </c>
      <c r="G1784" s="111" t="n">
        <v>4</v>
      </c>
      <c r="H1784" s="152" t="n">
        <v>0</v>
      </c>
      <c r="I1784" s="111">
        <f>G1784*H1784</f>
      </c>
      <c r="J1784" s="153" t="s">
        <v>134</v>
      </c>
      <c r="K1784" s="146"/>
      <c r="Z1784" s="111">
        <f>IF(AQ1784="5",BJ1784,0)</f>
      </c>
      <c r="AB1784" s="111">
        <f>IF(AQ1784="1",BH1784,0)</f>
      </c>
      <c r="AC1784" s="111">
        <f>IF(AQ1784="1",BI1784,0)</f>
      </c>
      <c r="AD1784" s="111">
        <f>IF(AQ1784="7",BH1784,0)</f>
      </c>
      <c r="AE1784" s="111">
        <f>IF(AQ1784="7",BI1784,0)</f>
      </c>
      <c r="AF1784" s="111">
        <f>IF(AQ1784="2",BH1784,0)</f>
      </c>
      <c r="AG1784" s="111">
        <f>IF(AQ1784="2",BI1784,0)</f>
      </c>
      <c r="AH1784" s="111">
        <f>IF(AQ1784="0",BJ1784,0)</f>
      </c>
      <c r="AI1784" s="132" t="s">
        <v>84</v>
      </c>
      <c r="AJ1784" s="111">
        <f>IF(AN1784=0,I1784,0)</f>
      </c>
      <c r="AK1784" s="111">
        <f>IF(AN1784=12,I1784,0)</f>
      </c>
      <c r="AL1784" s="111">
        <f>IF(AN1784=21,I1784,0)</f>
      </c>
      <c r="AN1784" s="111" t="n">
        <v>21</v>
      </c>
      <c r="AO1784" s="111">
        <f>H1784*0</f>
      </c>
      <c r="AP1784" s="111">
        <f>H1784*(1-0)</f>
      </c>
      <c r="AQ1784" s="153" t="s">
        <v>173</v>
      </c>
      <c r="AV1784" s="111">
        <f>AW1784+AX1784</f>
      </c>
      <c r="AW1784" s="111">
        <f>G1784*AO1784</f>
      </c>
      <c r="AX1784" s="111">
        <f>G1784*AP1784</f>
      </c>
      <c r="AY1784" s="153" t="s">
        <v>2763</v>
      </c>
      <c r="AZ1784" s="153" t="s">
        <v>2764</v>
      </c>
      <c r="BA1784" s="132" t="s">
        <v>137</v>
      </c>
      <c r="BC1784" s="111">
        <f>AW1784+AX1784</f>
      </c>
      <c r="BD1784" s="111">
        <f>H1784/(100-BE1784)*100</f>
      </c>
      <c r="BE1784" s="111" t="n">
        <v>0</v>
      </c>
      <c r="BF1784" s="111">
        <f>1784</f>
      </c>
      <c r="BH1784" s="111">
        <f>G1784*AO1784</f>
      </c>
      <c r="BI1784" s="111">
        <f>G1784*AP1784</f>
      </c>
      <c r="BJ1784" s="111">
        <f>G1784*H1784</f>
      </c>
      <c r="BK1784" s="111"/>
      <c r="BL1784" s="111" t="n">
        <v>781</v>
      </c>
      <c r="BW1784" s="111" t="n">
        <v>21</v>
      </c>
      <c r="BX1784" s="14" t="s">
        <v>2789</v>
      </c>
    </row>
    <row r="1785">
      <c r="A1785" s="154"/>
      <c r="B1785" s="155"/>
      <c r="C1785" s="155"/>
      <c r="D1785" s="156" t="s">
        <v>2790</v>
      </c>
      <c r="E1785" s="156" t="s">
        <v>2791</v>
      </c>
      <c r="F1785" s="155"/>
      <c r="G1785" s="157" t="n">
        <v>4</v>
      </c>
      <c r="H1785" s="158"/>
      <c r="I1785" s="155"/>
      <c r="J1785" s="155"/>
      <c r="K1785" s="146"/>
    </row>
    <row r="1786">
      <c r="A1786" s="9" t="s">
        <v>2792</v>
      </c>
      <c r="B1786" s="10" t="s">
        <v>84</v>
      </c>
      <c r="C1786" s="10" t="s">
        <v>2793</v>
      </c>
      <c r="D1786" s="14" t="s">
        <v>2794</v>
      </c>
      <c r="E1786" s="10"/>
      <c r="F1786" s="10" t="s">
        <v>282</v>
      </c>
      <c r="G1786" s="111" t="n">
        <v>4.85</v>
      </c>
      <c r="H1786" s="152" t="n">
        <v>0</v>
      </c>
      <c r="I1786" s="111">
        <f>G1786*H1786</f>
      </c>
      <c r="J1786" s="153" t="s">
        <v>134</v>
      </c>
      <c r="K1786" s="146"/>
      <c r="Z1786" s="111">
        <f>IF(AQ1786="5",BJ1786,0)</f>
      </c>
      <c r="AB1786" s="111">
        <f>IF(AQ1786="1",BH1786,0)</f>
      </c>
      <c r="AC1786" s="111">
        <f>IF(AQ1786="1",BI1786,0)</f>
      </c>
      <c r="AD1786" s="111">
        <f>IF(AQ1786="7",BH1786,0)</f>
      </c>
      <c r="AE1786" s="111">
        <f>IF(AQ1786="7",BI1786,0)</f>
      </c>
      <c r="AF1786" s="111">
        <f>IF(AQ1786="2",BH1786,0)</f>
      </c>
      <c r="AG1786" s="111">
        <f>IF(AQ1786="2",BI1786,0)</f>
      </c>
      <c r="AH1786" s="111">
        <f>IF(AQ1786="0",BJ1786,0)</f>
      </c>
      <c r="AI1786" s="132" t="s">
        <v>84</v>
      </c>
      <c r="AJ1786" s="111">
        <f>IF(AN1786=0,I1786,0)</f>
      </c>
      <c r="AK1786" s="111">
        <f>IF(AN1786=12,I1786,0)</f>
      </c>
      <c r="AL1786" s="111">
        <f>IF(AN1786=21,I1786,0)</f>
      </c>
      <c r="AN1786" s="111" t="n">
        <v>21</v>
      </c>
      <c r="AO1786" s="111">
        <f>H1786*0</f>
      </c>
      <c r="AP1786" s="111">
        <f>H1786*(1-0)</f>
      </c>
      <c r="AQ1786" s="153" t="s">
        <v>173</v>
      </c>
      <c r="AV1786" s="111">
        <f>AW1786+AX1786</f>
      </c>
      <c r="AW1786" s="111">
        <f>G1786*AO1786</f>
      </c>
      <c r="AX1786" s="111">
        <f>G1786*AP1786</f>
      </c>
      <c r="AY1786" s="153" t="s">
        <v>2763</v>
      </c>
      <c r="AZ1786" s="153" t="s">
        <v>2764</v>
      </c>
      <c r="BA1786" s="132" t="s">
        <v>137</v>
      </c>
      <c r="BC1786" s="111">
        <f>AW1786+AX1786</f>
      </c>
      <c r="BD1786" s="111">
        <f>H1786/(100-BE1786)*100</f>
      </c>
      <c r="BE1786" s="111" t="n">
        <v>0</v>
      </c>
      <c r="BF1786" s="111">
        <f>1786</f>
      </c>
      <c r="BH1786" s="111">
        <f>G1786*AO1786</f>
      </c>
      <c r="BI1786" s="111">
        <f>G1786*AP1786</f>
      </c>
      <c r="BJ1786" s="111">
        <f>G1786*H1786</f>
      </c>
      <c r="BK1786" s="111"/>
      <c r="BL1786" s="111" t="n">
        <v>781</v>
      </c>
      <c r="BW1786" s="111" t="n">
        <v>21</v>
      </c>
      <c r="BX1786" s="14" t="s">
        <v>2794</v>
      </c>
    </row>
    <row r="1787">
      <c r="A1787" s="154"/>
      <c r="B1787" s="155"/>
      <c r="C1787" s="155"/>
      <c r="D1787" s="156" t="s">
        <v>2795</v>
      </c>
      <c r="E1787" s="156" t="s">
        <v>2784</v>
      </c>
      <c r="F1787" s="155"/>
      <c r="G1787" s="157" t="n">
        <v>0.85</v>
      </c>
      <c r="H1787" s="158"/>
      <c r="I1787" s="155"/>
      <c r="J1787" s="155"/>
      <c r="K1787" s="146"/>
    </row>
    <row r="1788">
      <c r="A1788" s="154"/>
      <c r="B1788" s="155"/>
      <c r="C1788" s="155"/>
      <c r="D1788" s="156" t="s">
        <v>2795</v>
      </c>
      <c r="E1788" s="156" t="s">
        <v>2785</v>
      </c>
      <c r="F1788" s="155"/>
      <c r="G1788" s="157" t="n">
        <v>0.85</v>
      </c>
      <c r="H1788" s="158"/>
      <c r="I1788" s="155"/>
      <c r="J1788" s="155"/>
      <c r="K1788" s="146"/>
    </row>
    <row r="1789">
      <c r="A1789" s="154"/>
      <c r="B1789" s="155"/>
      <c r="C1789" s="155"/>
      <c r="D1789" s="156" t="s">
        <v>2795</v>
      </c>
      <c r="E1789" s="156" t="s">
        <v>2786</v>
      </c>
      <c r="F1789" s="155"/>
      <c r="G1789" s="157" t="n">
        <v>0.85</v>
      </c>
      <c r="H1789" s="158"/>
      <c r="I1789" s="155"/>
      <c r="J1789" s="155"/>
      <c r="K1789" s="146"/>
    </row>
    <row r="1790">
      <c r="A1790" s="154"/>
      <c r="B1790" s="155"/>
      <c r="C1790" s="155"/>
      <c r="D1790" s="156" t="s">
        <v>2796</v>
      </c>
      <c r="E1790" s="156" t="s">
        <v>2797</v>
      </c>
      <c r="F1790" s="155"/>
      <c r="G1790" s="157" t="n">
        <v>1.25</v>
      </c>
      <c r="H1790" s="158"/>
      <c r="I1790" s="155"/>
      <c r="J1790" s="155"/>
      <c r="K1790" s="146"/>
    </row>
    <row r="1791">
      <c r="A1791" s="154"/>
      <c r="B1791" s="155"/>
      <c r="C1791" s="155"/>
      <c r="D1791" s="156" t="s">
        <v>2798</v>
      </c>
      <c r="E1791" s="156" t="s">
        <v>2799</v>
      </c>
      <c r="F1791" s="155"/>
      <c r="G1791" s="157" t="n">
        <v>1.05</v>
      </c>
      <c r="H1791" s="158"/>
      <c r="I1791" s="155"/>
      <c r="J1791" s="155"/>
      <c r="K1791" s="146"/>
    </row>
    <row r="1792">
      <c r="A1792" s="9" t="s">
        <v>2800</v>
      </c>
      <c r="B1792" s="10" t="s">
        <v>84</v>
      </c>
      <c r="C1792" s="10" t="s">
        <v>2801</v>
      </c>
      <c r="D1792" s="14" t="s">
        <v>2802</v>
      </c>
      <c r="E1792" s="10"/>
      <c r="F1792" s="10" t="s">
        <v>282</v>
      </c>
      <c r="G1792" s="111" t="n">
        <v>9.5</v>
      </c>
      <c r="H1792" s="152" t="n">
        <v>0</v>
      </c>
      <c r="I1792" s="111">
        <f>G1792*H1792</f>
      </c>
      <c r="J1792" s="153" t="s">
        <v>134</v>
      </c>
      <c r="K1792" s="146"/>
      <c r="Z1792" s="111">
        <f>IF(AQ1792="5",BJ1792,0)</f>
      </c>
      <c r="AB1792" s="111">
        <f>IF(AQ1792="1",BH1792,0)</f>
      </c>
      <c r="AC1792" s="111">
        <f>IF(AQ1792="1",BI1792,0)</f>
      </c>
      <c r="AD1792" s="111">
        <f>IF(AQ1792="7",BH1792,0)</f>
      </c>
      <c r="AE1792" s="111">
        <f>IF(AQ1792="7",BI1792,0)</f>
      </c>
      <c r="AF1792" s="111">
        <f>IF(AQ1792="2",BH1792,0)</f>
      </c>
      <c r="AG1792" s="111">
        <f>IF(AQ1792="2",BI1792,0)</f>
      </c>
      <c r="AH1792" s="111">
        <f>IF(AQ1792="0",BJ1792,0)</f>
      </c>
      <c r="AI1792" s="132" t="s">
        <v>84</v>
      </c>
      <c r="AJ1792" s="111">
        <f>IF(AN1792=0,I1792,0)</f>
      </c>
      <c r="AK1792" s="111">
        <f>IF(AN1792=12,I1792,0)</f>
      </c>
      <c r="AL1792" s="111">
        <f>IF(AN1792=21,I1792,0)</f>
      </c>
      <c r="AN1792" s="111" t="n">
        <v>21</v>
      </c>
      <c r="AO1792" s="111">
        <f>H1792*0</f>
      </c>
      <c r="AP1792" s="111">
        <f>H1792*(1-0)</f>
      </c>
      <c r="AQ1792" s="153" t="s">
        <v>173</v>
      </c>
      <c r="AV1792" s="111">
        <f>AW1792+AX1792</f>
      </c>
      <c r="AW1792" s="111">
        <f>G1792*AO1792</f>
      </c>
      <c r="AX1792" s="111">
        <f>G1792*AP1792</f>
      </c>
      <c r="AY1792" s="153" t="s">
        <v>2763</v>
      </c>
      <c r="AZ1792" s="153" t="s">
        <v>2764</v>
      </c>
      <c r="BA1792" s="132" t="s">
        <v>137</v>
      </c>
      <c r="BC1792" s="111">
        <f>AW1792+AX1792</f>
      </c>
      <c r="BD1792" s="111">
        <f>H1792/(100-BE1792)*100</f>
      </c>
      <c r="BE1792" s="111" t="n">
        <v>0</v>
      </c>
      <c r="BF1792" s="111">
        <f>1792</f>
      </c>
      <c r="BH1792" s="111">
        <f>G1792*AO1792</f>
      </c>
      <c r="BI1792" s="111">
        <f>G1792*AP1792</f>
      </c>
      <c r="BJ1792" s="111">
        <f>G1792*H1792</f>
      </c>
      <c r="BK1792" s="111"/>
      <c r="BL1792" s="111" t="n">
        <v>781</v>
      </c>
      <c r="BW1792" s="111" t="n">
        <v>21</v>
      </c>
      <c r="BX1792" s="14" t="s">
        <v>2802</v>
      </c>
    </row>
    <row r="1793">
      <c r="A1793" s="154"/>
      <c r="B1793" s="155"/>
      <c r="C1793" s="155"/>
      <c r="D1793" s="156" t="s">
        <v>2803</v>
      </c>
      <c r="E1793" s="156" t="s">
        <v>864</v>
      </c>
      <c r="F1793" s="155"/>
      <c r="G1793" s="157" t="n">
        <v>1.6</v>
      </c>
      <c r="H1793" s="158"/>
      <c r="I1793" s="155"/>
      <c r="J1793" s="155"/>
      <c r="K1793" s="146"/>
    </row>
    <row r="1794">
      <c r="A1794" s="154"/>
      <c r="B1794" s="155"/>
      <c r="C1794" s="155"/>
      <c r="D1794" s="156" t="s">
        <v>2803</v>
      </c>
      <c r="E1794" s="156" t="s">
        <v>566</v>
      </c>
      <c r="F1794" s="155"/>
      <c r="G1794" s="157" t="n">
        <v>1.6</v>
      </c>
      <c r="H1794" s="158"/>
      <c r="I1794" s="155"/>
      <c r="J1794" s="155"/>
      <c r="K1794" s="146"/>
    </row>
    <row r="1795">
      <c r="A1795" s="154"/>
      <c r="B1795" s="155"/>
      <c r="C1795" s="155"/>
      <c r="D1795" s="156" t="s">
        <v>2795</v>
      </c>
      <c r="E1795" s="156" t="s">
        <v>865</v>
      </c>
      <c r="F1795" s="155"/>
      <c r="G1795" s="157" t="n">
        <v>0.85</v>
      </c>
      <c r="H1795" s="158"/>
      <c r="I1795" s="155"/>
      <c r="J1795" s="155"/>
      <c r="K1795" s="146"/>
    </row>
    <row r="1796">
      <c r="A1796" s="154"/>
      <c r="B1796" s="155"/>
      <c r="C1796" s="155"/>
      <c r="D1796" s="156" t="s">
        <v>2804</v>
      </c>
      <c r="E1796" s="156" t="s">
        <v>1030</v>
      </c>
      <c r="F1796" s="155"/>
      <c r="G1796" s="157" t="n">
        <v>1.65</v>
      </c>
      <c r="H1796" s="158"/>
      <c r="I1796" s="155"/>
      <c r="J1796" s="155"/>
      <c r="K1796" s="146"/>
    </row>
    <row r="1797">
      <c r="A1797" s="154"/>
      <c r="B1797" s="155"/>
      <c r="C1797" s="155"/>
      <c r="D1797" s="156" t="s">
        <v>2805</v>
      </c>
      <c r="E1797" s="156" t="s">
        <v>1032</v>
      </c>
      <c r="F1797" s="155"/>
      <c r="G1797" s="157" t="n">
        <v>2.6</v>
      </c>
      <c r="H1797" s="158"/>
      <c r="I1797" s="155"/>
      <c r="J1797" s="155"/>
      <c r="K1797" s="146"/>
    </row>
    <row r="1798">
      <c r="A1798" s="154"/>
      <c r="B1798" s="155"/>
      <c r="C1798" s="155"/>
      <c r="D1798" s="156" t="s">
        <v>2783</v>
      </c>
      <c r="E1798" s="156" t="s">
        <v>1010</v>
      </c>
      <c r="F1798" s="155"/>
      <c r="G1798" s="157" t="n">
        <v>1.2</v>
      </c>
      <c r="H1798" s="158"/>
      <c r="I1798" s="155"/>
      <c r="J1798" s="155"/>
      <c r="K1798" s="146"/>
    </row>
    <row r="1799">
      <c r="A1799" s="9" t="s">
        <v>2806</v>
      </c>
      <c r="B1799" s="10" t="s">
        <v>84</v>
      </c>
      <c r="C1799" s="10" t="s">
        <v>2807</v>
      </c>
      <c r="D1799" s="14" t="s">
        <v>2808</v>
      </c>
      <c r="E1799" s="10"/>
      <c r="F1799" s="10" t="s">
        <v>282</v>
      </c>
      <c r="G1799" s="111" t="n">
        <v>3.1</v>
      </c>
      <c r="H1799" s="152" t="n">
        <v>0</v>
      </c>
      <c r="I1799" s="111">
        <f>G1799*H1799</f>
      </c>
      <c r="J1799" s="153" t="s">
        <v>134</v>
      </c>
      <c r="K1799" s="146"/>
      <c r="Z1799" s="111">
        <f>IF(AQ1799="5",BJ1799,0)</f>
      </c>
      <c r="AB1799" s="111">
        <f>IF(AQ1799="1",BH1799,0)</f>
      </c>
      <c r="AC1799" s="111">
        <f>IF(AQ1799="1",BI1799,0)</f>
      </c>
      <c r="AD1799" s="111">
        <f>IF(AQ1799="7",BH1799,0)</f>
      </c>
      <c r="AE1799" s="111">
        <f>IF(AQ1799="7",BI1799,0)</f>
      </c>
      <c r="AF1799" s="111">
        <f>IF(AQ1799="2",BH1799,0)</f>
      </c>
      <c r="AG1799" s="111">
        <f>IF(AQ1799="2",BI1799,0)</f>
      </c>
      <c r="AH1799" s="111">
        <f>IF(AQ1799="0",BJ1799,0)</f>
      </c>
      <c r="AI1799" s="132" t="s">
        <v>84</v>
      </c>
      <c r="AJ1799" s="111">
        <f>IF(AN1799=0,I1799,0)</f>
      </c>
      <c r="AK1799" s="111">
        <f>IF(AN1799=12,I1799,0)</f>
      </c>
      <c r="AL1799" s="111">
        <f>IF(AN1799=21,I1799,0)</f>
      </c>
      <c r="AN1799" s="111" t="n">
        <v>21</v>
      </c>
      <c r="AO1799" s="111">
        <f>H1799*0</f>
      </c>
      <c r="AP1799" s="111">
        <f>H1799*(1-0)</f>
      </c>
      <c r="AQ1799" s="153" t="s">
        <v>173</v>
      </c>
      <c r="AV1799" s="111">
        <f>AW1799+AX1799</f>
      </c>
      <c r="AW1799" s="111">
        <f>G1799*AO1799</f>
      </c>
      <c r="AX1799" s="111">
        <f>G1799*AP1799</f>
      </c>
      <c r="AY1799" s="153" t="s">
        <v>2763</v>
      </c>
      <c r="AZ1799" s="153" t="s">
        <v>2764</v>
      </c>
      <c r="BA1799" s="132" t="s">
        <v>137</v>
      </c>
      <c r="BC1799" s="111">
        <f>AW1799+AX1799</f>
      </c>
      <c r="BD1799" s="111">
        <f>H1799/(100-BE1799)*100</f>
      </c>
      <c r="BE1799" s="111" t="n">
        <v>0</v>
      </c>
      <c r="BF1799" s="111">
        <f>1799</f>
      </c>
      <c r="BH1799" s="111">
        <f>G1799*AO1799</f>
      </c>
      <c r="BI1799" s="111">
        <f>G1799*AP1799</f>
      </c>
      <c r="BJ1799" s="111">
        <f>G1799*H1799</f>
      </c>
      <c r="BK1799" s="111"/>
      <c r="BL1799" s="111" t="n">
        <v>781</v>
      </c>
      <c r="BW1799" s="111" t="n">
        <v>21</v>
      </c>
      <c r="BX1799" s="14" t="s">
        <v>2808</v>
      </c>
    </row>
    <row r="1800">
      <c r="A1800" s="154"/>
      <c r="B1800" s="155"/>
      <c r="C1800" s="155"/>
      <c r="D1800" s="156" t="s">
        <v>2034</v>
      </c>
      <c r="E1800" s="156" t="s">
        <v>2809</v>
      </c>
      <c r="F1800" s="155"/>
      <c r="G1800" s="157" t="n">
        <v>3.1</v>
      </c>
      <c r="H1800" s="158"/>
      <c r="I1800" s="155"/>
      <c r="J1800" s="155"/>
      <c r="K1800" s="146"/>
    </row>
    <row r="1801">
      <c r="A1801" s="9" t="s">
        <v>2810</v>
      </c>
      <c r="B1801" s="10" t="s">
        <v>84</v>
      </c>
      <c r="C1801" s="10" t="s">
        <v>2811</v>
      </c>
      <c r="D1801" s="14" t="s">
        <v>2812</v>
      </c>
      <c r="E1801" s="10"/>
      <c r="F1801" s="10" t="s">
        <v>145</v>
      </c>
      <c r="G1801" s="111" t="n">
        <v>178.62845</v>
      </c>
      <c r="H1801" s="152" t="n">
        <v>0</v>
      </c>
      <c r="I1801" s="111">
        <f>G1801*H1801</f>
      </c>
      <c r="J1801" s="153" t="s">
        <v>134</v>
      </c>
      <c r="K1801" s="146"/>
      <c r="Z1801" s="111">
        <f>IF(AQ1801="5",BJ1801,0)</f>
      </c>
      <c r="AB1801" s="111">
        <f>IF(AQ1801="1",BH1801,0)</f>
      </c>
      <c r="AC1801" s="111">
        <f>IF(AQ1801="1",BI1801,0)</f>
      </c>
      <c r="AD1801" s="111">
        <f>IF(AQ1801="7",BH1801,0)</f>
      </c>
      <c r="AE1801" s="111">
        <f>IF(AQ1801="7",BI1801,0)</f>
      </c>
      <c r="AF1801" s="111">
        <f>IF(AQ1801="2",BH1801,0)</f>
      </c>
      <c r="AG1801" s="111">
        <f>IF(AQ1801="2",BI1801,0)</f>
      </c>
      <c r="AH1801" s="111">
        <f>IF(AQ1801="0",BJ1801,0)</f>
      </c>
      <c r="AI1801" s="132" t="s">
        <v>84</v>
      </c>
      <c r="AJ1801" s="111">
        <f>IF(AN1801=0,I1801,0)</f>
      </c>
      <c r="AK1801" s="111">
        <f>IF(AN1801=12,I1801,0)</f>
      </c>
      <c r="AL1801" s="111">
        <f>IF(AN1801=21,I1801,0)</f>
      </c>
      <c r="AN1801" s="111" t="n">
        <v>21</v>
      </c>
      <c r="AO1801" s="111">
        <f>H1801*1</f>
      </c>
      <c r="AP1801" s="111">
        <f>H1801*(1-1)</f>
      </c>
      <c r="AQ1801" s="153" t="s">
        <v>173</v>
      </c>
      <c r="AV1801" s="111">
        <f>AW1801+AX1801</f>
      </c>
      <c r="AW1801" s="111">
        <f>G1801*AO1801</f>
      </c>
      <c r="AX1801" s="111">
        <f>G1801*AP1801</f>
      </c>
      <c r="AY1801" s="153" t="s">
        <v>2763</v>
      </c>
      <c r="AZ1801" s="153" t="s">
        <v>2764</v>
      </c>
      <c r="BA1801" s="132" t="s">
        <v>137</v>
      </c>
      <c r="BC1801" s="111">
        <f>AW1801+AX1801</f>
      </c>
      <c r="BD1801" s="111">
        <f>H1801/(100-BE1801)*100</f>
      </c>
      <c r="BE1801" s="111" t="n">
        <v>0</v>
      </c>
      <c r="BF1801" s="111">
        <f>1801</f>
      </c>
      <c r="BH1801" s="111">
        <f>G1801*AO1801</f>
      </c>
      <c r="BI1801" s="111">
        <f>G1801*AP1801</f>
      </c>
      <c r="BJ1801" s="111">
        <f>G1801*H1801</f>
      </c>
      <c r="BK1801" s="111"/>
      <c r="BL1801" s="111" t="n">
        <v>781</v>
      </c>
      <c r="BW1801" s="111" t="n">
        <v>21</v>
      </c>
      <c r="BX1801" s="14" t="s">
        <v>2812</v>
      </c>
    </row>
    <row r="1802">
      <c r="A1802" s="154"/>
      <c r="B1802" s="155"/>
      <c r="C1802" s="155"/>
      <c r="D1802" s="156" t="s">
        <v>4</v>
      </c>
      <c r="E1802" s="156" t="s">
        <v>2813</v>
      </c>
      <c r="F1802" s="155"/>
      <c r="G1802" s="157" t="n">
        <v>0</v>
      </c>
      <c r="H1802" s="158"/>
      <c r="I1802" s="155"/>
      <c r="J1802" s="155"/>
      <c r="K1802" s="146"/>
    </row>
    <row r="1803">
      <c r="A1803" s="154"/>
      <c r="B1803" s="155"/>
      <c r="C1803" s="155"/>
      <c r="D1803" s="156" t="s">
        <v>2814</v>
      </c>
      <c r="E1803" s="156" t="s">
        <v>864</v>
      </c>
      <c r="F1803" s="155"/>
      <c r="G1803" s="157" t="n">
        <v>26.088</v>
      </c>
      <c r="H1803" s="158"/>
      <c r="I1803" s="155"/>
      <c r="J1803" s="155"/>
      <c r="K1803" s="146"/>
    </row>
    <row r="1804">
      <c r="A1804" s="154"/>
      <c r="B1804" s="155"/>
      <c r="C1804" s="155"/>
      <c r="D1804" s="156" t="s">
        <v>2815</v>
      </c>
      <c r="E1804" s="156" t="s">
        <v>566</v>
      </c>
      <c r="F1804" s="155"/>
      <c r="G1804" s="157" t="n">
        <v>25.608</v>
      </c>
      <c r="H1804" s="158"/>
      <c r="I1804" s="155"/>
      <c r="J1804" s="155"/>
      <c r="K1804" s="146"/>
    </row>
    <row r="1805">
      <c r="A1805" s="154"/>
      <c r="B1805" s="155"/>
      <c r="C1805" s="155"/>
      <c r="D1805" s="156" t="s">
        <v>1028</v>
      </c>
      <c r="E1805" s="156" t="s">
        <v>865</v>
      </c>
      <c r="F1805" s="155"/>
      <c r="G1805" s="157" t="n">
        <v>18.342</v>
      </c>
      <c r="H1805" s="158"/>
      <c r="I1805" s="155"/>
      <c r="J1805" s="155"/>
      <c r="K1805" s="146"/>
    </row>
    <row r="1806">
      <c r="A1806" s="154"/>
      <c r="B1806" s="155"/>
      <c r="C1806" s="155"/>
      <c r="D1806" s="156" t="s">
        <v>4</v>
      </c>
      <c r="E1806" s="156" t="s">
        <v>2816</v>
      </c>
      <c r="F1806" s="155"/>
      <c r="G1806" s="157" t="n">
        <v>0</v>
      </c>
      <c r="H1806" s="158"/>
      <c r="I1806" s="155"/>
      <c r="J1806" s="155"/>
      <c r="K1806" s="146"/>
    </row>
    <row r="1807">
      <c r="A1807" s="154"/>
      <c r="B1807" s="155"/>
      <c r="C1807" s="155"/>
      <c r="D1807" s="156" t="s">
        <v>1029</v>
      </c>
      <c r="E1807" s="156" t="s">
        <v>1030</v>
      </c>
      <c r="F1807" s="155"/>
      <c r="G1807" s="157" t="n">
        <v>17.236</v>
      </c>
      <c r="H1807" s="158"/>
      <c r="I1807" s="155"/>
      <c r="J1807" s="155"/>
      <c r="K1807" s="146"/>
    </row>
    <row r="1808">
      <c r="A1808" s="154"/>
      <c r="B1808" s="155"/>
      <c r="C1808" s="155"/>
      <c r="D1808" s="156" t="s">
        <v>1031</v>
      </c>
      <c r="E1808" s="156" t="s">
        <v>1032</v>
      </c>
      <c r="F1808" s="155"/>
      <c r="G1808" s="157" t="n">
        <v>25.429</v>
      </c>
      <c r="H1808" s="158"/>
      <c r="I1808" s="155"/>
      <c r="J1808" s="155"/>
      <c r="K1808" s="146"/>
    </row>
    <row r="1809">
      <c r="A1809" s="154"/>
      <c r="B1809" s="155"/>
      <c r="C1809" s="155"/>
      <c r="D1809" s="156" t="s">
        <v>1033</v>
      </c>
      <c r="E1809" s="156" t="s">
        <v>1034</v>
      </c>
      <c r="F1809" s="155"/>
      <c r="G1809" s="157" t="n">
        <v>12.973</v>
      </c>
      <c r="H1809" s="158"/>
      <c r="I1809" s="155"/>
      <c r="J1809" s="155"/>
      <c r="K1809" s="146"/>
    </row>
    <row r="1810">
      <c r="A1810" s="154"/>
      <c r="B1810" s="155"/>
      <c r="C1810" s="155"/>
      <c r="D1810" s="156" t="s">
        <v>1035</v>
      </c>
      <c r="E1810" s="156" t="s">
        <v>1008</v>
      </c>
      <c r="F1810" s="155"/>
      <c r="G1810" s="157" t="n">
        <v>15.441</v>
      </c>
      <c r="H1810" s="158"/>
      <c r="I1810" s="155"/>
      <c r="J1810" s="155"/>
      <c r="K1810" s="146"/>
    </row>
    <row r="1811">
      <c r="A1811" s="154"/>
      <c r="B1811" s="155"/>
      <c r="C1811" s="155"/>
      <c r="D1811" s="156" t="s">
        <v>1036</v>
      </c>
      <c r="E1811" s="156" t="s">
        <v>1010</v>
      </c>
      <c r="F1811" s="155"/>
      <c r="G1811" s="157" t="n">
        <v>16.061</v>
      </c>
      <c r="H1811" s="158"/>
      <c r="I1811" s="155"/>
      <c r="J1811" s="155"/>
      <c r="K1811" s="146"/>
    </row>
    <row r="1812">
      <c r="A1812" s="154"/>
      <c r="B1812" s="155"/>
      <c r="C1812" s="155"/>
      <c r="D1812" s="156" t="s">
        <v>4</v>
      </c>
      <c r="E1812" s="156" t="s">
        <v>2817</v>
      </c>
      <c r="F1812" s="155"/>
      <c r="G1812" s="157" t="n">
        <v>0</v>
      </c>
      <c r="H1812" s="158"/>
      <c r="I1812" s="155"/>
      <c r="J1812" s="155"/>
      <c r="K1812" s="146"/>
    </row>
    <row r="1813">
      <c r="A1813" s="154"/>
      <c r="B1813" s="155"/>
      <c r="C1813" s="155"/>
      <c r="D1813" s="156" t="s">
        <v>2818</v>
      </c>
      <c r="E1813" s="156" t="s">
        <v>2781</v>
      </c>
      <c r="F1813" s="155"/>
      <c r="G1813" s="157" t="n">
        <v>0.432</v>
      </c>
      <c r="H1813" s="158"/>
      <c r="I1813" s="155"/>
      <c r="J1813" s="155"/>
      <c r="K1813" s="146"/>
    </row>
    <row r="1814">
      <c r="A1814" s="154"/>
      <c r="B1814" s="155"/>
      <c r="C1814" s="155"/>
      <c r="D1814" s="156" t="s">
        <v>2818</v>
      </c>
      <c r="E1814" s="156" t="s">
        <v>2782</v>
      </c>
      <c r="F1814" s="155"/>
      <c r="G1814" s="157" t="n">
        <v>0.432</v>
      </c>
      <c r="H1814" s="158"/>
      <c r="I1814" s="155"/>
      <c r="J1814" s="155"/>
      <c r="K1814" s="146"/>
    </row>
    <row r="1815">
      <c r="A1815" s="154"/>
      <c r="B1815" s="155"/>
      <c r="C1815" s="155"/>
      <c r="D1815" s="156" t="s">
        <v>2819</v>
      </c>
      <c r="E1815" s="156" t="s">
        <v>2784</v>
      </c>
      <c r="F1815" s="155"/>
      <c r="G1815" s="157" t="n">
        <v>0.18</v>
      </c>
      <c r="H1815" s="158"/>
      <c r="I1815" s="155"/>
      <c r="J1815" s="155"/>
      <c r="K1815" s="146"/>
    </row>
    <row r="1816">
      <c r="A1816" s="154"/>
      <c r="B1816" s="155"/>
      <c r="C1816" s="155"/>
      <c r="D1816" s="156" t="s">
        <v>2819</v>
      </c>
      <c r="E1816" s="156" t="s">
        <v>2785</v>
      </c>
      <c r="F1816" s="155"/>
      <c r="G1816" s="157" t="n">
        <v>0.18</v>
      </c>
      <c r="H1816" s="158"/>
      <c r="I1816" s="155"/>
      <c r="J1816" s="155"/>
      <c r="K1816" s="146"/>
    </row>
    <row r="1817">
      <c r="A1817" s="154"/>
      <c r="B1817" s="155"/>
      <c r="C1817" s="155"/>
      <c r="D1817" s="156" t="s">
        <v>2819</v>
      </c>
      <c r="E1817" s="156" t="s">
        <v>2786</v>
      </c>
      <c r="F1817" s="155"/>
      <c r="G1817" s="157" t="n">
        <v>0.18</v>
      </c>
      <c r="H1817" s="158"/>
      <c r="I1817" s="155"/>
      <c r="J1817" s="155"/>
      <c r="K1817" s="146"/>
    </row>
    <row r="1818">
      <c r="A1818" s="154"/>
      <c r="B1818" s="155"/>
      <c r="C1818" s="155"/>
      <c r="D1818" s="156" t="s">
        <v>2820</v>
      </c>
      <c r="E1818" s="156" t="s">
        <v>2791</v>
      </c>
      <c r="F1818" s="155"/>
      <c r="G1818" s="157" t="n">
        <v>0.8</v>
      </c>
      <c r="H1818" s="158"/>
      <c r="I1818" s="155"/>
      <c r="J1818" s="155"/>
      <c r="K1818" s="146"/>
    </row>
    <row r="1819">
      <c r="A1819" s="154"/>
      <c r="B1819" s="155"/>
      <c r="C1819" s="155"/>
      <c r="D1819" s="156" t="s">
        <v>2821</v>
      </c>
      <c r="E1819" s="156" t="s">
        <v>1730</v>
      </c>
      <c r="F1819" s="155"/>
      <c r="G1819" s="157" t="n">
        <v>16.23895</v>
      </c>
      <c r="H1819" s="158"/>
      <c r="I1819" s="155"/>
      <c r="J1819" s="155"/>
      <c r="K1819" s="146"/>
    </row>
    <row r="1820">
      <c r="A1820" s="154"/>
      <c r="B1820" s="155"/>
      <c r="C1820" s="155"/>
      <c r="D1820" s="156" t="s">
        <v>2822</v>
      </c>
      <c r="E1820" s="156" t="s">
        <v>2784</v>
      </c>
      <c r="F1820" s="155"/>
      <c r="G1820" s="157" t="n">
        <v>0.1275</v>
      </c>
      <c r="H1820" s="158"/>
      <c r="I1820" s="155"/>
      <c r="J1820" s="155"/>
      <c r="K1820" s="146"/>
    </row>
    <row r="1821">
      <c r="A1821" s="154"/>
      <c r="B1821" s="155"/>
      <c r="C1821" s="155"/>
      <c r="D1821" s="156" t="s">
        <v>2822</v>
      </c>
      <c r="E1821" s="156" t="s">
        <v>2785</v>
      </c>
      <c r="F1821" s="155"/>
      <c r="G1821" s="157" t="n">
        <v>0.1275</v>
      </c>
      <c r="H1821" s="158"/>
      <c r="I1821" s="155"/>
      <c r="J1821" s="155"/>
      <c r="K1821" s="146"/>
    </row>
    <row r="1822">
      <c r="A1822" s="154"/>
      <c r="B1822" s="155"/>
      <c r="C1822" s="155"/>
      <c r="D1822" s="156" t="s">
        <v>2822</v>
      </c>
      <c r="E1822" s="156" t="s">
        <v>2786</v>
      </c>
      <c r="F1822" s="155"/>
      <c r="G1822" s="157" t="n">
        <v>0.1275</v>
      </c>
      <c r="H1822" s="158"/>
      <c r="I1822" s="155"/>
      <c r="J1822" s="155"/>
      <c r="K1822" s="146"/>
    </row>
    <row r="1823">
      <c r="A1823" s="154"/>
      <c r="B1823" s="155"/>
      <c r="C1823" s="155"/>
      <c r="D1823" s="156" t="s">
        <v>2823</v>
      </c>
      <c r="E1823" s="156" t="s">
        <v>2797</v>
      </c>
      <c r="F1823" s="155"/>
      <c r="G1823" s="157" t="n">
        <v>0.1875</v>
      </c>
      <c r="H1823" s="158"/>
      <c r="I1823" s="155"/>
      <c r="J1823" s="155"/>
      <c r="K1823" s="146"/>
    </row>
    <row r="1824">
      <c r="A1824" s="154"/>
      <c r="B1824" s="155"/>
      <c r="C1824" s="155"/>
      <c r="D1824" s="156" t="s">
        <v>2824</v>
      </c>
      <c r="E1824" s="156" t="s">
        <v>2799</v>
      </c>
      <c r="F1824" s="155"/>
      <c r="G1824" s="157" t="n">
        <v>0.1575</v>
      </c>
      <c r="H1824" s="158"/>
      <c r="I1824" s="155"/>
      <c r="J1824" s="155"/>
      <c r="K1824" s="146"/>
    </row>
    <row r="1825">
      <c r="A1825" s="154"/>
      <c r="B1825" s="155"/>
      <c r="C1825" s="155"/>
      <c r="D1825" s="156" t="s">
        <v>2825</v>
      </c>
      <c r="E1825" s="156" t="s">
        <v>864</v>
      </c>
      <c r="F1825" s="155"/>
      <c r="G1825" s="157" t="n">
        <v>0.384</v>
      </c>
      <c r="H1825" s="158"/>
      <c r="I1825" s="155"/>
      <c r="J1825" s="155"/>
      <c r="K1825" s="146"/>
    </row>
    <row r="1826">
      <c r="A1826" s="154"/>
      <c r="B1826" s="155"/>
      <c r="C1826" s="155"/>
      <c r="D1826" s="156" t="s">
        <v>2825</v>
      </c>
      <c r="E1826" s="156" t="s">
        <v>566</v>
      </c>
      <c r="F1826" s="155"/>
      <c r="G1826" s="157" t="n">
        <v>0.384</v>
      </c>
      <c r="H1826" s="158"/>
      <c r="I1826" s="155"/>
      <c r="J1826" s="155"/>
      <c r="K1826" s="146"/>
    </row>
    <row r="1827">
      <c r="A1827" s="154"/>
      <c r="B1827" s="155"/>
      <c r="C1827" s="155"/>
      <c r="D1827" s="156" t="s">
        <v>2826</v>
      </c>
      <c r="E1827" s="156" t="s">
        <v>865</v>
      </c>
      <c r="F1827" s="155"/>
      <c r="G1827" s="157" t="n">
        <v>0.204</v>
      </c>
      <c r="H1827" s="158"/>
      <c r="I1827" s="155"/>
      <c r="J1827" s="155"/>
      <c r="K1827" s="146"/>
    </row>
    <row r="1828">
      <c r="A1828" s="154"/>
      <c r="B1828" s="155"/>
      <c r="C1828" s="155"/>
      <c r="D1828" s="156" t="s">
        <v>2827</v>
      </c>
      <c r="E1828" s="156" t="s">
        <v>1030</v>
      </c>
      <c r="F1828" s="155"/>
      <c r="G1828" s="157" t="n">
        <v>0.396</v>
      </c>
      <c r="H1828" s="158"/>
      <c r="I1828" s="155"/>
      <c r="J1828" s="155"/>
      <c r="K1828" s="146"/>
    </row>
    <row r="1829">
      <c r="A1829" s="154"/>
      <c r="B1829" s="155"/>
      <c r="C1829" s="155"/>
      <c r="D1829" s="156" t="s">
        <v>2828</v>
      </c>
      <c r="E1829" s="156" t="s">
        <v>1032</v>
      </c>
      <c r="F1829" s="155"/>
      <c r="G1829" s="157" t="n">
        <v>0.624</v>
      </c>
      <c r="H1829" s="158"/>
      <c r="I1829" s="155"/>
      <c r="J1829" s="155"/>
      <c r="K1829" s="146"/>
    </row>
    <row r="1830">
      <c r="A1830" s="154"/>
      <c r="B1830" s="155"/>
      <c r="C1830" s="155"/>
      <c r="D1830" s="156" t="s">
        <v>2829</v>
      </c>
      <c r="E1830" s="156" t="s">
        <v>1010</v>
      </c>
      <c r="F1830" s="155"/>
      <c r="G1830" s="157" t="n">
        <v>0.288</v>
      </c>
      <c r="H1830" s="158"/>
      <c r="I1830" s="155"/>
      <c r="J1830" s="155"/>
      <c r="K1830" s="146"/>
    </row>
    <row r="1831">
      <c r="A1831" s="9" t="s">
        <v>2830</v>
      </c>
      <c r="B1831" s="10" t="s">
        <v>84</v>
      </c>
      <c r="C1831" s="10" t="s">
        <v>2548</v>
      </c>
      <c r="D1831" s="14" t="s">
        <v>2549</v>
      </c>
      <c r="E1831" s="10"/>
      <c r="F1831" s="10" t="s">
        <v>145</v>
      </c>
      <c r="G1831" s="111" t="n">
        <v>156.794</v>
      </c>
      <c r="H1831" s="152" t="n">
        <v>0</v>
      </c>
      <c r="I1831" s="111">
        <f>G1831*H1831</f>
      </c>
      <c r="J1831" s="153" t="s">
        <v>134</v>
      </c>
      <c r="K1831" s="146"/>
      <c r="Z1831" s="111">
        <f>IF(AQ1831="5",BJ1831,0)</f>
      </c>
      <c r="AB1831" s="111">
        <f>IF(AQ1831="1",BH1831,0)</f>
      </c>
      <c r="AC1831" s="111">
        <f>IF(AQ1831="1",BI1831,0)</f>
      </c>
      <c r="AD1831" s="111">
        <f>IF(AQ1831="7",BH1831,0)</f>
      </c>
      <c r="AE1831" s="111">
        <f>IF(AQ1831="7",BI1831,0)</f>
      </c>
      <c r="AF1831" s="111">
        <f>IF(AQ1831="2",BH1831,0)</f>
      </c>
      <c r="AG1831" s="111">
        <f>IF(AQ1831="2",BI1831,0)</f>
      </c>
      <c r="AH1831" s="111">
        <f>IF(AQ1831="0",BJ1831,0)</f>
      </c>
      <c r="AI1831" s="132" t="s">
        <v>84</v>
      </c>
      <c r="AJ1831" s="111">
        <f>IF(AN1831=0,I1831,0)</f>
      </c>
      <c r="AK1831" s="111">
        <f>IF(AN1831=12,I1831,0)</f>
      </c>
      <c r="AL1831" s="111">
        <f>IF(AN1831=21,I1831,0)</f>
      </c>
      <c r="AN1831" s="111" t="n">
        <v>21</v>
      </c>
      <c r="AO1831" s="111">
        <f>H1831*0.999999755</f>
      </c>
      <c r="AP1831" s="111">
        <f>H1831*(1-0.999999755)</f>
      </c>
      <c r="AQ1831" s="153" t="s">
        <v>173</v>
      </c>
      <c r="AV1831" s="111">
        <f>AW1831+AX1831</f>
      </c>
      <c r="AW1831" s="111">
        <f>G1831*AO1831</f>
      </c>
      <c r="AX1831" s="111">
        <f>G1831*AP1831</f>
      </c>
      <c r="AY1831" s="153" t="s">
        <v>2763</v>
      </c>
      <c r="AZ1831" s="153" t="s">
        <v>2764</v>
      </c>
      <c r="BA1831" s="132" t="s">
        <v>137</v>
      </c>
      <c r="BC1831" s="111">
        <f>AW1831+AX1831</f>
      </c>
      <c r="BD1831" s="111">
        <f>H1831/(100-BE1831)*100</f>
      </c>
      <c r="BE1831" s="111" t="n">
        <v>0</v>
      </c>
      <c r="BF1831" s="111">
        <f>1831</f>
      </c>
      <c r="BH1831" s="111">
        <f>G1831*AO1831</f>
      </c>
      <c r="BI1831" s="111">
        <f>G1831*AP1831</f>
      </c>
      <c r="BJ1831" s="111">
        <f>G1831*H1831</f>
      </c>
      <c r="BK1831" s="111"/>
      <c r="BL1831" s="111" t="n">
        <v>781</v>
      </c>
      <c r="BW1831" s="111" t="n">
        <v>21</v>
      </c>
      <c r="BX1831" s="14" t="s">
        <v>2549</v>
      </c>
    </row>
    <row r="1832" customHeight="true" ht="13.5">
      <c r="A1832" s="159"/>
      <c r="C1832" s="160" t="s">
        <v>146</v>
      </c>
      <c r="D1832" s="161" t="s">
        <v>2831</v>
      </c>
      <c r="E1832" s="156"/>
      <c r="F1832" s="156"/>
      <c r="G1832" s="156"/>
      <c r="H1832" s="162"/>
      <c r="I1832" s="156"/>
      <c r="J1832" s="156"/>
      <c r="K1832" s="163"/>
    </row>
    <row r="1833">
      <c r="A1833" s="154"/>
      <c r="B1833" s="155"/>
      <c r="C1833" s="155"/>
      <c r="D1833" s="156" t="s">
        <v>1026</v>
      </c>
      <c r="E1833" s="156" t="s">
        <v>864</v>
      </c>
      <c r="F1833" s="155"/>
      <c r="G1833" s="157" t="n">
        <v>25.896</v>
      </c>
      <c r="H1833" s="158"/>
      <c r="I1833" s="155"/>
      <c r="J1833" s="155"/>
      <c r="K1833" s="146"/>
    </row>
    <row r="1834">
      <c r="A1834" s="154"/>
      <c r="B1834" s="155"/>
      <c r="C1834" s="155"/>
      <c r="D1834" s="156" t="s">
        <v>1027</v>
      </c>
      <c r="E1834" s="156" t="s">
        <v>566</v>
      </c>
      <c r="F1834" s="155"/>
      <c r="G1834" s="157" t="n">
        <v>25.416</v>
      </c>
      <c r="H1834" s="158"/>
      <c r="I1834" s="155"/>
      <c r="J1834" s="155"/>
      <c r="K1834" s="146"/>
    </row>
    <row r="1835">
      <c r="A1835" s="154"/>
      <c r="B1835" s="155"/>
      <c r="C1835" s="155"/>
      <c r="D1835" s="156" t="s">
        <v>1028</v>
      </c>
      <c r="E1835" s="156" t="s">
        <v>865</v>
      </c>
      <c r="F1835" s="155"/>
      <c r="G1835" s="157" t="n">
        <v>18.342</v>
      </c>
      <c r="H1835" s="158"/>
      <c r="I1835" s="155"/>
      <c r="J1835" s="155"/>
      <c r="K1835" s="146"/>
    </row>
    <row r="1836">
      <c r="A1836" s="154"/>
      <c r="B1836" s="155"/>
      <c r="C1836" s="155"/>
      <c r="D1836" s="156" t="s">
        <v>1029</v>
      </c>
      <c r="E1836" s="156" t="s">
        <v>1030</v>
      </c>
      <c r="F1836" s="155"/>
      <c r="G1836" s="157" t="n">
        <v>17.236</v>
      </c>
      <c r="H1836" s="158"/>
      <c r="I1836" s="155"/>
      <c r="J1836" s="155"/>
      <c r="K1836" s="146"/>
    </row>
    <row r="1837">
      <c r="A1837" s="154"/>
      <c r="B1837" s="155"/>
      <c r="C1837" s="155"/>
      <c r="D1837" s="156" t="s">
        <v>1031</v>
      </c>
      <c r="E1837" s="156" t="s">
        <v>1032</v>
      </c>
      <c r="F1837" s="155"/>
      <c r="G1837" s="157" t="n">
        <v>25.429</v>
      </c>
      <c r="H1837" s="158"/>
      <c r="I1837" s="155"/>
      <c r="J1837" s="155"/>
      <c r="K1837" s="146"/>
    </row>
    <row r="1838">
      <c r="A1838" s="154"/>
      <c r="B1838" s="155"/>
      <c r="C1838" s="155"/>
      <c r="D1838" s="156" t="s">
        <v>1033</v>
      </c>
      <c r="E1838" s="156" t="s">
        <v>1034</v>
      </c>
      <c r="F1838" s="155"/>
      <c r="G1838" s="157" t="n">
        <v>12.973</v>
      </c>
      <c r="H1838" s="158"/>
      <c r="I1838" s="155"/>
      <c r="J1838" s="155"/>
      <c r="K1838" s="146"/>
    </row>
    <row r="1839">
      <c r="A1839" s="154"/>
      <c r="B1839" s="155"/>
      <c r="C1839" s="155"/>
      <c r="D1839" s="156" t="s">
        <v>1035</v>
      </c>
      <c r="E1839" s="156" t="s">
        <v>1008</v>
      </c>
      <c r="F1839" s="155"/>
      <c r="G1839" s="157" t="n">
        <v>15.441</v>
      </c>
      <c r="H1839" s="158"/>
      <c r="I1839" s="155"/>
      <c r="J1839" s="155"/>
      <c r="K1839" s="146"/>
    </row>
    <row r="1840">
      <c r="A1840" s="154"/>
      <c r="B1840" s="155"/>
      <c r="C1840" s="155"/>
      <c r="D1840" s="156" t="s">
        <v>1036</v>
      </c>
      <c r="E1840" s="156" t="s">
        <v>1010</v>
      </c>
      <c r="F1840" s="155"/>
      <c r="G1840" s="157" t="n">
        <v>16.061</v>
      </c>
      <c r="H1840" s="158"/>
      <c r="I1840" s="155"/>
      <c r="J1840" s="155"/>
      <c r="K1840" s="146"/>
    </row>
    <row r="1841">
      <c r="A1841" s="9" t="s">
        <v>2832</v>
      </c>
      <c r="B1841" s="10" t="s">
        <v>84</v>
      </c>
      <c r="C1841" s="10" t="s">
        <v>2833</v>
      </c>
      <c r="D1841" s="14" t="s">
        <v>2834</v>
      </c>
      <c r="E1841" s="10"/>
      <c r="F1841" s="10" t="s">
        <v>145</v>
      </c>
      <c r="G1841" s="111" t="n">
        <v>156.794</v>
      </c>
      <c r="H1841" s="152" t="n">
        <v>0</v>
      </c>
      <c r="I1841" s="111">
        <f>G1841*H1841</f>
      </c>
      <c r="J1841" s="153" t="s">
        <v>134</v>
      </c>
      <c r="K1841" s="146"/>
      <c r="Z1841" s="111">
        <f>IF(AQ1841="5",BJ1841,0)</f>
      </c>
      <c r="AB1841" s="111">
        <f>IF(AQ1841="1",BH1841,0)</f>
      </c>
      <c r="AC1841" s="111">
        <f>IF(AQ1841="1",BI1841,0)</f>
      </c>
      <c r="AD1841" s="111">
        <f>IF(AQ1841="7",BH1841,0)</f>
      </c>
      <c r="AE1841" s="111">
        <f>IF(AQ1841="7",BI1841,0)</f>
      </c>
      <c r="AF1841" s="111">
        <f>IF(AQ1841="2",BH1841,0)</f>
      </c>
      <c r="AG1841" s="111">
        <f>IF(AQ1841="2",BI1841,0)</f>
      </c>
      <c r="AH1841" s="111">
        <f>IF(AQ1841="0",BJ1841,0)</f>
      </c>
      <c r="AI1841" s="132" t="s">
        <v>84</v>
      </c>
      <c r="AJ1841" s="111">
        <f>IF(AN1841=0,I1841,0)</f>
      </c>
      <c r="AK1841" s="111">
        <f>IF(AN1841=12,I1841,0)</f>
      </c>
      <c r="AL1841" s="111">
        <f>IF(AN1841=21,I1841,0)</f>
      </c>
      <c r="AN1841" s="111" t="n">
        <v>21</v>
      </c>
      <c r="AO1841" s="111">
        <f>H1841*0</f>
      </c>
      <c r="AP1841" s="111">
        <f>H1841*(1-0)</f>
      </c>
      <c r="AQ1841" s="153" t="s">
        <v>173</v>
      </c>
      <c r="AV1841" s="111">
        <f>AW1841+AX1841</f>
      </c>
      <c r="AW1841" s="111">
        <f>G1841*AO1841</f>
      </c>
      <c r="AX1841" s="111">
        <f>G1841*AP1841</f>
      </c>
      <c r="AY1841" s="153" t="s">
        <v>2763</v>
      </c>
      <c r="AZ1841" s="153" t="s">
        <v>2764</v>
      </c>
      <c r="BA1841" s="132" t="s">
        <v>137</v>
      </c>
      <c r="BC1841" s="111">
        <f>AW1841+AX1841</f>
      </c>
      <c r="BD1841" s="111">
        <f>H1841/(100-BE1841)*100</f>
      </c>
      <c r="BE1841" s="111" t="n">
        <v>0</v>
      </c>
      <c r="BF1841" s="111">
        <f>1841</f>
      </c>
      <c r="BH1841" s="111">
        <f>G1841*AO1841</f>
      </c>
      <c r="BI1841" s="111">
        <f>G1841*AP1841</f>
      </c>
      <c r="BJ1841" s="111">
        <f>G1841*H1841</f>
      </c>
      <c r="BK1841" s="111"/>
      <c r="BL1841" s="111" t="n">
        <v>781</v>
      </c>
      <c r="BW1841" s="111" t="n">
        <v>21</v>
      </c>
      <c r="BX1841" s="14" t="s">
        <v>2834</v>
      </c>
    </row>
    <row r="1842">
      <c r="A1842" s="154"/>
      <c r="B1842" s="155"/>
      <c r="C1842" s="155"/>
      <c r="D1842" s="156" t="s">
        <v>1026</v>
      </c>
      <c r="E1842" s="156" t="s">
        <v>864</v>
      </c>
      <c r="F1842" s="155"/>
      <c r="G1842" s="157" t="n">
        <v>25.896</v>
      </c>
      <c r="H1842" s="158"/>
      <c r="I1842" s="155"/>
      <c r="J1842" s="155"/>
      <c r="K1842" s="146"/>
    </row>
    <row r="1843">
      <c r="A1843" s="154"/>
      <c r="B1843" s="155"/>
      <c r="C1843" s="155"/>
      <c r="D1843" s="156" t="s">
        <v>1027</v>
      </c>
      <c r="E1843" s="156" t="s">
        <v>566</v>
      </c>
      <c r="F1843" s="155"/>
      <c r="G1843" s="157" t="n">
        <v>25.416</v>
      </c>
      <c r="H1843" s="158"/>
      <c r="I1843" s="155"/>
      <c r="J1843" s="155"/>
      <c r="K1843" s="146"/>
    </row>
    <row r="1844">
      <c r="A1844" s="154"/>
      <c r="B1844" s="155"/>
      <c r="C1844" s="155"/>
      <c r="D1844" s="156" t="s">
        <v>1028</v>
      </c>
      <c r="E1844" s="156" t="s">
        <v>865</v>
      </c>
      <c r="F1844" s="155"/>
      <c r="G1844" s="157" t="n">
        <v>18.342</v>
      </c>
      <c r="H1844" s="158"/>
      <c r="I1844" s="155"/>
      <c r="J1844" s="155"/>
      <c r="K1844" s="146"/>
    </row>
    <row r="1845">
      <c r="A1845" s="154"/>
      <c r="B1845" s="155"/>
      <c r="C1845" s="155"/>
      <c r="D1845" s="156" t="s">
        <v>1029</v>
      </c>
      <c r="E1845" s="156" t="s">
        <v>1030</v>
      </c>
      <c r="F1845" s="155"/>
      <c r="G1845" s="157" t="n">
        <v>17.236</v>
      </c>
      <c r="H1845" s="158"/>
      <c r="I1845" s="155"/>
      <c r="J1845" s="155"/>
      <c r="K1845" s="146"/>
    </row>
    <row r="1846">
      <c r="A1846" s="154"/>
      <c r="B1846" s="155"/>
      <c r="C1846" s="155"/>
      <c r="D1846" s="156" t="s">
        <v>1031</v>
      </c>
      <c r="E1846" s="156" t="s">
        <v>1032</v>
      </c>
      <c r="F1846" s="155"/>
      <c r="G1846" s="157" t="n">
        <v>25.429</v>
      </c>
      <c r="H1846" s="158"/>
      <c r="I1846" s="155"/>
      <c r="J1846" s="155"/>
      <c r="K1846" s="146"/>
    </row>
    <row r="1847">
      <c r="A1847" s="154"/>
      <c r="B1847" s="155"/>
      <c r="C1847" s="155"/>
      <c r="D1847" s="156" t="s">
        <v>1033</v>
      </c>
      <c r="E1847" s="156" t="s">
        <v>1034</v>
      </c>
      <c r="F1847" s="155"/>
      <c r="G1847" s="157" t="n">
        <v>12.973</v>
      </c>
      <c r="H1847" s="158"/>
      <c r="I1847" s="155"/>
      <c r="J1847" s="155"/>
      <c r="K1847" s="146"/>
    </row>
    <row r="1848">
      <c r="A1848" s="154"/>
      <c r="B1848" s="155"/>
      <c r="C1848" s="155"/>
      <c r="D1848" s="156" t="s">
        <v>1035</v>
      </c>
      <c r="E1848" s="156" t="s">
        <v>1008</v>
      </c>
      <c r="F1848" s="155"/>
      <c r="G1848" s="157" t="n">
        <v>15.441</v>
      </c>
      <c r="H1848" s="158"/>
      <c r="I1848" s="155"/>
      <c r="J1848" s="155"/>
      <c r="K1848" s="146"/>
    </row>
    <row r="1849">
      <c r="A1849" s="154"/>
      <c r="B1849" s="155"/>
      <c r="C1849" s="155"/>
      <c r="D1849" s="156" t="s">
        <v>1036</v>
      </c>
      <c r="E1849" s="156" t="s">
        <v>1010</v>
      </c>
      <c r="F1849" s="155"/>
      <c r="G1849" s="157" t="n">
        <v>16.061</v>
      </c>
      <c r="H1849" s="158"/>
      <c r="I1849" s="155"/>
      <c r="J1849" s="155"/>
      <c r="K1849" s="146"/>
    </row>
    <row r="1850">
      <c r="A1850" s="9" t="s">
        <v>2835</v>
      </c>
      <c r="B1850" s="10" t="s">
        <v>84</v>
      </c>
      <c r="C1850" s="10" t="s">
        <v>2533</v>
      </c>
      <c r="D1850" s="14" t="s">
        <v>2836</v>
      </c>
      <c r="E1850" s="10"/>
      <c r="F1850" s="10" t="s">
        <v>282</v>
      </c>
      <c r="G1850" s="111" t="n">
        <v>69.2</v>
      </c>
      <c r="H1850" s="152" t="n">
        <v>0</v>
      </c>
      <c r="I1850" s="111">
        <f>G1850*H1850</f>
      </c>
      <c r="J1850" s="153" t="s">
        <v>134</v>
      </c>
      <c r="K1850" s="146"/>
      <c r="Z1850" s="111">
        <f>IF(AQ1850="5",BJ1850,0)</f>
      </c>
      <c r="AB1850" s="111">
        <f>IF(AQ1850="1",BH1850,0)</f>
      </c>
      <c r="AC1850" s="111">
        <f>IF(AQ1850="1",BI1850,0)</f>
      </c>
      <c r="AD1850" s="111">
        <f>IF(AQ1850="7",BH1850,0)</f>
      </c>
      <c r="AE1850" s="111">
        <f>IF(AQ1850="7",BI1850,0)</f>
      </c>
      <c r="AF1850" s="111">
        <f>IF(AQ1850="2",BH1850,0)</f>
      </c>
      <c r="AG1850" s="111">
        <f>IF(AQ1850="2",BI1850,0)</f>
      </c>
      <c r="AH1850" s="111">
        <f>IF(AQ1850="0",BJ1850,0)</f>
      </c>
      <c r="AI1850" s="132" t="s">
        <v>84</v>
      </c>
      <c r="AJ1850" s="111">
        <f>IF(AN1850=0,I1850,0)</f>
      </c>
      <c r="AK1850" s="111">
        <f>IF(AN1850=12,I1850,0)</f>
      </c>
      <c r="AL1850" s="111">
        <f>IF(AN1850=21,I1850,0)</f>
      </c>
      <c r="AN1850" s="111" t="n">
        <v>21</v>
      </c>
      <c r="AO1850" s="111">
        <f>H1850*0.500126743</f>
      </c>
      <c r="AP1850" s="111">
        <f>H1850*(1-0.500126743)</f>
      </c>
      <c r="AQ1850" s="153" t="s">
        <v>173</v>
      </c>
      <c r="AV1850" s="111">
        <f>AW1850+AX1850</f>
      </c>
      <c r="AW1850" s="111">
        <f>G1850*AO1850</f>
      </c>
      <c r="AX1850" s="111">
        <f>G1850*AP1850</f>
      </c>
      <c r="AY1850" s="153" t="s">
        <v>2763</v>
      </c>
      <c r="AZ1850" s="153" t="s">
        <v>2764</v>
      </c>
      <c r="BA1850" s="132" t="s">
        <v>137</v>
      </c>
      <c r="BC1850" s="111">
        <f>AW1850+AX1850</f>
      </c>
      <c r="BD1850" s="111">
        <f>H1850/(100-BE1850)*100</f>
      </c>
      <c r="BE1850" s="111" t="n">
        <v>0</v>
      </c>
      <c r="BF1850" s="111">
        <f>1850</f>
      </c>
      <c r="BH1850" s="111">
        <f>G1850*AO1850</f>
      </c>
      <c r="BI1850" s="111">
        <f>G1850*AP1850</f>
      </c>
      <c r="BJ1850" s="111">
        <f>G1850*H1850</f>
      </c>
      <c r="BK1850" s="111"/>
      <c r="BL1850" s="111" t="n">
        <v>781</v>
      </c>
      <c r="BW1850" s="111" t="n">
        <v>21</v>
      </c>
      <c r="BX1850" s="14" t="s">
        <v>2836</v>
      </c>
    </row>
    <row r="1851" customHeight="true" ht="13.5">
      <c r="A1851" s="159"/>
      <c r="C1851" s="160" t="s">
        <v>146</v>
      </c>
      <c r="D1851" s="161" t="s">
        <v>2837</v>
      </c>
      <c r="E1851" s="156"/>
      <c r="F1851" s="156"/>
      <c r="G1851" s="156"/>
      <c r="H1851" s="162"/>
      <c r="I1851" s="156"/>
      <c r="J1851" s="156"/>
      <c r="K1851" s="163"/>
    </row>
    <row r="1852">
      <c r="A1852" s="154"/>
      <c r="B1852" s="155"/>
      <c r="C1852" s="155"/>
      <c r="D1852" s="156" t="s">
        <v>2838</v>
      </c>
      <c r="E1852" s="156" t="s">
        <v>864</v>
      </c>
      <c r="F1852" s="155"/>
      <c r="G1852" s="157" t="n">
        <v>4.8</v>
      </c>
      <c r="H1852" s="158"/>
      <c r="I1852" s="155"/>
      <c r="J1852" s="155"/>
      <c r="K1852" s="146"/>
    </row>
    <row r="1853">
      <c r="A1853" s="154"/>
      <c r="B1853" s="155"/>
      <c r="C1853" s="155"/>
      <c r="D1853" s="156" t="s">
        <v>2838</v>
      </c>
      <c r="E1853" s="156" t="s">
        <v>566</v>
      </c>
      <c r="F1853" s="155"/>
      <c r="G1853" s="157" t="n">
        <v>4.8</v>
      </c>
      <c r="H1853" s="158"/>
      <c r="I1853" s="155"/>
      <c r="J1853" s="155"/>
      <c r="K1853" s="146"/>
    </row>
    <row r="1854">
      <c r="A1854" s="154"/>
      <c r="B1854" s="155"/>
      <c r="C1854" s="155"/>
      <c r="D1854" s="156" t="s">
        <v>2839</v>
      </c>
      <c r="E1854" s="156" t="s">
        <v>865</v>
      </c>
      <c r="F1854" s="155"/>
      <c r="G1854" s="157" t="n">
        <v>10.4</v>
      </c>
      <c r="H1854" s="158"/>
      <c r="I1854" s="155"/>
      <c r="J1854" s="155"/>
      <c r="K1854" s="146"/>
    </row>
    <row r="1855">
      <c r="A1855" s="154"/>
      <c r="B1855" s="155"/>
      <c r="C1855" s="155"/>
      <c r="D1855" s="156" t="s">
        <v>2839</v>
      </c>
      <c r="E1855" s="156" t="s">
        <v>1030</v>
      </c>
      <c r="F1855" s="155"/>
      <c r="G1855" s="157" t="n">
        <v>10.4</v>
      </c>
      <c r="H1855" s="158"/>
      <c r="I1855" s="155"/>
      <c r="J1855" s="155"/>
      <c r="K1855" s="146"/>
    </row>
    <row r="1856">
      <c r="A1856" s="154"/>
      <c r="B1856" s="155"/>
      <c r="C1856" s="155"/>
      <c r="D1856" s="156" t="s">
        <v>2839</v>
      </c>
      <c r="E1856" s="156" t="s">
        <v>1032</v>
      </c>
      <c r="F1856" s="155"/>
      <c r="G1856" s="157" t="n">
        <v>10.4</v>
      </c>
      <c r="H1856" s="158"/>
      <c r="I1856" s="155"/>
      <c r="J1856" s="155"/>
      <c r="K1856" s="146"/>
    </row>
    <row r="1857">
      <c r="A1857" s="154"/>
      <c r="B1857" s="155"/>
      <c r="C1857" s="155"/>
      <c r="D1857" s="156" t="s">
        <v>2839</v>
      </c>
      <c r="E1857" s="156" t="s">
        <v>1034</v>
      </c>
      <c r="F1857" s="155"/>
      <c r="G1857" s="157" t="n">
        <v>10.4</v>
      </c>
      <c r="H1857" s="158"/>
      <c r="I1857" s="155"/>
      <c r="J1857" s="155"/>
      <c r="K1857" s="146"/>
    </row>
    <row r="1858">
      <c r="A1858" s="154"/>
      <c r="B1858" s="155"/>
      <c r="C1858" s="155"/>
      <c r="D1858" s="156" t="s">
        <v>2840</v>
      </c>
      <c r="E1858" s="156" t="s">
        <v>1008</v>
      </c>
      <c r="F1858" s="155"/>
      <c r="G1858" s="157" t="n">
        <v>10</v>
      </c>
      <c r="H1858" s="158"/>
      <c r="I1858" s="155"/>
      <c r="J1858" s="155"/>
      <c r="K1858" s="146"/>
    </row>
    <row r="1859">
      <c r="A1859" s="154"/>
      <c r="B1859" s="155"/>
      <c r="C1859" s="155"/>
      <c r="D1859" s="156" t="s">
        <v>2841</v>
      </c>
      <c r="E1859" s="156" t="s">
        <v>1010</v>
      </c>
      <c r="F1859" s="155"/>
      <c r="G1859" s="157" t="n">
        <v>8</v>
      </c>
      <c r="H1859" s="158"/>
      <c r="I1859" s="155"/>
      <c r="J1859" s="155"/>
      <c r="K1859" s="146"/>
    </row>
    <row r="1860">
      <c r="A1860" s="9" t="s">
        <v>2842</v>
      </c>
      <c r="B1860" s="10" t="s">
        <v>84</v>
      </c>
      <c r="C1860" s="10" t="s">
        <v>2843</v>
      </c>
      <c r="D1860" s="14" t="s">
        <v>2844</v>
      </c>
      <c r="E1860" s="10"/>
      <c r="F1860" s="10" t="s">
        <v>282</v>
      </c>
      <c r="G1860" s="111" t="n">
        <v>19.2</v>
      </c>
      <c r="H1860" s="152" t="n">
        <v>0</v>
      </c>
      <c r="I1860" s="111">
        <f>G1860*H1860</f>
      </c>
      <c r="J1860" s="153" t="s">
        <v>134</v>
      </c>
      <c r="K1860" s="146"/>
      <c r="Z1860" s="111">
        <f>IF(AQ1860="5",BJ1860,0)</f>
      </c>
      <c r="AB1860" s="111">
        <f>IF(AQ1860="1",BH1860,0)</f>
      </c>
      <c r="AC1860" s="111">
        <f>IF(AQ1860="1",BI1860,0)</f>
      </c>
      <c r="AD1860" s="111">
        <f>IF(AQ1860="7",BH1860,0)</f>
      </c>
      <c r="AE1860" s="111">
        <f>IF(AQ1860="7",BI1860,0)</f>
      </c>
      <c r="AF1860" s="111">
        <f>IF(AQ1860="2",BH1860,0)</f>
      </c>
      <c r="AG1860" s="111">
        <f>IF(AQ1860="2",BI1860,0)</f>
      </c>
      <c r="AH1860" s="111">
        <f>IF(AQ1860="0",BJ1860,0)</f>
      </c>
      <c r="AI1860" s="132" t="s">
        <v>84</v>
      </c>
      <c r="AJ1860" s="111">
        <f>IF(AN1860=0,I1860,0)</f>
      </c>
      <c r="AK1860" s="111">
        <f>IF(AN1860=12,I1860,0)</f>
      </c>
      <c r="AL1860" s="111">
        <f>IF(AN1860=21,I1860,0)</f>
      </c>
      <c r="AN1860" s="111" t="n">
        <v>21</v>
      </c>
      <c r="AO1860" s="111">
        <f>H1860*0.795431165</f>
      </c>
      <c r="AP1860" s="111">
        <f>H1860*(1-0.795431165)</f>
      </c>
      <c r="AQ1860" s="153" t="s">
        <v>173</v>
      </c>
      <c r="AV1860" s="111">
        <f>AW1860+AX1860</f>
      </c>
      <c r="AW1860" s="111">
        <f>G1860*AO1860</f>
      </c>
      <c r="AX1860" s="111">
        <f>G1860*AP1860</f>
      </c>
      <c r="AY1860" s="153" t="s">
        <v>2763</v>
      </c>
      <c r="AZ1860" s="153" t="s">
        <v>2764</v>
      </c>
      <c r="BA1860" s="132" t="s">
        <v>137</v>
      </c>
      <c r="BC1860" s="111">
        <f>AW1860+AX1860</f>
      </c>
      <c r="BD1860" s="111">
        <f>H1860/(100-BE1860)*100</f>
      </c>
      <c r="BE1860" s="111" t="n">
        <v>0</v>
      </c>
      <c r="BF1860" s="111">
        <f>1860</f>
      </c>
      <c r="BH1860" s="111">
        <f>G1860*AO1860</f>
      </c>
      <c r="BI1860" s="111">
        <f>G1860*AP1860</f>
      </c>
      <c r="BJ1860" s="111">
        <f>G1860*H1860</f>
      </c>
      <c r="BK1860" s="111"/>
      <c r="BL1860" s="111" t="n">
        <v>781</v>
      </c>
      <c r="BW1860" s="111" t="n">
        <v>21</v>
      </c>
      <c r="BX1860" s="14" t="s">
        <v>2844</v>
      </c>
    </row>
    <row r="1861" customHeight="true" ht="13.5">
      <c r="A1861" s="159"/>
      <c r="C1861" s="160" t="s">
        <v>146</v>
      </c>
      <c r="D1861" s="161" t="s">
        <v>2845</v>
      </c>
      <c r="E1861" s="156"/>
      <c r="F1861" s="156"/>
      <c r="G1861" s="156"/>
      <c r="H1861" s="162"/>
      <c r="I1861" s="156"/>
      <c r="J1861" s="156"/>
      <c r="K1861" s="163"/>
    </row>
    <row r="1862">
      <c r="A1862" s="154"/>
      <c r="B1862" s="155"/>
      <c r="C1862" s="155"/>
      <c r="D1862" s="156" t="s">
        <v>2846</v>
      </c>
      <c r="E1862" s="156" t="s">
        <v>864</v>
      </c>
      <c r="F1862" s="155"/>
      <c r="G1862" s="157" t="n">
        <v>9.6</v>
      </c>
      <c r="H1862" s="158"/>
      <c r="I1862" s="155"/>
      <c r="J1862" s="155"/>
      <c r="K1862" s="146"/>
    </row>
    <row r="1863">
      <c r="A1863" s="154"/>
      <c r="B1863" s="155"/>
      <c r="C1863" s="155"/>
      <c r="D1863" s="156" t="s">
        <v>2846</v>
      </c>
      <c r="E1863" s="156" t="s">
        <v>566</v>
      </c>
      <c r="F1863" s="155"/>
      <c r="G1863" s="157" t="n">
        <v>9.6</v>
      </c>
      <c r="H1863" s="158"/>
      <c r="I1863" s="155"/>
      <c r="J1863" s="155"/>
      <c r="K1863" s="146"/>
    </row>
    <row r="1864">
      <c r="A1864" s="9" t="s">
        <v>2847</v>
      </c>
      <c r="B1864" s="10" t="s">
        <v>84</v>
      </c>
      <c r="C1864" s="10" t="s">
        <v>2848</v>
      </c>
      <c r="D1864" s="14" t="s">
        <v>2849</v>
      </c>
      <c r="E1864" s="10"/>
      <c r="F1864" s="10" t="s">
        <v>282</v>
      </c>
      <c r="G1864" s="111" t="n">
        <v>20.5</v>
      </c>
      <c r="H1864" s="152" t="n">
        <v>0</v>
      </c>
      <c r="I1864" s="111">
        <f>G1864*H1864</f>
      </c>
      <c r="J1864" s="153" t="s">
        <v>134</v>
      </c>
      <c r="K1864" s="146"/>
      <c r="Z1864" s="111">
        <f>IF(AQ1864="5",BJ1864,0)</f>
      </c>
      <c r="AB1864" s="111">
        <f>IF(AQ1864="1",BH1864,0)</f>
      </c>
      <c r="AC1864" s="111">
        <f>IF(AQ1864="1",BI1864,0)</f>
      </c>
      <c r="AD1864" s="111">
        <f>IF(AQ1864="7",BH1864,0)</f>
      </c>
      <c r="AE1864" s="111">
        <f>IF(AQ1864="7",BI1864,0)</f>
      </c>
      <c r="AF1864" s="111">
        <f>IF(AQ1864="2",BH1864,0)</f>
      </c>
      <c r="AG1864" s="111">
        <f>IF(AQ1864="2",BI1864,0)</f>
      </c>
      <c r="AH1864" s="111">
        <f>IF(AQ1864="0",BJ1864,0)</f>
      </c>
      <c r="AI1864" s="132" t="s">
        <v>84</v>
      </c>
      <c r="AJ1864" s="111">
        <f>IF(AN1864=0,I1864,0)</f>
      </c>
      <c r="AK1864" s="111">
        <f>IF(AN1864=12,I1864,0)</f>
      </c>
      <c r="AL1864" s="111">
        <f>IF(AN1864=21,I1864,0)</f>
      </c>
      <c r="AN1864" s="111" t="n">
        <v>21</v>
      </c>
      <c r="AO1864" s="111">
        <f>H1864*0.788056426</f>
      </c>
      <c r="AP1864" s="111">
        <f>H1864*(1-0.788056426)</f>
      </c>
      <c r="AQ1864" s="153" t="s">
        <v>173</v>
      </c>
      <c r="AV1864" s="111">
        <f>AW1864+AX1864</f>
      </c>
      <c r="AW1864" s="111">
        <f>G1864*AO1864</f>
      </c>
      <c r="AX1864" s="111">
        <f>G1864*AP1864</f>
      </c>
      <c r="AY1864" s="153" t="s">
        <v>2763</v>
      </c>
      <c r="AZ1864" s="153" t="s">
        <v>2764</v>
      </c>
      <c r="BA1864" s="132" t="s">
        <v>137</v>
      </c>
      <c r="BC1864" s="111">
        <f>AW1864+AX1864</f>
      </c>
      <c r="BD1864" s="111">
        <f>H1864/(100-BE1864)*100</f>
      </c>
      <c r="BE1864" s="111" t="n">
        <v>0</v>
      </c>
      <c r="BF1864" s="111">
        <f>1864</f>
      </c>
      <c r="BH1864" s="111">
        <f>G1864*AO1864</f>
      </c>
      <c r="BI1864" s="111">
        <f>G1864*AP1864</f>
      </c>
      <c r="BJ1864" s="111">
        <f>G1864*H1864</f>
      </c>
      <c r="BK1864" s="111"/>
      <c r="BL1864" s="111" t="n">
        <v>781</v>
      </c>
      <c r="BW1864" s="111" t="n">
        <v>21</v>
      </c>
      <c r="BX1864" s="14" t="s">
        <v>2849</v>
      </c>
    </row>
    <row r="1865" customHeight="true" ht="13.5">
      <c r="A1865" s="159"/>
      <c r="C1865" s="160" t="s">
        <v>146</v>
      </c>
      <c r="D1865" s="161" t="s">
        <v>2850</v>
      </c>
      <c r="E1865" s="156"/>
      <c r="F1865" s="156"/>
      <c r="G1865" s="156"/>
      <c r="H1865" s="162"/>
      <c r="I1865" s="156"/>
      <c r="J1865" s="156"/>
      <c r="K1865" s="163"/>
    </row>
    <row r="1866">
      <c r="A1866" s="154"/>
      <c r="B1866" s="155"/>
      <c r="C1866" s="155"/>
      <c r="D1866" s="156" t="s">
        <v>2838</v>
      </c>
      <c r="E1866" s="156" t="s">
        <v>2851</v>
      </c>
      <c r="F1866" s="155"/>
      <c r="G1866" s="157" t="n">
        <v>4.8</v>
      </c>
      <c r="H1866" s="158"/>
      <c r="I1866" s="155"/>
      <c r="J1866" s="155"/>
      <c r="K1866" s="146"/>
    </row>
    <row r="1867">
      <c r="A1867" s="154"/>
      <c r="B1867" s="155"/>
      <c r="C1867" s="155"/>
      <c r="D1867" s="156" t="s">
        <v>2838</v>
      </c>
      <c r="E1867" s="156" t="s">
        <v>2852</v>
      </c>
      <c r="F1867" s="155"/>
      <c r="G1867" s="157" t="n">
        <v>4.8</v>
      </c>
      <c r="H1867" s="158"/>
      <c r="I1867" s="155"/>
      <c r="J1867" s="155"/>
      <c r="K1867" s="146"/>
    </row>
    <row r="1868">
      <c r="A1868" s="154"/>
      <c r="B1868" s="155"/>
      <c r="C1868" s="155"/>
      <c r="D1868" s="156" t="s">
        <v>2853</v>
      </c>
      <c r="E1868" s="156" t="s">
        <v>2784</v>
      </c>
      <c r="F1868" s="155"/>
      <c r="G1868" s="157" t="n">
        <v>2.2</v>
      </c>
      <c r="H1868" s="158"/>
      <c r="I1868" s="155"/>
      <c r="J1868" s="155"/>
      <c r="K1868" s="146"/>
    </row>
    <row r="1869">
      <c r="A1869" s="154"/>
      <c r="B1869" s="155"/>
      <c r="C1869" s="155"/>
      <c r="D1869" s="156" t="s">
        <v>2853</v>
      </c>
      <c r="E1869" s="156" t="s">
        <v>2854</v>
      </c>
      <c r="F1869" s="155"/>
      <c r="G1869" s="157" t="n">
        <v>2.2</v>
      </c>
      <c r="H1869" s="158"/>
      <c r="I1869" s="155"/>
      <c r="J1869" s="155"/>
      <c r="K1869" s="146"/>
    </row>
    <row r="1870">
      <c r="A1870" s="154"/>
      <c r="B1870" s="155"/>
      <c r="C1870" s="155"/>
      <c r="D1870" s="156" t="s">
        <v>2853</v>
      </c>
      <c r="E1870" s="156" t="s">
        <v>2855</v>
      </c>
      <c r="F1870" s="155"/>
      <c r="G1870" s="157" t="n">
        <v>2.2</v>
      </c>
      <c r="H1870" s="158"/>
      <c r="I1870" s="155"/>
      <c r="J1870" s="155"/>
      <c r="K1870" s="146"/>
    </row>
    <row r="1871">
      <c r="A1871" s="154"/>
      <c r="B1871" s="155"/>
      <c r="C1871" s="155"/>
      <c r="D1871" s="156" t="s">
        <v>2856</v>
      </c>
      <c r="E1871" s="156" t="s">
        <v>2857</v>
      </c>
      <c r="F1871" s="155"/>
      <c r="G1871" s="157" t="n">
        <v>3.05</v>
      </c>
      <c r="H1871" s="158"/>
      <c r="I1871" s="155"/>
      <c r="J1871" s="155"/>
      <c r="K1871" s="146"/>
    </row>
    <row r="1872">
      <c r="A1872" s="154"/>
      <c r="B1872" s="155"/>
      <c r="C1872" s="155"/>
      <c r="D1872" s="156" t="s">
        <v>2796</v>
      </c>
      <c r="E1872" s="156" t="s">
        <v>2858</v>
      </c>
      <c r="F1872" s="155"/>
      <c r="G1872" s="157" t="n">
        <v>1.25</v>
      </c>
      <c r="H1872" s="158"/>
      <c r="I1872" s="155"/>
      <c r="J1872" s="155"/>
      <c r="K1872" s="146"/>
    </row>
    <row r="1873">
      <c r="A1873" s="9" t="s">
        <v>2859</v>
      </c>
      <c r="B1873" s="10" t="s">
        <v>84</v>
      </c>
      <c r="C1873" s="10" t="s">
        <v>2860</v>
      </c>
      <c r="D1873" s="14" t="s">
        <v>2861</v>
      </c>
      <c r="E1873" s="10"/>
      <c r="F1873" s="10" t="s">
        <v>282</v>
      </c>
      <c r="G1873" s="111" t="n">
        <v>53.46</v>
      </c>
      <c r="H1873" s="152" t="n">
        <v>0</v>
      </c>
      <c r="I1873" s="111">
        <f>G1873*H1873</f>
      </c>
      <c r="J1873" s="153" t="s">
        <v>134</v>
      </c>
      <c r="K1873" s="146"/>
      <c r="Z1873" s="111">
        <f>IF(AQ1873="5",BJ1873,0)</f>
      </c>
      <c r="AB1873" s="111">
        <f>IF(AQ1873="1",BH1873,0)</f>
      </c>
      <c r="AC1873" s="111">
        <f>IF(AQ1873="1",BI1873,0)</f>
      </c>
      <c r="AD1873" s="111">
        <f>IF(AQ1873="7",BH1873,0)</f>
      </c>
      <c r="AE1873" s="111">
        <f>IF(AQ1873="7",BI1873,0)</f>
      </c>
      <c r="AF1873" s="111">
        <f>IF(AQ1873="2",BH1873,0)</f>
      </c>
      <c r="AG1873" s="111">
        <f>IF(AQ1873="2",BI1873,0)</f>
      </c>
      <c r="AH1873" s="111">
        <f>IF(AQ1873="0",BJ1873,0)</f>
      </c>
      <c r="AI1873" s="132" t="s">
        <v>84</v>
      </c>
      <c r="AJ1873" s="111">
        <f>IF(AN1873=0,I1873,0)</f>
      </c>
      <c r="AK1873" s="111">
        <f>IF(AN1873=12,I1873,0)</f>
      </c>
      <c r="AL1873" s="111">
        <f>IF(AN1873=21,I1873,0)</f>
      </c>
      <c r="AN1873" s="111" t="n">
        <v>21</v>
      </c>
      <c r="AO1873" s="111">
        <f>H1873*0.770424448</f>
      </c>
      <c r="AP1873" s="111">
        <f>H1873*(1-0.770424448)</f>
      </c>
      <c r="AQ1873" s="153" t="s">
        <v>173</v>
      </c>
      <c r="AV1873" s="111">
        <f>AW1873+AX1873</f>
      </c>
      <c r="AW1873" s="111">
        <f>G1873*AO1873</f>
      </c>
      <c r="AX1873" s="111">
        <f>G1873*AP1873</f>
      </c>
      <c r="AY1873" s="153" t="s">
        <v>2763</v>
      </c>
      <c r="AZ1873" s="153" t="s">
        <v>2764</v>
      </c>
      <c r="BA1873" s="132" t="s">
        <v>137</v>
      </c>
      <c r="BC1873" s="111">
        <f>AW1873+AX1873</f>
      </c>
      <c r="BD1873" s="111">
        <f>H1873/(100-BE1873)*100</f>
      </c>
      <c r="BE1873" s="111" t="n">
        <v>0</v>
      </c>
      <c r="BF1873" s="111">
        <f>1873</f>
      </c>
      <c r="BH1873" s="111">
        <f>G1873*AO1873</f>
      </c>
      <c r="BI1873" s="111">
        <f>G1873*AP1873</f>
      </c>
      <c r="BJ1873" s="111">
        <f>G1873*H1873</f>
      </c>
      <c r="BK1873" s="111"/>
      <c r="BL1873" s="111" t="n">
        <v>781</v>
      </c>
      <c r="BW1873" s="111" t="n">
        <v>21</v>
      </c>
      <c r="BX1873" s="14" t="s">
        <v>2861</v>
      </c>
    </row>
    <row r="1874" customHeight="true" ht="13.5">
      <c r="A1874" s="159"/>
      <c r="C1874" s="160" t="s">
        <v>146</v>
      </c>
      <c r="D1874" s="161" t="s">
        <v>2862</v>
      </c>
      <c r="E1874" s="156"/>
      <c r="F1874" s="156"/>
      <c r="G1874" s="156"/>
      <c r="H1874" s="162"/>
      <c r="I1874" s="156"/>
      <c r="J1874" s="156"/>
      <c r="K1874" s="163"/>
    </row>
    <row r="1875">
      <c r="A1875" s="154"/>
      <c r="B1875" s="155"/>
      <c r="C1875" s="155"/>
      <c r="D1875" s="156" t="s">
        <v>2863</v>
      </c>
      <c r="E1875" s="156" t="s">
        <v>864</v>
      </c>
      <c r="F1875" s="155"/>
      <c r="G1875" s="157" t="n">
        <v>6.6</v>
      </c>
      <c r="H1875" s="158"/>
      <c r="I1875" s="155"/>
      <c r="J1875" s="155"/>
      <c r="K1875" s="146"/>
    </row>
    <row r="1876">
      <c r="A1876" s="154"/>
      <c r="B1876" s="155"/>
      <c r="C1876" s="155"/>
      <c r="D1876" s="156" t="s">
        <v>2863</v>
      </c>
      <c r="E1876" s="156" t="s">
        <v>566</v>
      </c>
      <c r="F1876" s="155"/>
      <c r="G1876" s="157" t="n">
        <v>6.6</v>
      </c>
      <c r="H1876" s="158"/>
      <c r="I1876" s="155"/>
      <c r="J1876" s="155"/>
      <c r="K1876" s="146"/>
    </row>
    <row r="1877">
      <c r="A1877" s="154"/>
      <c r="B1877" s="155"/>
      <c r="C1877" s="155"/>
      <c r="D1877" s="156" t="s">
        <v>2864</v>
      </c>
      <c r="E1877" s="156" t="s">
        <v>2865</v>
      </c>
      <c r="F1877" s="155"/>
      <c r="G1877" s="157" t="n">
        <v>7.69</v>
      </c>
      <c r="H1877" s="158"/>
      <c r="I1877" s="155"/>
      <c r="J1877" s="155"/>
      <c r="K1877" s="146"/>
    </row>
    <row r="1878">
      <c r="A1878" s="154"/>
      <c r="B1878" s="155"/>
      <c r="C1878" s="155"/>
      <c r="D1878" s="156" t="s">
        <v>2866</v>
      </c>
      <c r="E1878" s="156" t="s">
        <v>1030</v>
      </c>
      <c r="F1878" s="155"/>
      <c r="G1878" s="157" t="n">
        <v>8.29</v>
      </c>
      <c r="H1878" s="158"/>
      <c r="I1878" s="155"/>
      <c r="J1878" s="155"/>
      <c r="K1878" s="146"/>
    </row>
    <row r="1879">
      <c r="A1879" s="154"/>
      <c r="B1879" s="155"/>
      <c r="C1879" s="155"/>
      <c r="D1879" s="156" t="s">
        <v>2867</v>
      </c>
      <c r="E1879" s="156" t="s">
        <v>1032</v>
      </c>
      <c r="F1879" s="155"/>
      <c r="G1879" s="157" t="n">
        <v>9.24</v>
      </c>
      <c r="H1879" s="158"/>
      <c r="I1879" s="155"/>
      <c r="J1879" s="155"/>
      <c r="K1879" s="146"/>
    </row>
    <row r="1880">
      <c r="A1880" s="154"/>
      <c r="B1880" s="155"/>
      <c r="C1880" s="155"/>
      <c r="D1880" s="156" t="s">
        <v>2868</v>
      </c>
      <c r="E1880" s="156" t="s">
        <v>1034</v>
      </c>
      <c r="F1880" s="155"/>
      <c r="G1880" s="157" t="n">
        <v>4.84</v>
      </c>
      <c r="H1880" s="158"/>
      <c r="I1880" s="155"/>
      <c r="J1880" s="155"/>
      <c r="K1880" s="146"/>
    </row>
    <row r="1881">
      <c r="A1881" s="154"/>
      <c r="B1881" s="155"/>
      <c r="C1881" s="155"/>
      <c r="D1881" s="156" t="s">
        <v>2869</v>
      </c>
      <c r="E1881" s="156" t="s">
        <v>2870</v>
      </c>
      <c r="F1881" s="155"/>
      <c r="G1881" s="157" t="n">
        <v>4</v>
      </c>
      <c r="H1881" s="158"/>
      <c r="I1881" s="155"/>
      <c r="J1881" s="155"/>
      <c r="K1881" s="146"/>
    </row>
    <row r="1882">
      <c r="A1882" s="154"/>
      <c r="B1882" s="155"/>
      <c r="C1882" s="155"/>
      <c r="D1882" s="156" t="s">
        <v>2871</v>
      </c>
      <c r="E1882" s="156" t="s">
        <v>2872</v>
      </c>
      <c r="F1882" s="155"/>
      <c r="G1882" s="157" t="n">
        <v>6.2</v>
      </c>
      <c r="H1882" s="158"/>
      <c r="I1882" s="155"/>
      <c r="J1882" s="155"/>
      <c r="K1882" s="146"/>
    </row>
    <row r="1883">
      <c r="A1883" s="9" t="s">
        <v>2873</v>
      </c>
      <c r="B1883" s="10" t="s">
        <v>84</v>
      </c>
      <c r="C1883" s="10" t="s">
        <v>2874</v>
      </c>
      <c r="D1883" s="14" t="s">
        <v>2875</v>
      </c>
      <c r="E1883" s="10"/>
      <c r="F1883" s="10" t="s">
        <v>61</v>
      </c>
      <c r="G1883" s="111" t="n">
        <v>4.3</v>
      </c>
      <c r="H1883" s="152" t="n">
        <v>0</v>
      </c>
      <c r="I1883" s="111">
        <f>G1883*H1883</f>
      </c>
      <c r="J1883" s="153" t="s">
        <v>134</v>
      </c>
      <c r="K1883" s="146"/>
      <c r="Z1883" s="111">
        <f>IF(AQ1883="5",BJ1883,0)</f>
      </c>
      <c r="AB1883" s="111">
        <f>IF(AQ1883="1",BH1883,0)</f>
      </c>
      <c r="AC1883" s="111">
        <f>IF(AQ1883="1",BI1883,0)</f>
      </c>
      <c r="AD1883" s="111">
        <f>IF(AQ1883="7",BH1883,0)</f>
      </c>
      <c r="AE1883" s="111">
        <f>IF(AQ1883="7",BI1883,0)</f>
      </c>
      <c r="AF1883" s="111">
        <f>IF(AQ1883="2",BH1883,0)</f>
      </c>
      <c r="AG1883" s="111">
        <f>IF(AQ1883="2",BI1883,0)</f>
      </c>
      <c r="AH1883" s="111">
        <f>IF(AQ1883="0",BJ1883,0)</f>
      </c>
      <c r="AI1883" s="132" t="s">
        <v>84</v>
      </c>
      <c r="AJ1883" s="111">
        <f>IF(AN1883=0,I1883,0)</f>
      </c>
      <c r="AK1883" s="111">
        <f>IF(AN1883=12,I1883,0)</f>
      </c>
      <c r="AL1883" s="111">
        <f>IF(AN1883=21,I1883,0)</f>
      </c>
      <c r="AN1883" s="111" t="n">
        <v>21</v>
      </c>
      <c r="AO1883" s="111">
        <f>H1883*0</f>
      </c>
      <c r="AP1883" s="111">
        <f>H1883*(1-0)</f>
      </c>
      <c r="AQ1883" s="153" t="s">
        <v>156</v>
      </c>
      <c r="AV1883" s="111">
        <f>AW1883+AX1883</f>
      </c>
      <c r="AW1883" s="111">
        <f>G1883*AO1883</f>
      </c>
      <c r="AX1883" s="111">
        <f>G1883*AP1883</f>
      </c>
      <c r="AY1883" s="153" t="s">
        <v>2763</v>
      </c>
      <c r="AZ1883" s="153" t="s">
        <v>2764</v>
      </c>
      <c r="BA1883" s="132" t="s">
        <v>137</v>
      </c>
      <c r="BC1883" s="111">
        <f>AW1883+AX1883</f>
      </c>
      <c r="BD1883" s="111">
        <f>H1883/(100-BE1883)*100</f>
      </c>
      <c r="BE1883" s="111" t="n">
        <v>0</v>
      </c>
      <c r="BF1883" s="111">
        <f>1883</f>
      </c>
      <c r="BH1883" s="111">
        <f>G1883*AO1883</f>
      </c>
      <c r="BI1883" s="111">
        <f>G1883*AP1883</f>
      </c>
      <c r="BJ1883" s="111">
        <f>G1883*H1883</f>
      </c>
      <c r="BK1883" s="111"/>
      <c r="BL1883" s="111" t="n">
        <v>781</v>
      </c>
      <c r="BW1883" s="111" t="n">
        <v>21</v>
      </c>
      <c r="BX1883" s="14" t="s">
        <v>2875</v>
      </c>
    </row>
    <row r="1884">
      <c r="A1884" s="9" t="s">
        <v>2876</v>
      </c>
      <c r="B1884" s="10" t="s">
        <v>84</v>
      </c>
      <c r="C1884" s="10" t="s">
        <v>2877</v>
      </c>
      <c r="D1884" s="14" t="s">
        <v>2878</v>
      </c>
      <c r="E1884" s="10"/>
      <c r="F1884" s="10" t="s">
        <v>61</v>
      </c>
      <c r="G1884" s="111" t="n">
        <v>1.55</v>
      </c>
      <c r="H1884" s="152" t="n">
        <v>0</v>
      </c>
      <c r="I1884" s="111">
        <f>G1884*H1884</f>
      </c>
      <c r="J1884" s="153" t="s">
        <v>134</v>
      </c>
      <c r="K1884" s="146"/>
      <c r="Z1884" s="111">
        <f>IF(AQ1884="5",BJ1884,0)</f>
      </c>
      <c r="AB1884" s="111">
        <f>IF(AQ1884="1",BH1884,0)</f>
      </c>
      <c r="AC1884" s="111">
        <f>IF(AQ1884="1",BI1884,0)</f>
      </c>
      <c r="AD1884" s="111">
        <f>IF(AQ1884="7",BH1884,0)</f>
      </c>
      <c r="AE1884" s="111">
        <f>IF(AQ1884="7",BI1884,0)</f>
      </c>
      <c r="AF1884" s="111">
        <f>IF(AQ1884="2",BH1884,0)</f>
      </c>
      <c r="AG1884" s="111">
        <f>IF(AQ1884="2",BI1884,0)</f>
      </c>
      <c r="AH1884" s="111">
        <f>IF(AQ1884="0",BJ1884,0)</f>
      </c>
      <c r="AI1884" s="132" t="s">
        <v>84</v>
      </c>
      <c r="AJ1884" s="111">
        <f>IF(AN1884=0,I1884,0)</f>
      </c>
      <c r="AK1884" s="111">
        <f>IF(AN1884=12,I1884,0)</f>
      </c>
      <c r="AL1884" s="111">
        <f>IF(AN1884=21,I1884,0)</f>
      </c>
      <c r="AN1884" s="111" t="n">
        <v>21</v>
      </c>
      <c r="AO1884" s="111">
        <f>H1884*0</f>
      </c>
      <c r="AP1884" s="111">
        <f>H1884*(1-0)</f>
      </c>
      <c r="AQ1884" s="153" t="s">
        <v>156</v>
      </c>
      <c r="AV1884" s="111">
        <f>AW1884+AX1884</f>
      </c>
      <c r="AW1884" s="111">
        <f>G1884*AO1884</f>
      </c>
      <c r="AX1884" s="111">
        <f>G1884*AP1884</f>
      </c>
      <c r="AY1884" s="153" t="s">
        <v>2763</v>
      </c>
      <c r="AZ1884" s="153" t="s">
        <v>2764</v>
      </c>
      <c r="BA1884" s="132" t="s">
        <v>137</v>
      </c>
      <c r="BC1884" s="111">
        <f>AW1884+AX1884</f>
      </c>
      <c r="BD1884" s="111">
        <f>H1884/(100-BE1884)*100</f>
      </c>
      <c r="BE1884" s="111" t="n">
        <v>0</v>
      </c>
      <c r="BF1884" s="111">
        <f>1884</f>
      </c>
      <c r="BH1884" s="111">
        <f>G1884*AO1884</f>
      </c>
      <c r="BI1884" s="111">
        <f>G1884*AP1884</f>
      </c>
      <c r="BJ1884" s="111">
        <f>G1884*H1884</f>
      </c>
      <c r="BK1884" s="111"/>
      <c r="BL1884" s="111" t="n">
        <v>781</v>
      </c>
      <c r="BW1884" s="111" t="n">
        <v>21</v>
      </c>
      <c r="BX1884" s="14" t="s">
        <v>2878</v>
      </c>
    </row>
    <row r="1885">
      <c r="A1885" s="147" t="s">
        <v>4</v>
      </c>
      <c r="B1885" s="148" t="s">
        <v>84</v>
      </c>
      <c r="C1885" s="148" t="s">
        <v>2879</v>
      </c>
      <c r="D1885" s="149" t="s">
        <v>2880</v>
      </c>
      <c r="E1885" s="148"/>
      <c r="F1885" s="150" t="s">
        <v>79</v>
      </c>
      <c r="G1885" s="150" t="s">
        <v>79</v>
      </c>
      <c r="H1885" s="151" t="s">
        <v>79</v>
      </c>
      <c r="I1885" s="117">
        <f>SUM(I1886:I1908)</f>
      </c>
      <c r="J1885" s="132" t="s">
        <v>4</v>
      </c>
      <c r="K1885" s="146"/>
      <c r="AI1885" s="132" t="s">
        <v>84</v>
      </c>
      <c r="AS1885" s="117">
        <f>SUM(AJ1886:AJ1908)</f>
      </c>
      <c r="AT1885" s="117">
        <f>SUM(AK1886:AK1908)</f>
      </c>
      <c r="AU1885" s="117">
        <f>SUM(AL1886:AL1908)</f>
      </c>
    </row>
    <row r="1886">
      <c r="A1886" s="9" t="s">
        <v>2881</v>
      </c>
      <c r="B1886" s="10" t="s">
        <v>84</v>
      </c>
      <c r="C1886" s="10" t="s">
        <v>2882</v>
      </c>
      <c r="D1886" s="14" t="s">
        <v>2883</v>
      </c>
      <c r="E1886" s="10"/>
      <c r="F1886" s="10" t="s">
        <v>145</v>
      </c>
      <c r="G1886" s="111" t="n">
        <v>561.98</v>
      </c>
      <c r="H1886" s="152" t="n">
        <v>0</v>
      </c>
      <c r="I1886" s="111">
        <f>G1886*H1886</f>
      </c>
      <c r="J1886" s="153" t="s">
        <v>134</v>
      </c>
      <c r="K1886" s="146"/>
      <c r="Z1886" s="111">
        <f>IF(AQ1886="5",BJ1886,0)</f>
      </c>
      <c r="AB1886" s="111">
        <f>IF(AQ1886="1",BH1886,0)</f>
      </c>
      <c r="AC1886" s="111">
        <f>IF(AQ1886="1",BI1886,0)</f>
      </c>
      <c r="AD1886" s="111">
        <f>IF(AQ1886="7",BH1886,0)</f>
      </c>
      <c r="AE1886" s="111">
        <f>IF(AQ1886="7",BI1886,0)</f>
      </c>
      <c r="AF1886" s="111">
        <f>IF(AQ1886="2",BH1886,0)</f>
      </c>
      <c r="AG1886" s="111">
        <f>IF(AQ1886="2",BI1886,0)</f>
      </c>
      <c r="AH1886" s="111">
        <f>IF(AQ1886="0",BJ1886,0)</f>
      </c>
      <c r="AI1886" s="132" t="s">
        <v>84</v>
      </c>
      <c r="AJ1886" s="111">
        <f>IF(AN1886=0,I1886,0)</f>
      </c>
      <c r="AK1886" s="111">
        <f>IF(AN1886=12,I1886,0)</f>
      </c>
      <c r="AL1886" s="111">
        <f>IF(AN1886=21,I1886,0)</f>
      </c>
      <c r="AN1886" s="111" t="n">
        <v>21</v>
      </c>
      <c r="AO1886" s="111">
        <f>H1886*0.51568368</f>
      </c>
      <c r="AP1886" s="111">
        <f>H1886*(1-0.51568368)</f>
      </c>
      <c r="AQ1886" s="153" t="s">
        <v>173</v>
      </c>
      <c r="AV1886" s="111">
        <f>AW1886+AX1886</f>
      </c>
      <c r="AW1886" s="111">
        <f>G1886*AO1886</f>
      </c>
      <c r="AX1886" s="111">
        <f>G1886*AP1886</f>
      </c>
      <c r="AY1886" s="153" t="s">
        <v>2884</v>
      </c>
      <c r="AZ1886" s="153" t="s">
        <v>2764</v>
      </c>
      <c r="BA1886" s="132" t="s">
        <v>137</v>
      </c>
      <c r="BC1886" s="111">
        <f>AW1886+AX1886</f>
      </c>
      <c r="BD1886" s="111">
        <f>H1886/(100-BE1886)*100</f>
      </c>
      <c r="BE1886" s="111" t="n">
        <v>0</v>
      </c>
      <c r="BF1886" s="111">
        <f>1886</f>
      </c>
      <c r="BH1886" s="111">
        <f>G1886*AO1886</f>
      </c>
      <c r="BI1886" s="111">
        <f>G1886*AP1886</f>
      </c>
      <c r="BJ1886" s="111">
        <f>G1886*H1886</f>
      </c>
      <c r="BK1886" s="111"/>
      <c r="BL1886" s="111" t="n">
        <v>783</v>
      </c>
      <c r="BW1886" s="111" t="n">
        <v>21</v>
      </c>
      <c r="BX1886" s="14" t="s">
        <v>2883</v>
      </c>
    </row>
    <row r="1887">
      <c r="A1887" s="154"/>
      <c r="B1887" s="155"/>
      <c r="C1887" s="155"/>
      <c r="D1887" s="156" t="s">
        <v>4</v>
      </c>
      <c r="E1887" s="156" t="s">
        <v>2885</v>
      </c>
      <c r="F1887" s="155"/>
      <c r="G1887" s="157" t="n">
        <v>0</v>
      </c>
      <c r="H1887" s="158"/>
      <c r="I1887" s="155"/>
      <c r="J1887" s="155"/>
      <c r="K1887" s="146"/>
    </row>
    <row r="1888">
      <c r="A1888" s="154"/>
      <c r="B1888" s="155"/>
      <c r="C1888" s="155"/>
      <c r="D1888" s="156" t="s">
        <v>128</v>
      </c>
      <c r="E1888" s="156" t="s">
        <v>977</v>
      </c>
      <c r="F1888" s="155"/>
      <c r="G1888" s="157" t="n">
        <v>11</v>
      </c>
      <c r="H1888" s="158"/>
      <c r="I1888" s="155"/>
      <c r="J1888" s="155"/>
      <c r="K1888" s="146"/>
    </row>
    <row r="1889">
      <c r="A1889" s="154"/>
      <c r="B1889" s="155"/>
      <c r="C1889" s="155"/>
      <c r="D1889" s="156" t="s">
        <v>2886</v>
      </c>
      <c r="E1889" s="156" t="s">
        <v>596</v>
      </c>
      <c r="F1889" s="155"/>
      <c r="G1889" s="157" t="n">
        <v>78.3</v>
      </c>
      <c r="H1889" s="158"/>
      <c r="I1889" s="155"/>
      <c r="J1889" s="155"/>
      <c r="K1889" s="146"/>
    </row>
    <row r="1890">
      <c r="A1890" s="154"/>
      <c r="B1890" s="155"/>
      <c r="C1890" s="155"/>
      <c r="D1890" s="156" t="s">
        <v>279</v>
      </c>
      <c r="E1890" s="156" t="s">
        <v>982</v>
      </c>
      <c r="F1890" s="155"/>
      <c r="G1890" s="157" t="n">
        <v>24</v>
      </c>
      <c r="H1890" s="158"/>
      <c r="I1890" s="155"/>
      <c r="J1890" s="155"/>
      <c r="K1890" s="146"/>
    </row>
    <row r="1891">
      <c r="A1891" s="154"/>
      <c r="B1891" s="155"/>
      <c r="C1891" s="155"/>
      <c r="D1891" s="156" t="s">
        <v>1461</v>
      </c>
      <c r="E1891" s="156" t="s">
        <v>985</v>
      </c>
      <c r="F1891" s="155"/>
      <c r="G1891" s="157" t="n">
        <v>220</v>
      </c>
      <c r="H1891" s="158"/>
      <c r="I1891" s="155"/>
      <c r="J1891" s="155"/>
      <c r="K1891" s="146"/>
    </row>
    <row r="1892">
      <c r="A1892" s="154"/>
      <c r="B1892" s="155"/>
      <c r="C1892" s="155"/>
      <c r="D1892" s="156" t="s">
        <v>2887</v>
      </c>
      <c r="E1892" s="156" t="s">
        <v>987</v>
      </c>
      <c r="F1892" s="155"/>
      <c r="G1892" s="157" t="n">
        <v>20.3</v>
      </c>
      <c r="H1892" s="158"/>
      <c r="I1892" s="155"/>
      <c r="J1892" s="155"/>
      <c r="K1892" s="146"/>
    </row>
    <row r="1893">
      <c r="A1893" s="154"/>
      <c r="B1893" s="155"/>
      <c r="C1893" s="155"/>
      <c r="D1893" s="156" t="s">
        <v>2888</v>
      </c>
      <c r="E1893" s="156" t="s">
        <v>989</v>
      </c>
      <c r="F1893" s="155"/>
      <c r="G1893" s="157" t="n">
        <v>15.7</v>
      </c>
      <c r="H1893" s="158"/>
      <c r="I1893" s="155"/>
      <c r="J1893" s="155"/>
      <c r="K1893" s="146"/>
    </row>
    <row r="1894">
      <c r="A1894" s="154"/>
      <c r="B1894" s="155"/>
      <c r="C1894" s="155"/>
      <c r="D1894" s="156" t="s">
        <v>871</v>
      </c>
      <c r="E1894" s="156" t="s">
        <v>991</v>
      </c>
      <c r="F1894" s="155"/>
      <c r="G1894" s="157" t="n">
        <v>3.6</v>
      </c>
      <c r="H1894" s="158"/>
      <c r="I1894" s="155"/>
      <c r="J1894" s="155"/>
      <c r="K1894" s="146"/>
    </row>
    <row r="1895">
      <c r="A1895" s="154"/>
      <c r="B1895" s="155"/>
      <c r="C1895" s="155"/>
      <c r="D1895" s="156" t="s">
        <v>2889</v>
      </c>
      <c r="E1895" s="156" t="s">
        <v>993</v>
      </c>
      <c r="F1895" s="155"/>
      <c r="G1895" s="157" t="n">
        <v>5.1</v>
      </c>
      <c r="H1895" s="158"/>
      <c r="I1895" s="155"/>
      <c r="J1895" s="155"/>
      <c r="K1895" s="146"/>
    </row>
    <row r="1896">
      <c r="A1896" s="154"/>
      <c r="B1896" s="155"/>
      <c r="C1896" s="155"/>
      <c r="D1896" s="156" t="s">
        <v>163</v>
      </c>
      <c r="E1896" s="156" t="s">
        <v>995</v>
      </c>
      <c r="F1896" s="155"/>
      <c r="G1896" s="157" t="n">
        <v>13</v>
      </c>
      <c r="H1896" s="158"/>
      <c r="I1896" s="155"/>
      <c r="J1896" s="155"/>
      <c r="K1896" s="146"/>
    </row>
    <row r="1897">
      <c r="A1897" s="154"/>
      <c r="B1897" s="155"/>
      <c r="C1897" s="155"/>
      <c r="D1897" s="156" t="s">
        <v>2890</v>
      </c>
      <c r="E1897" s="156" t="s">
        <v>997</v>
      </c>
      <c r="F1897" s="155"/>
      <c r="G1897" s="157" t="n">
        <v>13.3</v>
      </c>
      <c r="H1897" s="158"/>
      <c r="I1897" s="155"/>
      <c r="J1897" s="155"/>
      <c r="K1897" s="146"/>
    </row>
    <row r="1898">
      <c r="A1898" s="154"/>
      <c r="B1898" s="155"/>
      <c r="C1898" s="155"/>
      <c r="D1898" s="156" t="s">
        <v>2891</v>
      </c>
      <c r="E1898" s="156" t="s">
        <v>2892</v>
      </c>
      <c r="F1898" s="155"/>
      <c r="G1898" s="157" t="n">
        <v>122.54</v>
      </c>
      <c r="H1898" s="158"/>
      <c r="I1898" s="155"/>
      <c r="J1898" s="155"/>
      <c r="K1898" s="146"/>
    </row>
    <row r="1899">
      <c r="A1899" s="154"/>
      <c r="B1899" s="155"/>
      <c r="C1899" s="155"/>
      <c r="D1899" s="156" t="s">
        <v>2893</v>
      </c>
      <c r="E1899" s="156" t="s">
        <v>2894</v>
      </c>
      <c r="F1899" s="155"/>
      <c r="G1899" s="157" t="n">
        <v>12.64</v>
      </c>
      <c r="H1899" s="158"/>
      <c r="I1899" s="155"/>
      <c r="J1899" s="155"/>
      <c r="K1899" s="146"/>
    </row>
    <row r="1900">
      <c r="A1900" s="154"/>
      <c r="B1900" s="155"/>
      <c r="C1900" s="155"/>
      <c r="D1900" s="156" t="s">
        <v>2895</v>
      </c>
      <c r="E1900" s="156" t="s">
        <v>2896</v>
      </c>
      <c r="F1900" s="155"/>
      <c r="G1900" s="157" t="n">
        <v>11.2</v>
      </c>
      <c r="H1900" s="158"/>
      <c r="I1900" s="155"/>
      <c r="J1900" s="155"/>
      <c r="K1900" s="146"/>
    </row>
    <row r="1901">
      <c r="A1901" s="154"/>
      <c r="B1901" s="155"/>
      <c r="C1901" s="155"/>
      <c r="D1901" s="156" t="s">
        <v>2897</v>
      </c>
      <c r="E1901" s="156" t="s">
        <v>1000</v>
      </c>
      <c r="F1901" s="155"/>
      <c r="G1901" s="157" t="n">
        <v>9.2</v>
      </c>
      <c r="H1901" s="158"/>
      <c r="I1901" s="155"/>
      <c r="J1901" s="155"/>
      <c r="K1901" s="146"/>
    </row>
    <row r="1902">
      <c r="A1902" s="154"/>
      <c r="B1902" s="155"/>
      <c r="C1902" s="155"/>
      <c r="D1902" s="156" t="s">
        <v>874</v>
      </c>
      <c r="E1902" s="156" t="s">
        <v>1034</v>
      </c>
      <c r="F1902" s="155"/>
      <c r="G1902" s="157" t="n">
        <v>2.1</v>
      </c>
      <c r="H1902" s="158"/>
      <c r="I1902" s="155"/>
      <c r="J1902" s="155"/>
      <c r="K1902" s="146"/>
    </row>
    <row r="1903">
      <c r="A1903" s="154"/>
      <c r="B1903" s="155"/>
      <c r="C1903" s="155"/>
      <c r="D1903" s="156" t="s">
        <v>4</v>
      </c>
      <c r="E1903" s="156" t="s">
        <v>2898</v>
      </c>
      <c r="F1903" s="155"/>
      <c r="G1903" s="157" t="n">
        <v>0</v>
      </c>
      <c r="H1903" s="158"/>
      <c r="I1903" s="155"/>
      <c r="J1903" s="155"/>
      <c r="K1903" s="146"/>
    </row>
    <row r="1904">
      <c r="A1904" s="9" t="s">
        <v>2899</v>
      </c>
      <c r="B1904" s="10" t="s">
        <v>84</v>
      </c>
      <c r="C1904" s="10" t="s">
        <v>2900</v>
      </c>
      <c r="D1904" s="14" t="s">
        <v>2901</v>
      </c>
      <c r="E1904" s="10"/>
      <c r="F1904" s="10" t="s">
        <v>145</v>
      </c>
      <c r="G1904" s="111" t="n">
        <v>14.91851</v>
      </c>
      <c r="H1904" s="152" t="n">
        <v>0</v>
      </c>
      <c r="I1904" s="111">
        <f>G1904*H1904</f>
      </c>
      <c r="J1904" s="153" t="s">
        <v>134</v>
      </c>
      <c r="K1904" s="146"/>
      <c r="Z1904" s="111">
        <f>IF(AQ1904="5",BJ1904,0)</f>
      </c>
      <c r="AB1904" s="111">
        <f>IF(AQ1904="1",BH1904,0)</f>
      </c>
      <c r="AC1904" s="111">
        <f>IF(AQ1904="1",BI1904,0)</f>
      </c>
      <c r="AD1904" s="111">
        <f>IF(AQ1904="7",BH1904,0)</f>
      </c>
      <c r="AE1904" s="111">
        <f>IF(AQ1904="7",BI1904,0)</f>
      </c>
      <c r="AF1904" s="111">
        <f>IF(AQ1904="2",BH1904,0)</f>
      </c>
      <c r="AG1904" s="111">
        <f>IF(AQ1904="2",BI1904,0)</f>
      </c>
      <c r="AH1904" s="111">
        <f>IF(AQ1904="0",BJ1904,0)</f>
      </c>
      <c r="AI1904" s="132" t="s">
        <v>84</v>
      </c>
      <c r="AJ1904" s="111">
        <f>IF(AN1904=0,I1904,0)</f>
      </c>
      <c r="AK1904" s="111">
        <f>IF(AN1904=12,I1904,0)</f>
      </c>
      <c r="AL1904" s="111">
        <f>IF(AN1904=21,I1904,0)</f>
      </c>
      <c r="AN1904" s="111" t="n">
        <v>21</v>
      </c>
      <c r="AO1904" s="111">
        <f>H1904*0.547703725</f>
      </c>
      <c r="AP1904" s="111">
        <f>H1904*(1-0.547703725)</f>
      </c>
      <c r="AQ1904" s="153" t="s">
        <v>173</v>
      </c>
      <c r="AV1904" s="111">
        <f>AW1904+AX1904</f>
      </c>
      <c r="AW1904" s="111">
        <f>G1904*AO1904</f>
      </c>
      <c r="AX1904" s="111">
        <f>G1904*AP1904</f>
      </c>
      <c r="AY1904" s="153" t="s">
        <v>2884</v>
      </c>
      <c r="AZ1904" s="153" t="s">
        <v>2764</v>
      </c>
      <c r="BA1904" s="132" t="s">
        <v>137</v>
      </c>
      <c r="BC1904" s="111">
        <f>AW1904+AX1904</f>
      </c>
      <c r="BD1904" s="111">
        <f>H1904/(100-BE1904)*100</f>
      </c>
      <c r="BE1904" s="111" t="n">
        <v>0</v>
      </c>
      <c r="BF1904" s="111">
        <f>1904</f>
      </c>
      <c r="BH1904" s="111">
        <f>G1904*AO1904</f>
      </c>
      <c r="BI1904" s="111">
        <f>G1904*AP1904</f>
      </c>
      <c r="BJ1904" s="111">
        <f>G1904*H1904</f>
      </c>
      <c r="BK1904" s="111"/>
      <c r="BL1904" s="111" t="n">
        <v>783</v>
      </c>
      <c r="BW1904" s="111" t="n">
        <v>21</v>
      </c>
      <c r="BX1904" s="14" t="s">
        <v>2901</v>
      </c>
    </row>
    <row r="1905" customHeight="true" ht="13.5">
      <c r="A1905" s="159"/>
      <c r="C1905" s="160" t="s">
        <v>146</v>
      </c>
      <c r="D1905" s="161" t="s">
        <v>2902</v>
      </c>
      <c r="E1905" s="156"/>
      <c r="F1905" s="156"/>
      <c r="G1905" s="156"/>
      <c r="H1905" s="162"/>
      <c r="I1905" s="156"/>
      <c r="J1905" s="156"/>
      <c r="K1905" s="163"/>
    </row>
    <row r="1906">
      <c r="A1906" s="154"/>
      <c r="B1906" s="155"/>
      <c r="C1906" s="155"/>
      <c r="D1906" s="156" t="s">
        <v>2903</v>
      </c>
      <c r="E1906" s="156" t="s">
        <v>2471</v>
      </c>
      <c r="F1906" s="155"/>
      <c r="G1906" s="157" t="n">
        <v>10.91891</v>
      </c>
      <c r="H1906" s="158"/>
      <c r="I1906" s="155"/>
      <c r="J1906" s="155"/>
      <c r="K1906" s="146"/>
    </row>
    <row r="1907">
      <c r="A1907" s="154"/>
      <c r="B1907" s="155"/>
      <c r="C1907" s="155"/>
      <c r="D1907" s="156" t="s">
        <v>2904</v>
      </c>
      <c r="E1907" s="156" t="s">
        <v>2473</v>
      </c>
      <c r="F1907" s="155"/>
      <c r="G1907" s="157" t="n">
        <v>3.9996</v>
      </c>
      <c r="H1907" s="158"/>
      <c r="I1907" s="155"/>
      <c r="J1907" s="155"/>
      <c r="K1907" s="146"/>
    </row>
    <row r="1908">
      <c r="A1908" s="9" t="s">
        <v>2905</v>
      </c>
      <c r="B1908" s="10" t="s">
        <v>84</v>
      </c>
      <c r="C1908" s="10" t="s">
        <v>2906</v>
      </c>
      <c r="D1908" s="14" t="s">
        <v>2907</v>
      </c>
      <c r="E1908" s="10"/>
      <c r="F1908" s="10" t="s">
        <v>145</v>
      </c>
      <c r="G1908" s="111" t="n">
        <v>14</v>
      </c>
      <c r="H1908" s="152" t="n">
        <v>0</v>
      </c>
      <c r="I1908" s="111">
        <f>G1908*H1908</f>
      </c>
      <c r="J1908" s="153" t="s">
        <v>134</v>
      </c>
      <c r="K1908" s="146"/>
      <c r="Z1908" s="111">
        <f>IF(AQ1908="5",BJ1908,0)</f>
      </c>
      <c r="AB1908" s="111">
        <f>IF(AQ1908="1",BH1908,0)</f>
      </c>
      <c r="AC1908" s="111">
        <f>IF(AQ1908="1",BI1908,0)</f>
      </c>
      <c r="AD1908" s="111">
        <f>IF(AQ1908="7",BH1908,0)</f>
      </c>
      <c r="AE1908" s="111">
        <f>IF(AQ1908="7",BI1908,0)</f>
      </c>
      <c r="AF1908" s="111">
        <f>IF(AQ1908="2",BH1908,0)</f>
      </c>
      <c r="AG1908" s="111">
        <f>IF(AQ1908="2",BI1908,0)</f>
      </c>
      <c r="AH1908" s="111">
        <f>IF(AQ1908="0",BJ1908,0)</f>
      </c>
      <c r="AI1908" s="132" t="s">
        <v>84</v>
      </c>
      <c r="AJ1908" s="111">
        <f>IF(AN1908=0,I1908,0)</f>
      </c>
      <c r="AK1908" s="111">
        <f>IF(AN1908=12,I1908,0)</f>
      </c>
      <c r="AL1908" s="111">
        <f>IF(AN1908=21,I1908,0)</f>
      </c>
      <c r="AN1908" s="111" t="n">
        <v>21</v>
      </c>
      <c r="AO1908" s="111">
        <f>H1908*0.413380754</f>
      </c>
      <c r="AP1908" s="111">
        <f>H1908*(1-0.413380754)</f>
      </c>
      <c r="AQ1908" s="153" t="s">
        <v>173</v>
      </c>
      <c r="AV1908" s="111">
        <f>AW1908+AX1908</f>
      </c>
      <c r="AW1908" s="111">
        <f>G1908*AO1908</f>
      </c>
      <c r="AX1908" s="111">
        <f>G1908*AP1908</f>
      </c>
      <c r="AY1908" s="153" t="s">
        <v>2884</v>
      </c>
      <c r="AZ1908" s="153" t="s">
        <v>2764</v>
      </c>
      <c r="BA1908" s="132" t="s">
        <v>137</v>
      </c>
      <c r="BC1908" s="111">
        <f>AW1908+AX1908</f>
      </c>
      <c r="BD1908" s="111">
        <f>H1908/(100-BE1908)*100</f>
      </c>
      <c r="BE1908" s="111" t="n">
        <v>0</v>
      </c>
      <c r="BF1908" s="111">
        <f>1908</f>
      </c>
      <c r="BH1908" s="111">
        <f>G1908*AO1908</f>
      </c>
      <c r="BI1908" s="111">
        <f>G1908*AP1908</f>
      </c>
      <c r="BJ1908" s="111">
        <f>G1908*H1908</f>
      </c>
      <c r="BK1908" s="111"/>
      <c r="BL1908" s="111" t="n">
        <v>783</v>
      </c>
      <c r="BW1908" s="111" t="n">
        <v>21</v>
      </c>
      <c r="BX1908" s="14" t="s">
        <v>2907</v>
      </c>
    </row>
    <row r="1909" customHeight="true" ht="13.5">
      <c r="A1909" s="159"/>
      <c r="C1909" s="160" t="s">
        <v>146</v>
      </c>
      <c r="D1909" s="161" t="s">
        <v>2908</v>
      </c>
      <c r="E1909" s="156"/>
      <c r="F1909" s="156"/>
      <c r="G1909" s="156"/>
      <c r="H1909" s="162"/>
      <c r="I1909" s="156"/>
      <c r="J1909" s="156"/>
      <c r="K1909" s="163"/>
    </row>
    <row r="1910">
      <c r="A1910" s="154"/>
      <c r="B1910" s="155"/>
      <c r="C1910" s="155"/>
      <c r="D1910" s="156" t="s">
        <v>463</v>
      </c>
      <c r="E1910" s="156" t="s">
        <v>2909</v>
      </c>
      <c r="F1910" s="155"/>
      <c r="G1910" s="157" t="n">
        <v>14</v>
      </c>
      <c r="H1910" s="158"/>
      <c r="I1910" s="155"/>
      <c r="J1910" s="155"/>
      <c r="K1910" s="146"/>
    </row>
    <row r="1911">
      <c r="A1911" s="147" t="s">
        <v>4</v>
      </c>
      <c r="B1911" s="148" t="s">
        <v>84</v>
      </c>
      <c r="C1911" s="148" t="s">
        <v>2910</v>
      </c>
      <c r="D1911" s="149" t="s">
        <v>2911</v>
      </c>
      <c r="E1911" s="148"/>
      <c r="F1911" s="150" t="s">
        <v>79</v>
      </c>
      <c r="G1911" s="150" t="s">
        <v>79</v>
      </c>
      <c r="H1911" s="151" t="s">
        <v>79</v>
      </c>
      <c r="I1911" s="117">
        <f>SUM(I1912:I1917)</f>
      </c>
      <c r="J1911" s="132" t="s">
        <v>4</v>
      </c>
      <c r="K1911" s="146"/>
      <c r="AI1911" s="132" t="s">
        <v>84</v>
      </c>
      <c r="AS1911" s="117">
        <f>SUM(AJ1912:AJ1917)</f>
      </c>
      <c r="AT1911" s="117">
        <f>SUM(AK1912:AK1917)</f>
      </c>
      <c r="AU1911" s="117">
        <f>SUM(AL1912:AL1917)</f>
      </c>
    </row>
    <row r="1912">
      <c r="A1912" s="9" t="s">
        <v>2912</v>
      </c>
      <c r="B1912" s="10" t="s">
        <v>84</v>
      </c>
      <c r="C1912" s="10" t="s">
        <v>2913</v>
      </c>
      <c r="D1912" s="14" t="s">
        <v>2914</v>
      </c>
      <c r="E1912" s="10"/>
      <c r="F1912" s="10" t="s">
        <v>145</v>
      </c>
      <c r="G1912" s="111" t="n">
        <v>945.92</v>
      </c>
      <c r="H1912" s="152" t="n">
        <v>0</v>
      </c>
      <c r="I1912" s="111">
        <f>G1912*H1912</f>
      </c>
      <c r="J1912" s="153" t="s">
        <v>134</v>
      </c>
      <c r="K1912" s="146"/>
      <c r="Z1912" s="111">
        <f>IF(AQ1912="5",BJ1912,0)</f>
      </c>
      <c r="AB1912" s="111">
        <f>IF(AQ1912="1",BH1912,0)</f>
      </c>
      <c r="AC1912" s="111">
        <f>IF(AQ1912="1",BI1912,0)</f>
      </c>
      <c r="AD1912" s="111">
        <f>IF(AQ1912="7",BH1912,0)</f>
      </c>
      <c r="AE1912" s="111">
        <f>IF(AQ1912="7",BI1912,0)</f>
      </c>
      <c r="AF1912" s="111">
        <f>IF(AQ1912="2",BH1912,0)</f>
      </c>
      <c r="AG1912" s="111">
        <f>IF(AQ1912="2",BI1912,0)</f>
      </c>
      <c r="AH1912" s="111">
        <f>IF(AQ1912="0",BJ1912,0)</f>
      </c>
      <c r="AI1912" s="132" t="s">
        <v>84</v>
      </c>
      <c r="AJ1912" s="111">
        <f>IF(AN1912=0,I1912,0)</f>
      </c>
      <c r="AK1912" s="111">
        <f>IF(AN1912=12,I1912,0)</f>
      </c>
      <c r="AL1912" s="111">
        <f>IF(AN1912=21,I1912,0)</f>
      </c>
      <c r="AN1912" s="111" t="n">
        <v>21</v>
      </c>
      <c r="AO1912" s="111">
        <f>H1912*0.245074627</f>
      </c>
      <c r="AP1912" s="111">
        <f>H1912*(1-0.245074627)</f>
      </c>
      <c r="AQ1912" s="153" t="s">
        <v>173</v>
      </c>
      <c r="AV1912" s="111">
        <f>AW1912+AX1912</f>
      </c>
      <c r="AW1912" s="111">
        <f>G1912*AO1912</f>
      </c>
      <c r="AX1912" s="111">
        <f>G1912*AP1912</f>
      </c>
      <c r="AY1912" s="153" t="s">
        <v>2915</v>
      </c>
      <c r="AZ1912" s="153" t="s">
        <v>2764</v>
      </c>
      <c r="BA1912" s="132" t="s">
        <v>137</v>
      </c>
      <c r="BC1912" s="111">
        <f>AW1912+AX1912</f>
      </c>
      <c r="BD1912" s="111">
        <f>H1912/(100-BE1912)*100</f>
      </c>
      <c r="BE1912" s="111" t="n">
        <v>0</v>
      </c>
      <c r="BF1912" s="111">
        <f>1912</f>
      </c>
      <c r="BH1912" s="111">
        <f>G1912*AO1912</f>
      </c>
      <c r="BI1912" s="111">
        <f>G1912*AP1912</f>
      </c>
      <c r="BJ1912" s="111">
        <f>G1912*H1912</f>
      </c>
      <c r="BK1912" s="111"/>
      <c r="BL1912" s="111" t="n">
        <v>784</v>
      </c>
      <c r="BW1912" s="111" t="n">
        <v>21</v>
      </c>
      <c r="BX1912" s="14" t="s">
        <v>2914</v>
      </c>
    </row>
    <row r="1913">
      <c r="A1913" s="154"/>
      <c r="B1913" s="155"/>
      <c r="C1913" s="155"/>
      <c r="D1913" s="156" t="s">
        <v>2916</v>
      </c>
      <c r="E1913" s="156" t="s">
        <v>2917</v>
      </c>
      <c r="F1913" s="155"/>
      <c r="G1913" s="157" t="n">
        <v>23.17</v>
      </c>
      <c r="H1913" s="158"/>
      <c r="I1913" s="155"/>
      <c r="J1913" s="155"/>
      <c r="K1913" s="146"/>
    </row>
    <row r="1914">
      <c r="A1914" s="154"/>
      <c r="B1914" s="155"/>
      <c r="C1914" s="155"/>
      <c r="D1914" s="156" t="s">
        <v>2918</v>
      </c>
      <c r="E1914" s="156" t="s">
        <v>2919</v>
      </c>
      <c r="F1914" s="155"/>
      <c r="G1914" s="157" t="n">
        <v>85.04</v>
      </c>
      <c r="H1914" s="158"/>
      <c r="I1914" s="155"/>
      <c r="J1914" s="155"/>
      <c r="K1914" s="146"/>
    </row>
    <row r="1915">
      <c r="A1915" s="154"/>
      <c r="B1915" s="155"/>
      <c r="C1915" s="155"/>
      <c r="D1915" s="156" t="s">
        <v>2920</v>
      </c>
      <c r="E1915" s="156" t="s">
        <v>2921</v>
      </c>
      <c r="F1915" s="155"/>
      <c r="G1915" s="157" t="n">
        <v>47.1</v>
      </c>
      <c r="H1915" s="158"/>
      <c r="I1915" s="155"/>
      <c r="J1915" s="155"/>
      <c r="K1915" s="146"/>
    </row>
    <row r="1916">
      <c r="A1916" s="154"/>
      <c r="B1916" s="155"/>
      <c r="C1916" s="155"/>
      <c r="D1916" s="156" t="s">
        <v>2922</v>
      </c>
      <c r="E1916" s="156" t="s">
        <v>2923</v>
      </c>
      <c r="F1916" s="155"/>
      <c r="G1916" s="157" t="n">
        <v>790.61</v>
      </c>
      <c r="H1916" s="158"/>
      <c r="I1916" s="155"/>
      <c r="J1916" s="155"/>
      <c r="K1916" s="146"/>
    </row>
    <row r="1917">
      <c r="A1917" s="9" t="s">
        <v>2924</v>
      </c>
      <c r="B1917" s="10" t="s">
        <v>84</v>
      </c>
      <c r="C1917" s="10" t="s">
        <v>2925</v>
      </c>
      <c r="D1917" s="14" t="s">
        <v>2926</v>
      </c>
      <c r="E1917" s="10"/>
      <c r="F1917" s="10" t="s">
        <v>145</v>
      </c>
      <c r="G1917" s="111" t="n">
        <v>679.8</v>
      </c>
      <c r="H1917" s="152" t="n">
        <v>0</v>
      </c>
      <c r="I1917" s="111">
        <f>G1917*H1917</f>
      </c>
      <c r="J1917" s="153" t="s">
        <v>134</v>
      </c>
      <c r="K1917" s="146"/>
      <c r="Z1917" s="111">
        <f>IF(AQ1917="5",BJ1917,0)</f>
      </c>
      <c r="AB1917" s="111">
        <f>IF(AQ1917="1",BH1917,0)</f>
      </c>
      <c r="AC1917" s="111">
        <f>IF(AQ1917="1",BI1917,0)</f>
      </c>
      <c r="AD1917" s="111">
        <f>IF(AQ1917="7",BH1917,0)</f>
      </c>
      <c r="AE1917" s="111">
        <f>IF(AQ1917="7",BI1917,0)</f>
      </c>
      <c r="AF1917" s="111">
        <f>IF(AQ1917="2",BH1917,0)</f>
      </c>
      <c r="AG1917" s="111">
        <f>IF(AQ1917="2",BI1917,0)</f>
      </c>
      <c r="AH1917" s="111">
        <f>IF(AQ1917="0",BJ1917,0)</f>
      </c>
      <c r="AI1917" s="132" t="s">
        <v>84</v>
      </c>
      <c r="AJ1917" s="111">
        <f>IF(AN1917=0,I1917,0)</f>
      </c>
      <c r="AK1917" s="111">
        <f>IF(AN1917=12,I1917,0)</f>
      </c>
      <c r="AL1917" s="111">
        <f>IF(AN1917=21,I1917,0)</f>
      </c>
      <c r="AN1917" s="111" t="n">
        <v>21</v>
      </c>
      <c r="AO1917" s="111">
        <f>H1917*0.64223301</f>
      </c>
      <c r="AP1917" s="111">
        <f>H1917*(1-0.64223301)</f>
      </c>
      <c r="AQ1917" s="153" t="s">
        <v>173</v>
      </c>
      <c r="AV1917" s="111">
        <f>AW1917+AX1917</f>
      </c>
      <c r="AW1917" s="111">
        <f>G1917*AO1917</f>
      </c>
      <c r="AX1917" s="111">
        <f>G1917*AP1917</f>
      </c>
      <c r="AY1917" s="153" t="s">
        <v>2915</v>
      </c>
      <c r="AZ1917" s="153" t="s">
        <v>2764</v>
      </c>
      <c r="BA1917" s="132" t="s">
        <v>137</v>
      </c>
      <c r="BC1917" s="111">
        <f>AW1917+AX1917</f>
      </c>
      <c r="BD1917" s="111">
        <f>H1917/(100-BE1917)*100</f>
      </c>
      <c r="BE1917" s="111" t="n">
        <v>0</v>
      </c>
      <c r="BF1917" s="111">
        <f>1917</f>
      </c>
      <c r="BH1917" s="111">
        <f>G1917*AO1917</f>
      </c>
      <c r="BI1917" s="111">
        <f>G1917*AP1917</f>
      </c>
      <c r="BJ1917" s="111">
        <f>G1917*H1917</f>
      </c>
      <c r="BK1917" s="111"/>
      <c r="BL1917" s="111" t="n">
        <v>784</v>
      </c>
      <c r="BW1917" s="111" t="n">
        <v>21</v>
      </c>
      <c r="BX1917" s="14" t="s">
        <v>2926</v>
      </c>
    </row>
    <row r="1918" customHeight="true" ht="13.5">
      <c r="A1918" s="159"/>
      <c r="C1918" s="160" t="s">
        <v>146</v>
      </c>
      <c r="D1918" s="161" t="s">
        <v>2927</v>
      </c>
      <c r="E1918" s="156"/>
      <c r="F1918" s="156"/>
      <c r="G1918" s="156"/>
      <c r="H1918" s="162"/>
      <c r="I1918" s="156"/>
      <c r="J1918" s="156"/>
      <c r="K1918" s="163"/>
    </row>
    <row r="1919">
      <c r="A1919" s="154"/>
      <c r="B1919" s="155"/>
      <c r="C1919" s="155"/>
      <c r="D1919" s="156" t="s">
        <v>1382</v>
      </c>
      <c r="E1919" s="156" t="s">
        <v>421</v>
      </c>
      <c r="F1919" s="155"/>
      <c r="G1919" s="157" t="n">
        <v>181</v>
      </c>
      <c r="H1919" s="158"/>
      <c r="I1919" s="155"/>
      <c r="J1919" s="155"/>
      <c r="K1919" s="146"/>
    </row>
    <row r="1920">
      <c r="A1920" s="154"/>
      <c r="B1920" s="155"/>
      <c r="C1920" s="155"/>
      <c r="D1920" s="156" t="s">
        <v>1383</v>
      </c>
      <c r="E1920" s="156" t="s">
        <v>4</v>
      </c>
      <c r="F1920" s="155"/>
      <c r="G1920" s="157" t="n">
        <v>52</v>
      </c>
      <c r="H1920" s="158"/>
      <c r="I1920" s="155"/>
      <c r="J1920" s="155"/>
      <c r="K1920" s="146"/>
    </row>
    <row r="1921">
      <c r="A1921" s="154"/>
      <c r="B1921" s="155"/>
      <c r="C1921" s="155"/>
      <c r="D1921" s="156" t="s">
        <v>2928</v>
      </c>
      <c r="E1921" s="156" t="s">
        <v>4</v>
      </c>
      <c r="F1921" s="155"/>
      <c r="G1921" s="157" t="n">
        <v>270.1</v>
      </c>
      <c r="H1921" s="158"/>
      <c r="I1921" s="155"/>
      <c r="J1921" s="155"/>
      <c r="K1921" s="146"/>
    </row>
    <row r="1922">
      <c r="A1922" s="154"/>
      <c r="B1922" s="155"/>
      <c r="C1922" s="155"/>
      <c r="D1922" s="156" t="s">
        <v>1385</v>
      </c>
      <c r="E1922" s="156" t="s">
        <v>425</v>
      </c>
      <c r="F1922" s="155"/>
      <c r="G1922" s="157" t="n">
        <v>96.7</v>
      </c>
      <c r="H1922" s="158"/>
      <c r="I1922" s="155"/>
      <c r="J1922" s="155"/>
      <c r="K1922" s="146"/>
    </row>
    <row r="1923">
      <c r="A1923" s="154"/>
      <c r="B1923" s="155"/>
      <c r="C1923" s="155"/>
      <c r="D1923" s="156" t="s">
        <v>658</v>
      </c>
      <c r="E1923" s="156" t="s">
        <v>2929</v>
      </c>
      <c r="F1923" s="155"/>
      <c r="G1923" s="157" t="n">
        <v>80</v>
      </c>
      <c r="H1923" s="158"/>
      <c r="I1923" s="155"/>
      <c r="J1923" s="155"/>
      <c r="K1923" s="146"/>
    </row>
    <row r="1924">
      <c r="A1924" s="147" t="s">
        <v>4</v>
      </c>
      <c r="B1924" s="148" t="s">
        <v>84</v>
      </c>
      <c r="C1924" s="148" t="s">
        <v>2930</v>
      </c>
      <c r="D1924" s="149" t="s">
        <v>57</v>
      </c>
      <c r="E1924" s="148"/>
      <c r="F1924" s="150" t="s">
        <v>79</v>
      </c>
      <c r="G1924" s="150" t="s">
        <v>79</v>
      </c>
      <c r="H1924" s="151" t="s">
        <v>79</v>
      </c>
      <c r="I1924" s="117">
        <f>I1925+I1932+I1935+I1946+I1948+I1953</f>
      </c>
      <c r="J1924" s="132" t="s">
        <v>4</v>
      </c>
      <c r="K1924" s="146"/>
      <c r="AI1924" s="132" t="s">
        <v>84</v>
      </c>
    </row>
    <row r="1925">
      <c r="A1925" s="147" t="s">
        <v>4</v>
      </c>
      <c r="B1925" s="148" t="s">
        <v>84</v>
      </c>
      <c r="C1925" s="148" t="s">
        <v>2931</v>
      </c>
      <c r="D1925" s="149" t="s">
        <v>68</v>
      </c>
      <c r="E1925" s="148"/>
      <c r="F1925" s="150" t="s">
        <v>79</v>
      </c>
      <c r="G1925" s="150" t="s">
        <v>79</v>
      </c>
      <c r="H1925" s="151" t="s">
        <v>79</v>
      </c>
      <c r="I1925" s="117">
        <f>SUM(I1926:I1930)</f>
      </c>
      <c r="J1925" s="132" t="s">
        <v>4</v>
      </c>
      <c r="K1925" s="146"/>
      <c r="AI1925" s="132" t="s">
        <v>84</v>
      </c>
      <c r="AS1925" s="117">
        <f>SUM(AJ1926:AJ1930)</f>
      </c>
      <c r="AT1925" s="117">
        <f>SUM(AK1926:AK1930)</f>
      </c>
      <c r="AU1925" s="117">
        <f>SUM(AL1926:AL1930)</f>
      </c>
    </row>
    <row r="1926">
      <c r="A1926" s="9" t="s">
        <v>2932</v>
      </c>
      <c r="B1926" s="10" t="s">
        <v>84</v>
      </c>
      <c r="C1926" s="10" t="s">
        <v>2933</v>
      </c>
      <c r="D1926" s="14" t="s">
        <v>2934</v>
      </c>
      <c r="E1926" s="10"/>
      <c r="F1926" s="10" t="s">
        <v>2935</v>
      </c>
      <c r="G1926" s="111" t="n">
        <v>1</v>
      </c>
      <c r="H1926" s="152" t="n">
        <v>0</v>
      </c>
      <c r="I1926" s="111">
        <f>G1926*H1926</f>
      </c>
      <c r="J1926" s="153" t="s">
        <v>2936</v>
      </c>
      <c r="K1926" s="146"/>
      <c r="Z1926" s="111">
        <f>IF(AQ1926="5",BJ1926,0)</f>
      </c>
      <c r="AB1926" s="111">
        <f>IF(AQ1926="1",BH1926,0)</f>
      </c>
      <c r="AC1926" s="111">
        <f>IF(AQ1926="1",BI1926,0)</f>
      </c>
      <c r="AD1926" s="111">
        <f>IF(AQ1926="7",BH1926,0)</f>
      </c>
      <c r="AE1926" s="111">
        <f>IF(AQ1926="7",BI1926,0)</f>
      </c>
      <c r="AF1926" s="111">
        <f>IF(AQ1926="2",BH1926,0)</f>
      </c>
      <c r="AG1926" s="111">
        <f>IF(AQ1926="2",BI1926,0)</f>
      </c>
      <c r="AH1926" s="111">
        <f>IF(AQ1926="0",BJ1926,0)</f>
      </c>
      <c r="AI1926" s="132" t="s">
        <v>84</v>
      </c>
      <c r="AJ1926" s="111">
        <f>IF(AN1926=0,I1926,0)</f>
      </c>
      <c r="AK1926" s="111">
        <f>IF(AN1926=12,I1926,0)</f>
      </c>
      <c r="AL1926" s="111">
        <f>IF(AN1926=21,I1926,0)</f>
      </c>
      <c r="AN1926" s="111" t="n">
        <v>21</v>
      </c>
      <c r="AO1926" s="111">
        <f>H1926*0</f>
      </c>
      <c r="AP1926" s="111">
        <f>H1926*(1-0)</f>
      </c>
      <c r="AQ1926" s="153" t="s">
        <v>802</v>
      </c>
      <c r="AV1926" s="111">
        <f>AW1926+AX1926</f>
      </c>
      <c r="AW1926" s="111">
        <f>G1926*AO1926</f>
      </c>
      <c r="AX1926" s="111">
        <f>G1926*AP1926</f>
      </c>
      <c r="AY1926" s="153" t="s">
        <v>2937</v>
      </c>
      <c r="AZ1926" s="153" t="s">
        <v>2938</v>
      </c>
      <c r="BA1926" s="132" t="s">
        <v>137</v>
      </c>
      <c r="BC1926" s="111">
        <f>AW1926+AX1926</f>
      </c>
      <c r="BD1926" s="111">
        <f>H1926/(100-BE1926)*100</f>
      </c>
      <c r="BE1926" s="111" t="n">
        <v>0</v>
      </c>
      <c r="BF1926" s="111">
        <f>1926</f>
      </c>
      <c r="BH1926" s="111">
        <f>G1926*AO1926</f>
      </c>
      <c r="BI1926" s="111">
        <f>G1926*AP1926</f>
      </c>
      <c r="BJ1926" s="111">
        <f>G1926*H1926</f>
      </c>
      <c r="BK1926" s="111"/>
      <c r="BL1926" s="111"/>
      <c r="BM1926" s="111">
        <f>G1926*H1926</f>
      </c>
      <c r="BW1926" s="111" t="n">
        <v>21</v>
      </c>
      <c r="BX1926" s="14" t="s">
        <v>2934</v>
      </c>
    </row>
    <row r="1927" customHeight="true" ht="13.5">
      <c r="A1927" s="159"/>
      <c r="C1927" s="160" t="s">
        <v>146</v>
      </c>
      <c r="D1927" s="161" t="s">
        <v>2939</v>
      </c>
      <c r="E1927" s="156"/>
      <c r="F1927" s="156"/>
      <c r="G1927" s="156"/>
      <c r="H1927" s="162"/>
      <c r="I1927" s="156"/>
      <c r="J1927" s="156"/>
      <c r="K1927" s="163"/>
    </row>
    <row r="1928">
      <c r="A1928" s="9" t="s">
        <v>2940</v>
      </c>
      <c r="B1928" s="10" t="s">
        <v>84</v>
      </c>
      <c r="C1928" s="10" t="s">
        <v>2933</v>
      </c>
      <c r="D1928" s="14" t="s">
        <v>2941</v>
      </c>
      <c r="E1928" s="10"/>
      <c r="F1928" s="10" t="s">
        <v>2935</v>
      </c>
      <c r="G1928" s="111" t="n">
        <v>1</v>
      </c>
      <c r="H1928" s="152" t="n">
        <v>0</v>
      </c>
      <c r="I1928" s="111">
        <f>G1928*H1928</f>
      </c>
      <c r="J1928" s="153" t="s">
        <v>2936</v>
      </c>
      <c r="K1928" s="146"/>
      <c r="Z1928" s="111">
        <f>IF(AQ1928="5",BJ1928,0)</f>
      </c>
      <c r="AB1928" s="111">
        <f>IF(AQ1928="1",BH1928,0)</f>
      </c>
      <c r="AC1928" s="111">
        <f>IF(AQ1928="1",BI1928,0)</f>
      </c>
      <c r="AD1928" s="111">
        <f>IF(AQ1928="7",BH1928,0)</f>
      </c>
      <c r="AE1928" s="111">
        <f>IF(AQ1928="7",BI1928,0)</f>
      </c>
      <c r="AF1928" s="111">
        <f>IF(AQ1928="2",BH1928,0)</f>
      </c>
      <c r="AG1928" s="111">
        <f>IF(AQ1928="2",BI1928,0)</f>
      </c>
      <c r="AH1928" s="111">
        <f>IF(AQ1928="0",BJ1928,0)</f>
      </c>
      <c r="AI1928" s="132" t="s">
        <v>84</v>
      </c>
      <c r="AJ1928" s="111">
        <f>IF(AN1928=0,I1928,0)</f>
      </c>
      <c r="AK1928" s="111">
        <f>IF(AN1928=12,I1928,0)</f>
      </c>
      <c r="AL1928" s="111">
        <f>IF(AN1928=21,I1928,0)</f>
      </c>
      <c r="AN1928" s="111" t="n">
        <v>21</v>
      </c>
      <c r="AO1928" s="111">
        <f>H1928*0</f>
      </c>
      <c r="AP1928" s="111">
        <f>H1928*(1-0)</f>
      </c>
      <c r="AQ1928" s="153" t="s">
        <v>802</v>
      </c>
      <c r="AV1928" s="111">
        <f>AW1928+AX1928</f>
      </c>
      <c r="AW1928" s="111">
        <f>G1928*AO1928</f>
      </c>
      <c r="AX1928" s="111">
        <f>G1928*AP1928</f>
      </c>
      <c r="AY1928" s="153" t="s">
        <v>2937</v>
      </c>
      <c r="AZ1928" s="153" t="s">
        <v>2938</v>
      </c>
      <c r="BA1928" s="132" t="s">
        <v>137</v>
      </c>
      <c r="BC1928" s="111">
        <f>AW1928+AX1928</f>
      </c>
      <c r="BD1928" s="111">
        <f>H1928/(100-BE1928)*100</f>
      </c>
      <c r="BE1928" s="111" t="n">
        <v>0</v>
      </c>
      <c r="BF1928" s="111">
        <f>1928</f>
      </c>
      <c r="BH1928" s="111">
        <f>G1928*AO1928</f>
      </c>
      <c r="BI1928" s="111">
        <f>G1928*AP1928</f>
      </c>
      <c r="BJ1928" s="111">
        <f>G1928*H1928</f>
      </c>
      <c r="BK1928" s="111"/>
      <c r="BL1928" s="111"/>
      <c r="BM1928" s="111">
        <f>G1928*H1928</f>
      </c>
      <c r="BW1928" s="111" t="n">
        <v>21</v>
      </c>
      <c r="BX1928" s="14" t="s">
        <v>2941</v>
      </c>
    </row>
    <row r="1929" customHeight="true" ht="13.5">
      <c r="A1929" s="159"/>
      <c r="C1929" s="160" t="s">
        <v>146</v>
      </c>
      <c r="D1929" s="161" t="s">
        <v>2942</v>
      </c>
      <c r="E1929" s="156"/>
      <c r="F1929" s="156"/>
      <c r="G1929" s="156"/>
      <c r="H1929" s="162"/>
      <c r="I1929" s="156"/>
      <c r="J1929" s="156"/>
      <c r="K1929" s="163"/>
    </row>
    <row r="1930">
      <c r="A1930" s="9" t="s">
        <v>2943</v>
      </c>
      <c r="B1930" s="10" t="s">
        <v>84</v>
      </c>
      <c r="C1930" s="10" t="s">
        <v>2933</v>
      </c>
      <c r="D1930" s="14" t="s">
        <v>2944</v>
      </c>
      <c r="E1930" s="10"/>
      <c r="F1930" s="10" t="s">
        <v>2935</v>
      </c>
      <c r="G1930" s="111" t="n">
        <v>1</v>
      </c>
      <c r="H1930" s="152" t="n">
        <v>0</v>
      </c>
      <c r="I1930" s="111">
        <f>G1930*H1930</f>
      </c>
      <c r="J1930" s="153" t="s">
        <v>4</v>
      </c>
      <c r="K1930" s="146"/>
      <c r="Z1930" s="111">
        <f>IF(AQ1930="5",BJ1930,0)</f>
      </c>
      <c r="AB1930" s="111">
        <f>IF(AQ1930="1",BH1930,0)</f>
      </c>
      <c r="AC1930" s="111">
        <f>IF(AQ1930="1",BI1930,0)</f>
      </c>
      <c r="AD1930" s="111">
        <f>IF(AQ1930="7",BH1930,0)</f>
      </c>
      <c r="AE1930" s="111">
        <f>IF(AQ1930="7",BI1930,0)</f>
      </c>
      <c r="AF1930" s="111">
        <f>IF(AQ1930="2",BH1930,0)</f>
      </c>
      <c r="AG1930" s="111">
        <f>IF(AQ1930="2",BI1930,0)</f>
      </c>
      <c r="AH1930" s="111">
        <f>IF(AQ1930="0",BJ1930,0)</f>
      </c>
      <c r="AI1930" s="132" t="s">
        <v>84</v>
      </c>
      <c r="AJ1930" s="111">
        <f>IF(AN1930=0,I1930,0)</f>
      </c>
      <c r="AK1930" s="111">
        <f>IF(AN1930=12,I1930,0)</f>
      </c>
      <c r="AL1930" s="111">
        <f>IF(AN1930=21,I1930,0)</f>
      </c>
      <c r="AN1930" s="111" t="n">
        <v>21</v>
      </c>
      <c r="AO1930" s="111">
        <f>H1930*0</f>
      </c>
      <c r="AP1930" s="111">
        <f>H1930*(1-0)</f>
      </c>
      <c r="AQ1930" s="153" t="s">
        <v>802</v>
      </c>
      <c r="AV1930" s="111">
        <f>AW1930+AX1930</f>
      </c>
      <c r="AW1930" s="111">
        <f>G1930*AO1930</f>
      </c>
      <c r="AX1930" s="111">
        <f>G1930*AP1930</f>
      </c>
      <c r="AY1930" s="153" t="s">
        <v>2937</v>
      </c>
      <c r="AZ1930" s="153" t="s">
        <v>2938</v>
      </c>
      <c r="BA1930" s="132" t="s">
        <v>137</v>
      </c>
      <c r="BC1930" s="111">
        <f>AW1930+AX1930</f>
      </c>
      <c r="BD1930" s="111">
        <f>H1930/(100-BE1930)*100</f>
      </c>
      <c r="BE1930" s="111" t="n">
        <v>0</v>
      </c>
      <c r="BF1930" s="111">
        <f>1930</f>
      </c>
      <c r="BH1930" s="111">
        <f>G1930*AO1930</f>
      </c>
      <c r="BI1930" s="111">
        <f>G1930*AP1930</f>
      </c>
      <c r="BJ1930" s="111">
        <f>G1930*H1930</f>
      </c>
      <c r="BK1930" s="111"/>
      <c r="BL1930" s="111"/>
      <c r="BM1930" s="111">
        <f>G1930*H1930</f>
      </c>
      <c r="BW1930" s="111" t="n">
        <v>21</v>
      </c>
      <c r="BX1930" s="14" t="s">
        <v>2944</v>
      </c>
    </row>
    <row r="1931" customHeight="true" ht="13.5">
      <c r="A1931" s="159"/>
      <c r="C1931" s="160" t="s">
        <v>146</v>
      </c>
      <c r="D1931" s="161" t="s">
        <v>2945</v>
      </c>
      <c r="E1931" s="156"/>
      <c r="F1931" s="156"/>
      <c r="G1931" s="156"/>
      <c r="H1931" s="162"/>
      <c r="I1931" s="156"/>
      <c r="J1931" s="156"/>
      <c r="K1931" s="163"/>
    </row>
    <row r="1932">
      <c r="A1932" s="147" t="s">
        <v>4</v>
      </c>
      <c r="B1932" s="148" t="s">
        <v>84</v>
      </c>
      <c r="C1932" s="148" t="s">
        <v>2946</v>
      </c>
      <c r="D1932" s="149" t="s">
        <v>69</v>
      </c>
      <c r="E1932" s="148"/>
      <c r="F1932" s="150" t="s">
        <v>79</v>
      </c>
      <c r="G1932" s="150" t="s">
        <v>79</v>
      </c>
      <c r="H1932" s="151" t="s">
        <v>79</v>
      </c>
      <c r="I1932" s="117">
        <f>SUM(I1933:I1933)</f>
      </c>
      <c r="J1932" s="132" t="s">
        <v>4</v>
      </c>
      <c r="K1932" s="146"/>
      <c r="AI1932" s="132" t="s">
        <v>84</v>
      </c>
      <c r="AS1932" s="117">
        <f>SUM(AJ1933:AJ1933)</f>
      </c>
      <c r="AT1932" s="117">
        <f>SUM(AK1933:AK1933)</f>
      </c>
      <c r="AU1932" s="117">
        <f>SUM(AL1933:AL1933)</f>
      </c>
    </row>
    <row r="1933">
      <c r="A1933" s="9" t="s">
        <v>2947</v>
      </c>
      <c r="B1933" s="10" t="s">
        <v>84</v>
      </c>
      <c r="C1933" s="10" t="s">
        <v>2948</v>
      </c>
      <c r="D1933" s="14" t="s">
        <v>2949</v>
      </c>
      <c r="E1933" s="10"/>
      <c r="F1933" s="10" t="s">
        <v>2935</v>
      </c>
      <c r="G1933" s="111" t="n">
        <v>1</v>
      </c>
      <c r="H1933" s="152" t="n">
        <v>0</v>
      </c>
      <c r="I1933" s="111">
        <f>G1933*H1933</f>
      </c>
      <c r="J1933" s="153" t="s">
        <v>1608</v>
      </c>
      <c r="K1933" s="146"/>
      <c r="Z1933" s="111">
        <f>IF(AQ1933="5",BJ1933,0)</f>
      </c>
      <c r="AB1933" s="111">
        <f>IF(AQ1933="1",BH1933,0)</f>
      </c>
      <c r="AC1933" s="111">
        <f>IF(AQ1933="1",BI1933,0)</f>
      </c>
      <c r="AD1933" s="111">
        <f>IF(AQ1933="7",BH1933,0)</f>
      </c>
      <c r="AE1933" s="111">
        <f>IF(AQ1933="7",BI1933,0)</f>
      </c>
      <c r="AF1933" s="111">
        <f>IF(AQ1933="2",BH1933,0)</f>
      </c>
      <c r="AG1933" s="111">
        <f>IF(AQ1933="2",BI1933,0)</f>
      </c>
      <c r="AH1933" s="111">
        <f>IF(AQ1933="0",BJ1933,0)</f>
      </c>
      <c r="AI1933" s="132" t="s">
        <v>84</v>
      </c>
      <c r="AJ1933" s="111">
        <f>IF(AN1933=0,I1933,0)</f>
      </c>
      <c r="AK1933" s="111">
        <f>IF(AN1933=12,I1933,0)</f>
      </c>
      <c r="AL1933" s="111">
        <f>IF(AN1933=21,I1933,0)</f>
      </c>
      <c r="AN1933" s="111" t="n">
        <v>21</v>
      </c>
      <c r="AO1933" s="111">
        <f>H1933*0</f>
      </c>
      <c r="AP1933" s="111">
        <f>H1933*(1-0)</f>
      </c>
      <c r="AQ1933" s="153" t="s">
        <v>802</v>
      </c>
      <c r="AV1933" s="111">
        <f>AW1933+AX1933</f>
      </c>
      <c r="AW1933" s="111">
        <f>G1933*AO1933</f>
      </c>
      <c r="AX1933" s="111">
        <f>G1933*AP1933</f>
      </c>
      <c r="AY1933" s="153" t="s">
        <v>2950</v>
      </c>
      <c r="AZ1933" s="153" t="s">
        <v>2938</v>
      </c>
      <c r="BA1933" s="132" t="s">
        <v>137</v>
      </c>
      <c r="BC1933" s="111">
        <f>AW1933+AX1933</f>
      </c>
      <c r="BD1933" s="111">
        <f>H1933/(100-BE1933)*100</f>
      </c>
      <c r="BE1933" s="111" t="n">
        <v>0</v>
      </c>
      <c r="BF1933" s="111">
        <f>1933</f>
      </c>
      <c r="BH1933" s="111">
        <f>G1933*AO1933</f>
      </c>
      <c r="BI1933" s="111">
        <f>G1933*AP1933</f>
      </c>
      <c r="BJ1933" s="111">
        <f>G1933*H1933</f>
      </c>
      <c r="BK1933" s="111"/>
      <c r="BL1933" s="111"/>
      <c r="BN1933" s="111">
        <f>G1933*H1933</f>
      </c>
      <c r="BW1933" s="111" t="n">
        <v>21</v>
      </c>
      <c r="BX1933" s="14" t="s">
        <v>2949</v>
      </c>
    </row>
    <row r="1934">
      <c r="A1934" s="159"/>
      <c r="D1934" s="156" t="s">
        <v>130</v>
      </c>
      <c r="E1934" s="156" t="s">
        <v>4</v>
      </c>
      <c r="G1934" s="157" t="n">
        <v>1</v>
      </c>
      <c r="K1934" s="146"/>
    </row>
    <row r="1935">
      <c r="A1935" s="147" t="s">
        <v>4</v>
      </c>
      <c r="B1935" s="148" t="s">
        <v>84</v>
      </c>
      <c r="C1935" s="148" t="s">
        <v>2951</v>
      </c>
      <c r="D1935" s="149" t="s">
        <v>25</v>
      </c>
      <c r="E1935" s="148"/>
      <c r="F1935" s="150" t="s">
        <v>79</v>
      </c>
      <c r="G1935" s="150" t="s">
        <v>79</v>
      </c>
      <c r="H1935" s="151" t="s">
        <v>79</v>
      </c>
      <c r="I1935" s="117">
        <f>SUM(I1936:I1943)</f>
      </c>
      <c r="J1935" s="132" t="s">
        <v>4</v>
      </c>
      <c r="K1935" s="146"/>
      <c r="AI1935" s="132" t="s">
        <v>84</v>
      </c>
      <c r="AS1935" s="117">
        <f>SUM(AJ1936:AJ1943)</f>
      </c>
      <c r="AT1935" s="117">
        <f>SUM(AK1936:AK1943)</f>
      </c>
      <c r="AU1935" s="117">
        <f>SUM(AL1936:AL1943)</f>
      </c>
    </row>
    <row r="1936">
      <c r="A1936" s="9" t="s">
        <v>2952</v>
      </c>
      <c r="B1936" s="10" t="s">
        <v>84</v>
      </c>
      <c r="C1936" s="10" t="s">
        <v>2953</v>
      </c>
      <c r="D1936" s="14" t="s">
        <v>2954</v>
      </c>
      <c r="E1936" s="10"/>
      <c r="F1936" s="10" t="s">
        <v>2935</v>
      </c>
      <c r="G1936" s="111" t="n">
        <v>1</v>
      </c>
      <c r="H1936" s="152" t="n">
        <v>0</v>
      </c>
      <c r="I1936" s="111">
        <f>G1936*H1936</f>
      </c>
      <c r="J1936" s="153" t="s">
        <v>2936</v>
      </c>
      <c r="K1936" s="146"/>
      <c r="Z1936" s="111">
        <f>IF(AQ1936="5",BJ1936,0)</f>
      </c>
      <c r="AB1936" s="111">
        <f>IF(AQ1936="1",BH1936,0)</f>
      </c>
      <c r="AC1936" s="111">
        <f>IF(AQ1936="1",BI1936,0)</f>
      </c>
      <c r="AD1936" s="111">
        <f>IF(AQ1936="7",BH1936,0)</f>
      </c>
      <c r="AE1936" s="111">
        <f>IF(AQ1936="7",BI1936,0)</f>
      </c>
      <c r="AF1936" s="111">
        <f>IF(AQ1936="2",BH1936,0)</f>
      </c>
      <c r="AG1936" s="111">
        <f>IF(AQ1936="2",BI1936,0)</f>
      </c>
      <c r="AH1936" s="111">
        <f>IF(AQ1936="0",BJ1936,0)</f>
      </c>
      <c r="AI1936" s="132" t="s">
        <v>84</v>
      </c>
      <c r="AJ1936" s="111">
        <f>IF(AN1936=0,I1936,0)</f>
      </c>
      <c r="AK1936" s="111">
        <f>IF(AN1936=12,I1936,0)</f>
      </c>
      <c r="AL1936" s="111">
        <f>IF(AN1936=21,I1936,0)</f>
      </c>
      <c r="AN1936" s="111" t="n">
        <v>21</v>
      </c>
      <c r="AO1936" s="111">
        <f>H1936*0</f>
      </c>
      <c r="AP1936" s="111">
        <f>H1936*(1-0)</f>
      </c>
      <c r="AQ1936" s="153" t="s">
        <v>802</v>
      </c>
      <c r="AV1936" s="111">
        <f>AW1936+AX1936</f>
      </c>
      <c r="AW1936" s="111">
        <f>G1936*AO1936</f>
      </c>
      <c r="AX1936" s="111">
        <f>G1936*AP1936</f>
      </c>
      <c r="AY1936" s="153" t="s">
        <v>2955</v>
      </c>
      <c r="AZ1936" s="153" t="s">
        <v>2938</v>
      </c>
      <c r="BA1936" s="132" t="s">
        <v>137</v>
      </c>
      <c r="BC1936" s="111">
        <f>AW1936+AX1936</f>
      </c>
      <c r="BD1936" s="111">
        <f>H1936/(100-BE1936)*100</f>
      </c>
      <c r="BE1936" s="111" t="n">
        <v>0</v>
      </c>
      <c r="BF1936" s="111">
        <f>1936</f>
      </c>
      <c r="BH1936" s="111">
        <f>G1936*AO1936</f>
      </c>
      <c r="BI1936" s="111">
        <f>G1936*AP1936</f>
      </c>
      <c r="BJ1936" s="111">
        <f>G1936*H1936</f>
      </c>
      <c r="BK1936" s="111"/>
      <c r="BL1936" s="111"/>
      <c r="BO1936" s="111">
        <f>G1936*H1936</f>
      </c>
      <c r="BW1936" s="111" t="n">
        <v>21</v>
      </c>
      <c r="BX1936" s="14" t="s">
        <v>2954</v>
      </c>
    </row>
    <row r="1937" customHeight="true" ht="13.5">
      <c r="A1937" s="159"/>
      <c r="C1937" s="160" t="s">
        <v>146</v>
      </c>
      <c r="D1937" s="161" t="s">
        <v>2956</v>
      </c>
      <c r="E1937" s="156"/>
      <c r="F1937" s="156"/>
      <c r="G1937" s="156"/>
      <c r="H1937" s="162"/>
      <c r="I1937" s="156"/>
      <c r="J1937" s="156"/>
      <c r="K1937" s="163"/>
    </row>
    <row r="1938">
      <c r="A1938" s="154"/>
      <c r="B1938" s="155"/>
      <c r="C1938" s="155"/>
      <c r="D1938" s="156" t="s">
        <v>130</v>
      </c>
      <c r="E1938" s="156" t="s">
        <v>2957</v>
      </c>
      <c r="F1938" s="155"/>
      <c r="G1938" s="157" t="n">
        <v>1</v>
      </c>
      <c r="H1938" s="158"/>
      <c r="I1938" s="155"/>
      <c r="J1938" s="155"/>
      <c r="K1938" s="146"/>
    </row>
    <row r="1939">
      <c r="A1939" s="9" t="s">
        <v>2958</v>
      </c>
      <c r="B1939" s="10" t="s">
        <v>84</v>
      </c>
      <c r="C1939" s="10" t="s">
        <v>2959</v>
      </c>
      <c r="D1939" s="14" t="s">
        <v>2960</v>
      </c>
      <c r="E1939" s="10"/>
      <c r="F1939" s="10" t="s">
        <v>2935</v>
      </c>
      <c r="G1939" s="111" t="n">
        <v>1</v>
      </c>
      <c r="H1939" s="152" t="n">
        <v>0</v>
      </c>
      <c r="I1939" s="111">
        <f>G1939*H1939</f>
      </c>
      <c r="J1939" s="153" t="s">
        <v>4</v>
      </c>
      <c r="K1939" s="146"/>
      <c r="Z1939" s="111">
        <f>IF(AQ1939="5",BJ1939,0)</f>
      </c>
      <c r="AB1939" s="111">
        <f>IF(AQ1939="1",BH1939,0)</f>
      </c>
      <c r="AC1939" s="111">
        <f>IF(AQ1939="1",BI1939,0)</f>
      </c>
      <c r="AD1939" s="111">
        <f>IF(AQ1939="7",BH1939,0)</f>
      </c>
      <c r="AE1939" s="111">
        <f>IF(AQ1939="7",BI1939,0)</f>
      </c>
      <c r="AF1939" s="111">
        <f>IF(AQ1939="2",BH1939,0)</f>
      </c>
      <c r="AG1939" s="111">
        <f>IF(AQ1939="2",BI1939,0)</f>
      </c>
      <c r="AH1939" s="111">
        <f>IF(AQ1939="0",BJ1939,0)</f>
      </c>
      <c r="AI1939" s="132" t="s">
        <v>84</v>
      </c>
      <c r="AJ1939" s="111">
        <f>IF(AN1939=0,I1939,0)</f>
      </c>
      <c r="AK1939" s="111">
        <f>IF(AN1939=12,I1939,0)</f>
      </c>
      <c r="AL1939" s="111">
        <f>IF(AN1939=21,I1939,0)</f>
      </c>
      <c r="AN1939" s="111" t="n">
        <v>21</v>
      </c>
      <c r="AO1939" s="111">
        <f>H1939*0</f>
      </c>
      <c r="AP1939" s="111">
        <f>H1939*(1-0)</f>
      </c>
      <c r="AQ1939" s="153" t="s">
        <v>802</v>
      </c>
      <c r="AV1939" s="111">
        <f>AW1939+AX1939</f>
      </c>
      <c r="AW1939" s="111">
        <f>G1939*AO1939</f>
      </c>
      <c r="AX1939" s="111">
        <f>G1939*AP1939</f>
      </c>
      <c r="AY1939" s="153" t="s">
        <v>2955</v>
      </c>
      <c r="AZ1939" s="153" t="s">
        <v>2938</v>
      </c>
      <c r="BA1939" s="132" t="s">
        <v>137</v>
      </c>
      <c r="BC1939" s="111">
        <f>AW1939+AX1939</f>
      </c>
      <c r="BD1939" s="111">
        <f>H1939/(100-BE1939)*100</f>
      </c>
      <c r="BE1939" s="111" t="n">
        <v>0</v>
      </c>
      <c r="BF1939" s="111">
        <f>1939</f>
      </c>
      <c r="BH1939" s="111">
        <f>G1939*AO1939</f>
      </c>
      <c r="BI1939" s="111">
        <f>G1939*AP1939</f>
      </c>
      <c r="BJ1939" s="111">
        <f>G1939*H1939</f>
      </c>
      <c r="BK1939" s="111"/>
      <c r="BL1939" s="111"/>
      <c r="BO1939" s="111">
        <f>G1939*H1939</f>
      </c>
      <c r="BW1939" s="111" t="n">
        <v>21</v>
      </c>
      <c r="BX1939" s="14" t="s">
        <v>2960</v>
      </c>
    </row>
    <row r="1940" customHeight="true" ht="13.5">
      <c r="A1940" s="159"/>
      <c r="C1940" s="160" t="s">
        <v>146</v>
      </c>
      <c r="D1940" s="161" t="s">
        <v>2961</v>
      </c>
      <c r="E1940" s="156"/>
      <c r="F1940" s="156"/>
      <c r="G1940" s="156"/>
      <c r="H1940" s="162"/>
      <c r="I1940" s="156"/>
      <c r="J1940" s="156"/>
      <c r="K1940" s="163"/>
    </row>
    <row r="1941">
      <c r="A1941" s="9" t="s">
        <v>2962</v>
      </c>
      <c r="B1941" s="10" t="s">
        <v>84</v>
      </c>
      <c r="C1941" s="10" t="s">
        <v>2959</v>
      </c>
      <c r="D1941" s="14" t="s">
        <v>2960</v>
      </c>
      <c r="E1941" s="10"/>
      <c r="F1941" s="10" t="s">
        <v>2935</v>
      </c>
      <c r="G1941" s="111" t="n">
        <v>1</v>
      </c>
      <c r="H1941" s="152" t="n">
        <v>0</v>
      </c>
      <c r="I1941" s="111">
        <f>G1941*H1941</f>
      </c>
      <c r="J1941" s="153" t="s">
        <v>2936</v>
      </c>
      <c r="K1941" s="146"/>
      <c r="Z1941" s="111">
        <f>IF(AQ1941="5",BJ1941,0)</f>
      </c>
      <c r="AB1941" s="111">
        <f>IF(AQ1941="1",BH1941,0)</f>
      </c>
      <c r="AC1941" s="111">
        <f>IF(AQ1941="1",BI1941,0)</f>
      </c>
      <c r="AD1941" s="111">
        <f>IF(AQ1941="7",BH1941,0)</f>
      </c>
      <c r="AE1941" s="111">
        <f>IF(AQ1941="7",BI1941,0)</f>
      </c>
      <c r="AF1941" s="111">
        <f>IF(AQ1941="2",BH1941,0)</f>
      </c>
      <c r="AG1941" s="111">
        <f>IF(AQ1941="2",BI1941,0)</f>
      </c>
      <c r="AH1941" s="111">
        <f>IF(AQ1941="0",BJ1941,0)</f>
      </c>
      <c r="AI1941" s="132" t="s">
        <v>84</v>
      </c>
      <c r="AJ1941" s="111">
        <f>IF(AN1941=0,I1941,0)</f>
      </c>
      <c r="AK1941" s="111">
        <f>IF(AN1941=12,I1941,0)</f>
      </c>
      <c r="AL1941" s="111">
        <f>IF(AN1941=21,I1941,0)</f>
      </c>
      <c r="AN1941" s="111" t="n">
        <v>21</v>
      </c>
      <c r="AO1941" s="111">
        <f>H1941*0</f>
      </c>
      <c r="AP1941" s="111">
        <f>H1941*(1-0)</f>
      </c>
      <c r="AQ1941" s="153" t="s">
        <v>802</v>
      </c>
      <c r="AV1941" s="111">
        <f>AW1941+AX1941</f>
      </c>
      <c r="AW1941" s="111">
        <f>G1941*AO1941</f>
      </c>
      <c r="AX1941" s="111">
        <f>G1941*AP1941</f>
      </c>
      <c r="AY1941" s="153" t="s">
        <v>2955</v>
      </c>
      <c r="AZ1941" s="153" t="s">
        <v>2938</v>
      </c>
      <c r="BA1941" s="132" t="s">
        <v>137</v>
      </c>
      <c r="BC1941" s="111">
        <f>AW1941+AX1941</f>
      </c>
      <c r="BD1941" s="111">
        <f>H1941/(100-BE1941)*100</f>
      </c>
      <c r="BE1941" s="111" t="n">
        <v>0</v>
      </c>
      <c r="BF1941" s="111">
        <f>1941</f>
      </c>
      <c r="BH1941" s="111">
        <f>G1941*AO1941</f>
      </c>
      <c r="BI1941" s="111">
        <f>G1941*AP1941</f>
      </c>
      <c r="BJ1941" s="111">
        <f>G1941*H1941</f>
      </c>
      <c r="BK1941" s="111"/>
      <c r="BL1941" s="111"/>
      <c r="BO1941" s="111">
        <f>G1941*H1941</f>
      </c>
      <c r="BW1941" s="111" t="n">
        <v>21</v>
      </c>
      <c r="BX1941" s="14" t="s">
        <v>2960</v>
      </c>
    </row>
    <row r="1942" customHeight="true" ht="13.5">
      <c r="A1942" s="159"/>
      <c r="C1942" s="160" t="s">
        <v>146</v>
      </c>
      <c r="D1942" s="161" t="s">
        <v>2963</v>
      </c>
      <c r="E1942" s="156"/>
      <c r="F1942" s="156"/>
      <c r="G1942" s="156"/>
      <c r="H1942" s="162"/>
      <c r="I1942" s="156"/>
      <c r="J1942" s="156"/>
      <c r="K1942" s="163"/>
    </row>
    <row r="1943">
      <c r="A1943" s="9" t="s">
        <v>2964</v>
      </c>
      <c r="B1943" s="10" t="s">
        <v>84</v>
      </c>
      <c r="C1943" s="10" t="s">
        <v>2959</v>
      </c>
      <c r="D1943" s="14" t="s">
        <v>2965</v>
      </c>
      <c r="E1943" s="10"/>
      <c r="F1943" s="10" t="s">
        <v>2935</v>
      </c>
      <c r="G1943" s="111" t="n">
        <v>1</v>
      </c>
      <c r="H1943" s="152" t="n">
        <v>0</v>
      </c>
      <c r="I1943" s="111">
        <f>G1943*H1943</f>
      </c>
      <c r="J1943" s="153" t="s">
        <v>1608</v>
      </c>
      <c r="K1943" s="146"/>
      <c r="Z1943" s="111">
        <f>IF(AQ1943="5",BJ1943,0)</f>
      </c>
      <c r="AB1943" s="111">
        <f>IF(AQ1943="1",BH1943,0)</f>
      </c>
      <c r="AC1943" s="111">
        <f>IF(AQ1943="1",BI1943,0)</f>
      </c>
      <c r="AD1943" s="111">
        <f>IF(AQ1943="7",BH1943,0)</f>
      </c>
      <c r="AE1943" s="111">
        <f>IF(AQ1943="7",BI1943,0)</f>
      </c>
      <c r="AF1943" s="111">
        <f>IF(AQ1943="2",BH1943,0)</f>
      </c>
      <c r="AG1943" s="111">
        <f>IF(AQ1943="2",BI1943,0)</f>
      </c>
      <c r="AH1943" s="111">
        <f>IF(AQ1943="0",BJ1943,0)</f>
      </c>
      <c r="AI1943" s="132" t="s">
        <v>84</v>
      </c>
      <c r="AJ1943" s="111">
        <f>IF(AN1943=0,I1943,0)</f>
      </c>
      <c r="AK1943" s="111">
        <f>IF(AN1943=12,I1943,0)</f>
      </c>
      <c r="AL1943" s="111">
        <f>IF(AN1943=21,I1943,0)</f>
      </c>
      <c r="AN1943" s="111" t="n">
        <v>21</v>
      </c>
      <c r="AO1943" s="111">
        <f>H1943*0</f>
      </c>
      <c r="AP1943" s="111">
        <f>H1943*(1-0)</f>
      </c>
      <c r="AQ1943" s="153" t="s">
        <v>802</v>
      </c>
      <c r="AV1943" s="111">
        <f>AW1943+AX1943</f>
      </c>
      <c r="AW1943" s="111">
        <f>G1943*AO1943</f>
      </c>
      <c r="AX1943" s="111">
        <f>G1943*AP1943</f>
      </c>
      <c r="AY1943" s="153" t="s">
        <v>2955</v>
      </c>
      <c r="AZ1943" s="153" t="s">
        <v>2938</v>
      </c>
      <c r="BA1943" s="132" t="s">
        <v>137</v>
      </c>
      <c r="BC1943" s="111">
        <f>AW1943+AX1943</f>
      </c>
      <c r="BD1943" s="111">
        <f>H1943/(100-BE1943)*100</f>
      </c>
      <c r="BE1943" s="111" t="n">
        <v>0</v>
      </c>
      <c r="BF1943" s="111">
        <f>1943</f>
      </c>
      <c r="BH1943" s="111">
        <f>G1943*AO1943</f>
      </c>
      <c r="BI1943" s="111">
        <f>G1943*AP1943</f>
      </c>
      <c r="BJ1943" s="111">
        <f>G1943*H1943</f>
      </c>
      <c r="BK1943" s="111"/>
      <c r="BL1943" s="111"/>
      <c r="BO1943" s="111">
        <f>G1943*H1943</f>
      </c>
      <c r="BW1943" s="111" t="n">
        <v>21</v>
      </c>
      <c r="BX1943" s="14" t="s">
        <v>2965</v>
      </c>
    </row>
    <row r="1944" customHeight="true" ht="13.5">
      <c r="A1944" s="159"/>
      <c r="C1944" s="160" t="s">
        <v>146</v>
      </c>
      <c r="D1944" s="161" t="s">
        <v>2966</v>
      </c>
      <c r="E1944" s="156"/>
      <c r="F1944" s="156"/>
      <c r="G1944" s="156"/>
      <c r="H1944" s="162"/>
      <c r="I1944" s="156"/>
      <c r="J1944" s="156"/>
      <c r="K1944" s="163"/>
    </row>
    <row r="1945">
      <c r="A1945" s="159"/>
      <c r="D1945" s="156" t="s">
        <v>130</v>
      </c>
      <c r="E1945" s="156" t="s">
        <v>4</v>
      </c>
      <c r="G1945" s="157" t="n">
        <v>1</v>
      </c>
      <c r="K1945" s="146"/>
    </row>
    <row r="1946">
      <c r="A1946" s="147" t="s">
        <v>4</v>
      </c>
      <c r="B1946" s="148" t="s">
        <v>84</v>
      </c>
      <c r="C1946" s="148" t="s">
        <v>2967</v>
      </c>
      <c r="D1946" s="149" t="s">
        <v>71</v>
      </c>
      <c r="E1946" s="148"/>
      <c r="F1946" s="150" t="s">
        <v>79</v>
      </c>
      <c r="G1946" s="150" t="s">
        <v>79</v>
      </c>
      <c r="H1946" s="151" t="s">
        <v>79</v>
      </c>
      <c r="I1946" s="117">
        <f>SUM(I1947:I1947)</f>
      </c>
      <c r="J1946" s="132" t="s">
        <v>4</v>
      </c>
      <c r="K1946" s="146"/>
      <c r="AI1946" s="132" t="s">
        <v>84</v>
      </c>
      <c r="AS1946" s="117">
        <f>SUM(AJ1947:AJ1947)</f>
      </c>
      <c r="AT1946" s="117">
        <f>SUM(AK1947:AK1947)</f>
      </c>
      <c r="AU1946" s="117">
        <f>SUM(AL1947:AL1947)</f>
      </c>
    </row>
    <row r="1947">
      <c r="A1947" s="9" t="s">
        <v>2968</v>
      </c>
      <c r="B1947" s="10" t="s">
        <v>84</v>
      </c>
      <c r="C1947" s="10" t="s">
        <v>2969</v>
      </c>
      <c r="D1947" s="14" t="s">
        <v>2970</v>
      </c>
      <c r="E1947" s="10"/>
      <c r="F1947" s="10" t="s">
        <v>2935</v>
      </c>
      <c r="G1947" s="111" t="n">
        <v>1</v>
      </c>
      <c r="H1947" s="152" t="n">
        <v>0</v>
      </c>
      <c r="I1947" s="111">
        <f>G1947*H1947</f>
      </c>
      <c r="J1947" s="153" t="s">
        <v>2936</v>
      </c>
      <c r="K1947" s="146"/>
      <c r="Z1947" s="111">
        <f>IF(AQ1947="5",BJ1947,0)</f>
      </c>
      <c r="AB1947" s="111">
        <f>IF(AQ1947="1",BH1947,0)</f>
      </c>
      <c r="AC1947" s="111">
        <f>IF(AQ1947="1",BI1947,0)</f>
      </c>
      <c r="AD1947" s="111">
        <f>IF(AQ1947="7",BH1947,0)</f>
      </c>
      <c r="AE1947" s="111">
        <f>IF(AQ1947="7",BI1947,0)</f>
      </c>
      <c r="AF1947" s="111">
        <f>IF(AQ1947="2",BH1947,0)</f>
      </c>
      <c r="AG1947" s="111">
        <f>IF(AQ1947="2",BI1947,0)</f>
      </c>
      <c r="AH1947" s="111">
        <f>IF(AQ1947="0",BJ1947,0)</f>
      </c>
      <c r="AI1947" s="132" t="s">
        <v>84</v>
      </c>
      <c r="AJ1947" s="111">
        <f>IF(AN1947=0,I1947,0)</f>
      </c>
      <c r="AK1947" s="111">
        <f>IF(AN1947=12,I1947,0)</f>
      </c>
      <c r="AL1947" s="111">
        <f>IF(AN1947=21,I1947,0)</f>
      </c>
      <c r="AN1947" s="111" t="n">
        <v>21</v>
      </c>
      <c r="AO1947" s="111">
        <f>H1947*0</f>
      </c>
      <c r="AP1947" s="111">
        <f>H1947*(1-0)</f>
      </c>
      <c r="AQ1947" s="153" t="s">
        <v>802</v>
      </c>
      <c r="AV1947" s="111">
        <f>AW1947+AX1947</f>
      </c>
      <c r="AW1947" s="111">
        <f>G1947*AO1947</f>
      </c>
      <c r="AX1947" s="111">
        <f>G1947*AP1947</f>
      </c>
      <c r="AY1947" s="153" t="s">
        <v>2971</v>
      </c>
      <c r="AZ1947" s="153" t="s">
        <v>2938</v>
      </c>
      <c r="BA1947" s="132" t="s">
        <v>137</v>
      </c>
      <c r="BC1947" s="111">
        <f>AW1947+AX1947</f>
      </c>
      <c r="BD1947" s="111">
        <f>H1947/(100-BE1947)*100</f>
      </c>
      <c r="BE1947" s="111" t="n">
        <v>0</v>
      </c>
      <c r="BF1947" s="111">
        <f>1947</f>
      </c>
      <c r="BH1947" s="111">
        <f>G1947*AO1947</f>
      </c>
      <c r="BI1947" s="111">
        <f>G1947*AP1947</f>
      </c>
      <c r="BJ1947" s="111">
        <f>G1947*H1947</f>
      </c>
      <c r="BK1947" s="111"/>
      <c r="BL1947" s="111"/>
      <c r="BQ1947" s="111">
        <f>G1947*H1947</f>
      </c>
      <c r="BW1947" s="111" t="n">
        <v>21</v>
      </c>
      <c r="BX1947" s="14" t="s">
        <v>2970</v>
      </c>
    </row>
    <row r="1948">
      <c r="A1948" s="147" t="s">
        <v>4</v>
      </c>
      <c r="B1948" s="148" t="s">
        <v>84</v>
      </c>
      <c r="C1948" s="148" t="s">
        <v>2972</v>
      </c>
      <c r="D1948" s="149" t="s">
        <v>32</v>
      </c>
      <c r="E1948" s="148"/>
      <c r="F1948" s="150" t="s">
        <v>79</v>
      </c>
      <c r="G1948" s="150" t="s">
        <v>79</v>
      </c>
      <c r="H1948" s="151" t="s">
        <v>79</v>
      </c>
      <c r="I1948" s="117">
        <f>SUM(I1949:I1950)</f>
      </c>
      <c r="J1948" s="132" t="s">
        <v>4</v>
      </c>
      <c r="K1948" s="146"/>
      <c r="AI1948" s="132" t="s">
        <v>84</v>
      </c>
      <c r="AS1948" s="117">
        <f>SUM(AJ1949:AJ1950)</f>
      </c>
      <c r="AT1948" s="117">
        <f>SUM(AK1949:AK1950)</f>
      </c>
      <c r="AU1948" s="117">
        <f>SUM(AL1949:AL1950)</f>
      </c>
    </row>
    <row r="1949">
      <c r="A1949" s="9" t="s">
        <v>2973</v>
      </c>
      <c r="B1949" s="10" t="s">
        <v>84</v>
      </c>
      <c r="C1949" s="10" t="s">
        <v>2974</v>
      </c>
      <c r="D1949" s="14" t="s">
        <v>32</v>
      </c>
      <c r="E1949" s="10"/>
      <c r="F1949" s="10" t="s">
        <v>2935</v>
      </c>
      <c r="G1949" s="111" t="n">
        <v>1</v>
      </c>
      <c r="H1949" s="152" t="n">
        <v>0</v>
      </c>
      <c r="I1949" s="111">
        <f>G1949*H1949</f>
      </c>
      <c r="J1949" s="153" t="s">
        <v>2936</v>
      </c>
      <c r="K1949" s="146"/>
      <c r="Z1949" s="111">
        <f>IF(AQ1949="5",BJ1949,0)</f>
      </c>
      <c r="AB1949" s="111">
        <f>IF(AQ1949="1",BH1949,0)</f>
      </c>
      <c r="AC1949" s="111">
        <f>IF(AQ1949="1",BI1949,0)</f>
      </c>
      <c r="AD1949" s="111">
        <f>IF(AQ1949="7",BH1949,0)</f>
      </c>
      <c r="AE1949" s="111">
        <f>IF(AQ1949="7",BI1949,0)</f>
      </c>
      <c r="AF1949" s="111">
        <f>IF(AQ1949="2",BH1949,0)</f>
      </c>
      <c r="AG1949" s="111">
        <f>IF(AQ1949="2",BI1949,0)</f>
      </c>
      <c r="AH1949" s="111">
        <f>IF(AQ1949="0",BJ1949,0)</f>
      </c>
      <c r="AI1949" s="132" t="s">
        <v>84</v>
      </c>
      <c r="AJ1949" s="111">
        <f>IF(AN1949=0,I1949,0)</f>
      </c>
      <c r="AK1949" s="111">
        <f>IF(AN1949=12,I1949,0)</f>
      </c>
      <c r="AL1949" s="111">
        <f>IF(AN1949=21,I1949,0)</f>
      </c>
      <c r="AN1949" s="111" t="n">
        <v>21</v>
      </c>
      <c r="AO1949" s="111">
        <f>H1949*0</f>
      </c>
      <c r="AP1949" s="111">
        <f>H1949*(1-0)</f>
      </c>
      <c r="AQ1949" s="153" t="s">
        <v>802</v>
      </c>
      <c r="AV1949" s="111">
        <f>AW1949+AX1949</f>
      </c>
      <c r="AW1949" s="111">
        <f>G1949*AO1949</f>
      </c>
      <c r="AX1949" s="111">
        <f>G1949*AP1949</f>
      </c>
      <c r="AY1949" s="153" t="s">
        <v>2975</v>
      </c>
      <c r="AZ1949" s="153" t="s">
        <v>2938</v>
      </c>
      <c r="BA1949" s="132" t="s">
        <v>137</v>
      </c>
      <c r="BC1949" s="111">
        <f>AW1949+AX1949</f>
      </c>
      <c r="BD1949" s="111">
        <f>H1949/(100-BE1949)*100</f>
      </c>
      <c r="BE1949" s="111" t="n">
        <v>0</v>
      </c>
      <c r="BF1949" s="111">
        <f>1949</f>
      </c>
      <c r="BH1949" s="111">
        <f>G1949*AO1949</f>
      </c>
      <c r="BI1949" s="111">
        <f>G1949*AP1949</f>
      </c>
      <c r="BJ1949" s="111">
        <f>G1949*H1949</f>
      </c>
      <c r="BK1949" s="111"/>
      <c r="BL1949" s="111"/>
      <c r="BS1949" s="111">
        <f>G1949*H1949</f>
      </c>
      <c r="BW1949" s="111" t="n">
        <v>21</v>
      </c>
      <c r="BX1949" s="14" t="s">
        <v>32</v>
      </c>
    </row>
    <row r="1950">
      <c r="A1950" s="9" t="s">
        <v>2976</v>
      </c>
      <c r="B1950" s="10" t="s">
        <v>84</v>
      </c>
      <c r="C1950" s="10" t="s">
        <v>2977</v>
      </c>
      <c r="D1950" s="14" t="s">
        <v>2978</v>
      </c>
      <c r="E1950" s="10"/>
      <c r="F1950" s="10" t="s">
        <v>2935</v>
      </c>
      <c r="G1950" s="111" t="n">
        <v>1</v>
      </c>
      <c r="H1950" s="152" t="n">
        <v>0</v>
      </c>
      <c r="I1950" s="111">
        <f>G1950*H1950</f>
      </c>
      <c r="J1950" s="153" t="s">
        <v>1608</v>
      </c>
      <c r="K1950" s="146"/>
      <c r="Z1950" s="111">
        <f>IF(AQ1950="5",BJ1950,0)</f>
      </c>
      <c r="AB1950" s="111">
        <f>IF(AQ1950="1",BH1950,0)</f>
      </c>
      <c r="AC1950" s="111">
        <f>IF(AQ1950="1",BI1950,0)</f>
      </c>
      <c r="AD1950" s="111">
        <f>IF(AQ1950="7",BH1950,0)</f>
      </c>
      <c r="AE1950" s="111">
        <f>IF(AQ1950="7",BI1950,0)</f>
      </c>
      <c r="AF1950" s="111">
        <f>IF(AQ1950="2",BH1950,0)</f>
      </c>
      <c r="AG1950" s="111">
        <f>IF(AQ1950="2",BI1950,0)</f>
      </c>
      <c r="AH1950" s="111">
        <f>IF(AQ1950="0",BJ1950,0)</f>
      </c>
      <c r="AI1950" s="132" t="s">
        <v>84</v>
      </c>
      <c r="AJ1950" s="111">
        <f>IF(AN1950=0,I1950,0)</f>
      </c>
      <c r="AK1950" s="111">
        <f>IF(AN1950=12,I1950,0)</f>
      </c>
      <c r="AL1950" s="111">
        <f>IF(AN1950=21,I1950,0)</f>
      </c>
      <c r="AN1950" s="111" t="n">
        <v>21</v>
      </c>
      <c r="AO1950" s="111">
        <f>H1950*0</f>
      </c>
      <c r="AP1950" s="111">
        <f>H1950*(1-0)</f>
      </c>
      <c r="AQ1950" s="153" t="s">
        <v>802</v>
      </c>
      <c r="AV1950" s="111">
        <f>AW1950+AX1950</f>
      </c>
      <c r="AW1950" s="111">
        <f>G1950*AO1950</f>
      </c>
      <c r="AX1950" s="111">
        <f>G1950*AP1950</f>
      </c>
      <c r="AY1950" s="153" t="s">
        <v>2975</v>
      </c>
      <c r="AZ1950" s="153" t="s">
        <v>2938</v>
      </c>
      <c r="BA1950" s="132" t="s">
        <v>137</v>
      </c>
      <c r="BC1950" s="111">
        <f>AW1950+AX1950</f>
      </c>
      <c r="BD1950" s="111">
        <f>H1950/(100-BE1950)*100</f>
      </c>
      <c r="BE1950" s="111" t="n">
        <v>0</v>
      </c>
      <c r="BF1950" s="111">
        <f>1950</f>
      </c>
      <c r="BH1950" s="111">
        <f>G1950*AO1950</f>
      </c>
      <c r="BI1950" s="111">
        <f>G1950*AP1950</f>
      </c>
      <c r="BJ1950" s="111">
        <f>G1950*H1950</f>
      </c>
      <c r="BK1950" s="111"/>
      <c r="BL1950" s="111"/>
      <c r="BS1950" s="111">
        <f>G1950*H1950</f>
      </c>
      <c r="BW1950" s="111" t="n">
        <v>21</v>
      </c>
      <c r="BX1950" s="14" t="s">
        <v>2978</v>
      </c>
    </row>
    <row r="1951" customHeight="true" ht="13.5">
      <c r="A1951" s="159"/>
      <c r="C1951" s="160" t="s">
        <v>146</v>
      </c>
      <c r="D1951" s="161" t="s">
        <v>2979</v>
      </c>
      <c r="E1951" s="156"/>
      <c r="F1951" s="156"/>
      <c r="G1951" s="156"/>
      <c r="H1951" s="162"/>
      <c r="I1951" s="156"/>
      <c r="J1951" s="156"/>
      <c r="K1951" s="163"/>
    </row>
    <row r="1952">
      <c r="A1952" s="159"/>
      <c r="D1952" s="156" t="s">
        <v>130</v>
      </c>
      <c r="E1952" s="156" t="s">
        <v>4</v>
      </c>
      <c r="G1952" s="157" t="n">
        <v>1</v>
      </c>
      <c r="K1952" s="146"/>
    </row>
    <row r="1953">
      <c r="A1953" s="147" t="s">
        <v>4</v>
      </c>
      <c r="B1953" s="148" t="s">
        <v>84</v>
      </c>
      <c r="C1953" s="148" t="s">
        <v>2980</v>
      </c>
      <c r="D1953" s="149" t="s">
        <v>73</v>
      </c>
      <c r="E1953" s="148"/>
      <c r="F1953" s="150" t="s">
        <v>79</v>
      </c>
      <c r="G1953" s="150" t="s">
        <v>79</v>
      </c>
      <c r="H1953" s="151" t="s">
        <v>79</v>
      </c>
      <c r="I1953" s="117">
        <f>SUM(I1954:I1954)</f>
      </c>
      <c r="J1953" s="132" t="s">
        <v>4</v>
      </c>
      <c r="K1953" s="146"/>
      <c r="AI1953" s="132" t="s">
        <v>84</v>
      </c>
      <c r="AS1953" s="117">
        <f>SUM(AJ1954:AJ1954)</f>
      </c>
      <c r="AT1953" s="117">
        <f>SUM(AK1954:AK1954)</f>
      </c>
      <c r="AU1953" s="117">
        <f>SUM(AL1954:AL1954)</f>
      </c>
    </row>
    <row r="1954">
      <c r="A1954" s="9" t="s">
        <v>2981</v>
      </c>
      <c r="B1954" s="10" t="s">
        <v>84</v>
      </c>
      <c r="C1954" s="10" t="s">
        <v>2982</v>
      </c>
      <c r="D1954" s="14" t="s">
        <v>2983</v>
      </c>
      <c r="E1954" s="10"/>
      <c r="F1954" s="10" t="s">
        <v>2935</v>
      </c>
      <c r="G1954" s="111" t="n">
        <v>1</v>
      </c>
      <c r="H1954" s="152" t="n">
        <v>0</v>
      </c>
      <c r="I1954" s="111">
        <f>G1954*H1954</f>
      </c>
      <c r="J1954" s="153" t="s">
        <v>1608</v>
      </c>
      <c r="K1954" s="146"/>
      <c r="Z1954" s="111">
        <f>IF(AQ1954="5",BJ1954,0)</f>
      </c>
      <c r="AB1954" s="111">
        <f>IF(AQ1954="1",BH1954,0)</f>
      </c>
      <c r="AC1954" s="111">
        <f>IF(AQ1954="1",BI1954,0)</f>
      </c>
      <c r="AD1954" s="111">
        <f>IF(AQ1954="7",BH1954,0)</f>
      </c>
      <c r="AE1954" s="111">
        <f>IF(AQ1954="7",BI1954,0)</f>
      </c>
      <c r="AF1954" s="111">
        <f>IF(AQ1954="2",BH1954,0)</f>
      </c>
      <c r="AG1954" s="111">
        <f>IF(AQ1954="2",BI1954,0)</f>
      </c>
      <c r="AH1954" s="111">
        <f>IF(AQ1954="0",BJ1954,0)</f>
      </c>
      <c r="AI1954" s="132" t="s">
        <v>84</v>
      </c>
      <c r="AJ1954" s="111">
        <f>IF(AN1954=0,I1954,0)</f>
      </c>
      <c r="AK1954" s="111">
        <f>IF(AN1954=12,I1954,0)</f>
      </c>
      <c r="AL1954" s="111">
        <f>IF(AN1954=21,I1954,0)</f>
      </c>
      <c r="AN1954" s="111" t="n">
        <v>21</v>
      </c>
      <c r="AO1954" s="111">
        <f>H1954*0</f>
      </c>
      <c r="AP1954" s="111">
        <f>H1954*(1-0)</f>
      </c>
      <c r="AQ1954" s="153" t="s">
        <v>802</v>
      </c>
      <c r="AV1954" s="111">
        <f>AW1954+AX1954</f>
      </c>
      <c r="AW1954" s="111">
        <f>G1954*AO1954</f>
      </c>
      <c r="AX1954" s="111">
        <f>G1954*AP1954</f>
      </c>
      <c r="AY1954" s="153" t="s">
        <v>2984</v>
      </c>
      <c r="AZ1954" s="153" t="s">
        <v>2938</v>
      </c>
      <c r="BA1954" s="132" t="s">
        <v>137</v>
      </c>
      <c r="BC1954" s="111">
        <f>AW1954+AX1954</f>
      </c>
      <c r="BD1954" s="111">
        <f>H1954/(100-BE1954)*100</f>
      </c>
      <c r="BE1954" s="111" t="n">
        <v>0</v>
      </c>
      <c r="BF1954" s="111">
        <f>1954</f>
      </c>
      <c r="BH1954" s="111">
        <f>G1954*AO1954</f>
      </c>
      <c r="BI1954" s="111">
        <f>G1954*AP1954</f>
      </c>
      <c r="BJ1954" s="111">
        <f>G1954*H1954</f>
      </c>
      <c r="BK1954" s="111"/>
      <c r="BL1954" s="111"/>
      <c r="BU1954" s="111">
        <f>G1954*H1954</f>
      </c>
      <c r="BW1954" s="111" t="n">
        <v>21</v>
      </c>
      <c r="BX1954" s="14" t="s">
        <v>2983</v>
      </c>
    </row>
    <row r="1955" customHeight="true" ht="13.5">
      <c r="A1955" s="159"/>
      <c r="C1955" s="160" t="s">
        <v>146</v>
      </c>
      <c r="D1955" s="161" t="s">
        <v>2985</v>
      </c>
      <c r="E1955" s="156"/>
      <c r="F1955" s="156"/>
      <c r="G1955" s="156"/>
      <c r="H1955" s="162"/>
      <c r="I1955" s="156"/>
      <c r="J1955" s="156"/>
      <c r="K1955" s="163"/>
    </row>
    <row r="1956">
      <c r="A1956" s="159"/>
      <c r="D1956" s="156" t="s">
        <v>130</v>
      </c>
      <c r="E1956" s="156" t="s">
        <v>4</v>
      </c>
      <c r="G1956" s="157" t="n">
        <v>1</v>
      </c>
      <c r="K1956" s="146"/>
    </row>
    <row r="1957">
      <c r="A1957" s="147" t="s">
        <v>4</v>
      </c>
      <c r="B1957" s="148" t="s">
        <v>87</v>
      </c>
      <c r="C1957" s="148" t="s">
        <v>4</v>
      </c>
      <c r="D1957" s="149" t="s">
        <v>88</v>
      </c>
      <c r="E1957" s="148"/>
      <c r="F1957" s="150" t="s">
        <v>79</v>
      </c>
      <c r="G1957" s="150" t="s">
        <v>79</v>
      </c>
      <c r="H1957" s="151" t="s">
        <v>79</v>
      </c>
      <c r="I1957" s="117">
        <f>I1958+I1966+I1970+I1974+I1988+I2024+I2036+I2048+I2051+I2056+I2061+I2068+I2092+I2095+I2110+I2150+I2153+I2156+I2163+I2166+I2175+I2180+I2257+I2422+I2425+I2454+I2457+I2460+I2463+I2466+I2469+I2534</f>
      </c>
      <c r="J1957" s="132" t="s">
        <v>4</v>
      </c>
      <c r="K1957" s="146"/>
    </row>
    <row r="1958">
      <c r="A1958" s="147" t="s">
        <v>4</v>
      </c>
      <c r="B1958" s="148" t="s">
        <v>87</v>
      </c>
      <c r="C1958" s="148" t="s">
        <v>128</v>
      </c>
      <c r="D1958" s="149" t="s">
        <v>129</v>
      </c>
      <c r="E1958" s="148"/>
      <c r="F1958" s="150" t="s">
        <v>79</v>
      </c>
      <c r="G1958" s="150" t="s">
        <v>79</v>
      </c>
      <c r="H1958" s="151" t="s">
        <v>79</v>
      </c>
      <c r="I1958" s="117">
        <f>SUM(I1959:I1964)</f>
      </c>
      <c r="J1958" s="132" t="s">
        <v>4</v>
      </c>
      <c r="K1958" s="146"/>
      <c r="AI1958" s="132" t="s">
        <v>87</v>
      </c>
      <c r="AS1958" s="117">
        <f>SUM(AJ1959:AJ1964)</f>
      </c>
      <c r="AT1958" s="117">
        <f>SUM(AK1959:AK1964)</f>
      </c>
      <c r="AU1958" s="117">
        <f>SUM(AL1959:AL1964)</f>
      </c>
    </row>
    <row r="1959">
      <c r="A1959" s="9" t="s">
        <v>2986</v>
      </c>
      <c r="B1959" s="10" t="s">
        <v>87</v>
      </c>
      <c r="C1959" s="10" t="s">
        <v>2987</v>
      </c>
      <c r="D1959" s="14" t="s">
        <v>2988</v>
      </c>
      <c r="E1959" s="10"/>
      <c r="F1959" s="10" t="s">
        <v>1324</v>
      </c>
      <c r="G1959" s="111" t="n">
        <v>30</v>
      </c>
      <c r="H1959" s="152" t="n">
        <v>0</v>
      </c>
      <c r="I1959" s="111">
        <f>G1959*H1959</f>
      </c>
      <c r="J1959" s="153" t="s">
        <v>134</v>
      </c>
      <c r="K1959" s="146"/>
      <c r="Z1959" s="111">
        <f>IF(AQ1959="5",BJ1959,0)</f>
      </c>
      <c r="AB1959" s="111">
        <f>IF(AQ1959="1",BH1959,0)</f>
      </c>
      <c r="AC1959" s="111">
        <f>IF(AQ1959="1",BI1959,0)</f>
      </c>
      <c r="AD1959" s="111">
        <f>IF(AQ1959="7",BH1959,0)</f>
      </c>
      <c r="AE1959" s="111">
        <f>IF(AQ1959="7",BI1959,0)</f>
      </c>
      <c r="AF1959" s="111">
        <f>IF(AQ1959="2",BH1959,0)</f>
      </c>
      <c r="AG1959" s="111">
        <f>IF(AQ1959="2",BI1959,0)</f>
      </c>
      <c r="AH1959" s="111">
        <f>IF(AQ1959="0",BJ1959,0)</f>
      </c>
      <c r="AI1959" s="132" t="s">
        <v>87</v>
      </c>
      <c r="AJ1959" s="111">
        <f>IF(AN1959=0,I1959,0)</f>
      </c>
      <c r="AK1959" s="111">
        <f>IF(AN1959=12,I1959,0)</f>
      </c>
      <c r="AL1959" s="111">
        <f>IF(AN1959=21,I1959,0)</f>
      </c>
      <c r="AN1959" s="111" t="n">
        <v>21</v>
      </c>
      <c r="AO1959" s="111">
        <f>H1959*0</f>
      </c>
      <c r="AP1959" s="111">
        <f>H1959*(1-0)</f>
      </c>
      <c r="AQ1959" s="153" t="s">
        <v>130</v>
      </c>
      <c r="AV1959" s="111">
        <f>AW1959+AX1959</f>
      </c>
      <c r="AW1959" s="111">
        <f>G1959*AO1959</f>
      </c>
      <c r="AX1959" s="111">
        <f>G1959*AP1959</f>
      </c>
      <c r="AY1959" s="153" t="s">
        <v>135</v>
      </c>
      <c r="AZ1959" s="153" t="s">
        <v>2989</v>
      </c>
      <c r="BA1959" s="132" t="s">
        <v>2990</v>
      </c>
      <c r="BC1959" s="111">
        <f>AW1959+AX1959</f>
      </c>
      <c r="BD1959" s="111">
        <f>H1959/(100-BE1959)*100</f>
      </c>
      <c r="BE1959" s="111" t="n">
        <v>0</v>
      </c>
      <c r="BF1959" s="111">
        <f>1959</f>
      </c>
      <c r="BH1959" s="111">
        <f>G1959*AO1959</f>
      </c>
      <c r="BI1959" s="111">
        <f>G1959*AP1959</f>
      </c>
      <c r="BJ1959" s="111">
        <f>G1959*H1959</f>
      </c>
      <c r="BK1959" s="111"/>
      <c r="BL1959" s="111" t="n">
        <v>11</v>
      </c>
      <c r="BW1959" s="111" t="n">
        <v>21</v>
      </c>
      <c r="BX1959" s="14" t="s">
        <v>2988</v>
      </c>
    </row>
    <row r="1960" customHeight="true" ht="13.5">
      <c r="A1960" s="159"/>
      <c r="C1960" s="160" t="s">
        <v>146</v>
      </c>
      <c r="D1960" s="161" t="s">
        <v>2991</v>
      </c>
      <c r="E1960" s="156"/>
      <c r="F1960" s="156"/>
      <c r="G1960" s="156"/>
      <c r="H1960" s="162"/>
      <c r="I1960" s="156"/>
      <c r="J1960" s="156"/>
      <c r="K1960" s="163"/>
    </row>
    <row r="1961">
      <c r="A1961" s="154"/>
      <c r="B1961" s="155"/>
      <c r="C1961" s="155"/>
      <c r="D1961" s="156" t="s">
        <v>342</v>
      </c>
      <c r="E1961" s="156" t="s">
        <v>4</v>
      </c>
      <c r="F1961" s="155"/>
      <c r="G1961" s="157" t="n">
        <v>30</v>
      </c>
      <c r="H1961" s="158"/>
      <c r="I1961" s="155"/>
      <c r="J1961" s="155"/>
      <c r="K1961" s="146"/>
    </row>
    <row r="1962">
      <c r="A1962" s="9" t="s">
        <v>2992</v>
      </c>
      <c r="B1962" s="10" t="s">
        <v>87</v>
      </c>
      <c r="C1962" s="10" t="s">
        <v>2993</v>
      </c>
      <c r="D1962" s="14" t="s">
        <v>2994</v>
      </c>
      <c r="E1962" s="10"/>
      <c r="F1962" s="10" t="s">
        <v>282</v>
      </c>
      <c r="G1962" s="111" t="n">
        <v>4.05</v>
      </c>
      <c r="H1962" s="152" t="n">
        <v>0</v>
      </c>
      <c r="I1962" s="111">
        <f>G1962*H1962</f>
      </c>
      <c r="J1962" s="153" t="s">
        <v>134</v>
      </c>
      <c r="K1962" s="146"/>
      <c r="Z1962" s="111">
        <f>IF(AQ1962="5",BJ1962,0)</f>
      </c>
      <c r="AB1962" s="111">
        <f>IF(AQ1962="1",BH1962,0)</f>
      </c>
      <c r="AC1962" s="111">
        <f>IF(AQ1962="1",BI1962,0)</f>
      </c>
      <c r="AD1962" s="111">
        <f>IF(AQ1962="7",BH1962,0)</f>
      </c>
      <c r="AE1962" s="111">
        <f>IF(AQ1962="7",BI1962,0)</f>
      </c>
      <c r="AF1962" s="111">
        <f>IF(AQ1962="2",BH1962,0)</f>
      </c>
      <c r="AG1962" s="111">
        <f>IF(AQ1962="2",BI1962,0)</f>
      </c>
      <c r="AH1962" s="111">
        <f>IF(AQ1962="0",BJ1962,0)</f>
      </c>
      <c r="AI1962" s="132" t="s">
        <v>87</v>
      </c>
      <c r="AJ1962" s="111">
        <f>IF(AN1962=0,I1962,0)</f>
      </c>
      <c r="AK1962" s="111">
        <f>IF(AN1962=12,I1962,0)</f>
      </c>
      <c r="AL1962" s="111">
        <f>IF(AN1962=21,I1962,0)</f>
      </c>
      <c r="AN1962" s="111" t="n">
        <v>21</v>
      </c>
      <c r="AO1962" s="111">
        <f>H1962*0.315450161</f>
      </c>
      <c r="AP1962" s="111">
        <f>H1962*(1-0.315450161)</f>
      </c>
      <c r="AQ1962" s="153" t="s">
        <v>130</v>
      </c>
      <c r="AV1962" s="111">
        <f>AW1962+AX1962</f>
      </c>
      <c r="AW1962" s="111">
        <f>G1962*AO1962</f>
      </c>
      <c r="AX1962" s="111">
        <f>G1962*AP1962</f>
      </c>
      <c r="AY1962" s="153" t="s">
        <v>135</v>
      </c>
      <c r="AZ1962" s="153" t="s">
        <v>2989</v>
      </c>
      <c r="BA1962" s="132" t="s">
        <v>2990</v>
      </c>
      <c r="BC1962" s="111">
        <f>AW1962+AX1962</f>
      </c>
      <c r="BD1962" s="111">
        <f>H1962/(100-BE1962)*100</f>
      </c>
      <c r="BE1962" s="111" t="n">
        <v>0</v>
      </c>
      <c r="BF1962" s="111">
        <f>1962</f>
      </c>
      <c r="BH1962" s="111">
        <f>G1962*AO1962</f>
      </c>
      <c r="BI1962" s="111">
        <f>G1962*AP1962</f>
      </c>
      <c r="BJ1962" s="111">
        <f>G1962*H1962</f>
      </c>
      <c r="BK1962" s="111"/>
      <c r="BL1962" s="111" t="n">
        <v>11</v>
      </c>
      <c r="BW1962" s="111" t="n">
        <v>21</v>
      </c>
      <c r="BX1962" s="14" t="s">
        <v>2994</v>
      </c>
    </row>
    <row r="1963">
      <c r="A1963" s="154"/>
      <c r="B1963" s="155"/>
      <c r="C1963" s="155"/>
      <c r="D1963" s="156" t="s">
        <v>2995</v>
      </c>
      <c r="E1963" s="156" t="s">
        <v>4</v>
      </c>
      <c r="F1963" s="155"/>
      <c r="G1963" s="157" t="n">
        <v>4.05</v>
      </c>
      <c r="H1963" s="158"/>
      <c r="I1963" s="155"/>
      <c r="J1963" s="155"/>
      <c r="K1963" s="146"/>
    </row>
    <row r="1964">
      <c r="A1964" s="9" t="s">
        <v>2996</v>
      </c>
      <c r="B1964" s="10" t="s">
        <v>87</v>
      </c>
      <c r="C1964" s="10" t="s">
        <v>2997</v>
      </c>
      <c r="D1964" s="14" t="s">
        <v>2998</v>
      </c>
      <c r="E1964" s="10"/>
      <c r="F1964" s="10" t="s">
        <v>282</v>
      </c>
      <c r="G1964" s="111" t="n">
        <v>2.7</v>
      </c>
      <c r="H1964" s="152" t="n">
        <v>0</v>
      </c>
      <c r="I1964" s="111">
        <f>G1964*H1964</f>
      </c>
      <c r="J1964" s="153" t="s">
        <v>134</v>
      </c>
      <c r="K1964" s="146"/>
      <c r="Z1964" s="111">
        <f>IF(AQ1964="5",BJ1964,0)</f>
      </c>
      <c r="AB1964" s="111">
        <f>IF(AQ1964="1",BH1964,0)</f>
      </c>
      <c r="AC1964" s="111">
        <f>IF(AQ1964="1",BI1964,0)</f>
      </c>
      <c r="AD1964" s="111">
        <f>IF(AQ1964="7",BH1964,0)</f>
      </c>
      <c r="AE1964" s="111">
        <f>IF(AQ1964="7",BI1964,0)</f>
      </c>
      <c r="AF1964" s="111">
        <f>IF(AQ1964="2",BH1964,0)</f>
      </c>
      <c r="AG1964" s="111">
        <f>IF(AQ1964="2",BI1964,0)</f>
      </c>
      <c r="AH1964" s="111">
        <f>IF(AQ1964="0",BJ1964,0)</f>
      </c>
      <c r="AI1964" s="132" t="s">
        <v>87</v>
      </c>
      <c r="AJ1964" s="111">
        <f>IF(AN1964=0,I1964,0)</f>
      </c>
      <c r="AK1964" s="111">
        <f>IF(AN1964=12,I1964,0)</f>
      </c>
      <c r="AL1964" s="111">
        <f>IF(AN1964=21,I1964,0)</f>
      </c>
      <c r="AN1964" s="111" t="n">
        <v>21</v>
      </c>
      <c r="AO1964" s="111">
        <f>H1964*0.34200207</f>
      </c>
      <c r="AP1964" s="111">
        <f>H1964*(1-0.34200207)</f>
      </c>
      <c r="AQ1964" s="153" t="s">
        <v>130</v>
      </c>
      <c r="AV1964" s="111">
        <f>AW1964+AX1964</f>
      </c>
      <c r="AW1964" s="111">
        <f>G1964*AO1964</f>
      </c>
      <c r="AX1964" s="111">
        <f>G1964*AP1964</f>
      </c>
      <c r="AY1964" s="153" t="s">
        <v>135</v>
      </c>
      <c r="AZ1964" s="153" t="s">
        <v>2989</v>
      </c>
      <c r="BA1964" s="132" t="s">
        <v>2990</v>
      </c>
      <c r="BC1964" s="111">
        <f>AW1964+AX1964</f>
      </c>
      <c r="BD1964" s="111">
        <f>H1964/(100-BE1964)*100</f>
      </c>
      <c r="BE1964" s="111" t="n">
        <v>0</v>
      </c>
      <c r="BF1964" s="111">
        <f>1964</f>
      </c>
      <c r="BH1964" s="111">
        <f>G1964*AO1964</f>
      </c>
      <c r="BI1964" s="111">
        <f>G1964*AP1964</f>
      </c>
      <c r="BJ1964" s="111">
        <f>G1964*H1964</f>
      </c>
      <c r="BK1964" s="111"/>
      <c r="BL1964" s="111" t="n">
        <v>11</v>
      </c>
      <c r="BW1964" s="111" t="n">
        <v>21</v>
      </c>
      <c r="BX1964" s="14" t="s">
        <v>2998</v>
      </c>
    </row>
    <row r="1965">
      <c r="A1965" s="154"/>
      <c r="B1965" s="155"/>
      <c r="C1965" s="155"/>
      <c r="D1965" s="156" t="s">
        <v>2999</v>
      </c>
      <c r="E1965" s="156" t="s">
        <v>4</v>
      </c>
      <c r="F1965" s="155"/>
      <c r="G1965" s="157" t="n">
        <v>2.7</v>
      </c>
      <c r="H1965" s="158"/>
      <c r="I1965" s="155"/>
      <c r="J1965" s="155"/>
      <c r="K1965" s="146"/>
    </row>
    <row r="1966">
      <c r="A1966" s="147" t="s">
        <v>4</v>
      </c>
      <c r="B1966" s="148" t="s">
        <v>87</v>
      </c>
      <c r="C1966" s="148" t="s">
        <v>908</v>
      </c>
      <c r="D1966" s="149" t="s">
        <v>34</v>
      </c>
      <c r="E1966" s="148"/>
      <c r="F1966" s="150" t="s">
        <v>79</v>
      </c>
      <c r="G1966" s="150" t="s">
        <v>79</v>
      </c>
      <c r="H1966" s="151" t="s">
        <v>79</v>
      </c>
      <c r="I1966" s="117">
        <f>SUM(I1967:I1967)</f>
      </c>
      <c r="J1966" s="132" t="s">
        <v>4</v>
      </c>
      <c r="K1966" s="146"/>
      <c r="AI1966" s="132" t="s">
        <v>87</v>
      </c>
      <c r="AS1966" s="117">
        <f>SUM(AJ1967:AJ1967)</f>
      </c>
      <c r="AT1966" s="117">
        <f>SUM(AK1967:AK1967)</f>
      </c>
      <c r="AU1966" s="117">
        <f>SUM(AL1967:AL1967)</f>
      </c>
    </row>
    <row r="1967">
      <c r="A1967" s="9" t="s">
        <v>3000</v>
      </c>
      <c r="B1967" s="10" t="s">
        <v>87</v>
      </c>
      <c r="C1967" s="10" t="s">
        <v>3001</v>
      </c>
      <c r="D1967" s="14" t="s">
        <v>3002</v>
      </c>
      <c r="E1967" s="10"/>
      <c r="F1967" s="10" t="s">
        <v>282</v>
      </c>
      <c r="G1967" s="111" t="n">
        <v>2.7</v>
      </c>
      <c r="H1967" s="152" t="n">
        <v>0</v>
      </c>
      <c r="I1967" s="111">
        <f>G1967*H1967</f>
      </c>
      <c r="J1967" s="153" t="s">
        <v>3003</v>
      </c>
      <c r="K1967" s="146"/>
      <c r="Z1967" s="111">
        <f>IF(AQ1967="5",BJ1967,0)</f>
      </c>
      <c r="AB1967" s="111">
        <f>IF(AQ1967="1",BH1967,0)</f>
      </c>
      <c r="AC1967" s="111">
        <f>IF(AQ1967="1",BI1967,0)</f>
      </c>
      <c r="AD1967" s="111">
        <f>IF(AQ1967="7",BH1967,0)</f>
      </c>
      <c r="AE1967" s="111">
        <f>IF(AQ1967="7",BI1967,0)</f>
      </c>
      <c r="AF1967" s="111">
        <f>IF(AQ1967="2",BH1967,0)</f>
      </c>
      <c r="AG1967" s="111">
        <f>IF(AQ1967="2",BI1967,0)</f>
      </c>
      <c r="AH1967" s="111">
        <f>IF(AQ1967="0",BJ1967,0)</f>
      </c>
      <c r="AI1967" s="132" t="s">
        <v>87</v>
      </c>
      <c r="AJ1967" s="111">
        <f>IF(AN1967=0,I1967,0)</f>
      </c>
      <c r="AK1967" s="111">
        <f>IF(AN1967=12,I1967,0)</f>
      </c>
      <c r="AL1967" s="111">
        <f>IF(AN1967=21,I1967,0)</f>
      </c>
      <c r="AN1967" s="111" t="n">
        <v>21</v>
      </c>
      <c r="AO1967" s="111">
        <f>H1967*1</f>
      </c>
      <c r="AP1967" s="111">
        <f>H1967*(1-1)</f>
      </c>
      <c r="AQ1967" s="153" t="s">
        <v>130</v>
      </c>
      <c r="AV1967" s="111">
        <f>AW1967+AX1967</f>
      </c>
      <c r="AW1967" s="111">
        <f>G1967*AO1967</f>
      </c>
      <c r="AX1967" s="111">
        <f>G1967*AP1967</f>
      </c>
      <c r="AY1967" s="153" t="s">
        <v>3004</v>
      </c>
      <c r="AZ1967" s="153" t="s">
        <v>2989</v>
      </c>
      <c r="BA1967" s="132" t="s">
        <v>2990</v>
      </c>
      <c r="BC1967" s="111">
        <f>AW1967+AX1967</f>
      </c>
      <c r="BD1967" s="111">
        <f>H1967/(100-BE1967)*100</f>
      </c>
      <c r="BE1967" s="111" t="n">
        <v>0</v>
      </c>
      <c r="BF1967" s="111">
        <f>1967</f>
      </c>
      <c r="BH1967" s="111">
        <f>G1967*AO1967</f>
      </c>
      <c r="BI1967" s="111">
        <f>G1967*AP1967</f>
      </c>
      <c r="BJ1967" s="111">
        <f>G1967*H1967</f>
      </c>
      <c r="BK1967" s="111"/>
      <c r="BL1967" s="111" t="n">
        <v>119</v>
      </c>
      <c r="BW1967" s="111" t="n">
        <v>21</v>
      </c>
      <c r="BX1967" s="14" t="s">
        <v>3002</v>
      </c>
    </row>
    <row r="1968" customHeight="true" ht="13.5">
      <c r="A1968" s="159"/>
      <c r="C1968" s="160" t="s">
        <v>146</v>
      </c>
      <c r="D1968" s="161" t="s">
        <v>3005</v>
      </c>
      <c r="E1968" s="156"/>
      <c r="F1968" s="156"/>
      <c r="G1968" s="156"/>
      <c r="H1968" s="162"/>
      <c r="I1968" s="156"/>
      <c r="J1968" s="156"/>
      <c r="K1968" s="163"/>
    </row>
    <row r="1969">
      <c r="A1969" s="154"/>
      <c r="B1969" s="155"/>
      <c r="C1969" s="155"/>
      <c r="D1969" s="156" t="s">
        <v>2999</v>
      </c>
      <c r="E1969" s="156" t="s">
        <v>4</v>
      </c>
      <c r="F1969" s="155"/>
      <c r="G1969" s="157" t="n">
        <v>2.7</v>
      </c>
      <c r="H1969" s="158"/>
      <c r="I1969" s="155"/>
      <c r="J1969" s="155"/>
      <c r="K1969" s="146"/>
    </row>
    <row r="1970">
      <c r="A1970" s="147" t="s">
        <v>4</v>
      </c>
      <c r="B1970" s="148" t="s">
        <v>87</v>
      </c>
      <c r="C1970" s="148" t="s">
        <v>154</v>
      </c>
      <c r="D1970" s="149" t="s">
        <v>155</v>
      </c>
      <c r="E1970" s="148"/>
      <c r="F1970" s="150" t="s">
        <v>79</v>
      </c>
      <c r="G1970" s="150" t="s">
        <v>79</v>
      </c>
      <c r="H1970" s="151" t="s">
        <v>79</v>
      </c>
      <c r="I1970" s="117">
        <f>SUM(I1971:I1971)</f>
      </c>
      <c r="J1970" s="132" t="s">
        <v>4</v>
      </c>
      <c r="K1970" s="146"/>
      <c r="AI1970" s="132" t="s">
        <v>87</v>
      </c>
      <c r="AS1970" s="117">
        <f>SUM(AJ1971:AJ1971)</f>
      </c>
      <c r="AT1970" s="117">
        <f>SUM(AK1971:AK1971)</f>
      </c>
      <c r="AU1970" s="117">
        <f>SUM(AL1971:AL1971)</f>
      </c>
    </row>
    <row r="1971">
      <c r="A1971" s="9" t="s">
        <v>3006</v>
      </c>
      <c r="B1971" s="10" t="s">
        <v>87</v>
      </c>
      <c r="C1971" s="10" t="s">
        <v>3007</v>
      </c>
      <c r="D1971" s="14" t="s">
        <v>3008</v>
      </c>
      <c r="E1971" s="10"/>
      <c r="F1971" s="10" t="s">
        <v>159</v>
      </c>
      <c r="G1971" s="111" t="n">
        <v>7.7625</v>
      </c>
      <c r="H1971" s="152" t="n">
        <v>0</v>
      </c>
      <c r="I1971" s="111">
        <f>G1971*H1971</f>
      </c>
      <c r="J1971" s="153" t="s">
        <v>134</v>
      </c>
      <c r="K1971" s="146"/>
      <c r="Z1971" s="111">
        <f>IF(AQ1971="5",BJ1971,0)</f>
      </c>
      <c r="AB1971" s="111">
        <f>IF(AQ1971="1",BH1971,0)</f>
      </c>
      <c r="AC1971" s="111">
        <f>IF(AQ1971="1",BI1971,0)</f>
      </c>
      <c r="AD1971" s="111">
        <f>IF(AQ1971="7",BH1971,0)</f>
      </c>
      <c r="AE1971" s="111">
        <f>IF(AQ1971="7",BI1971,0)</f>
      </c>
      <c r="AF1971" s="111">
        <f>IF(AQ1971="2",BH1971,0)</f>
      </c>
      <c r="AG1971" s="111">
        <f>IF(AQ1971="2",BI1971,0)</f>
      </c>
      <c r="AH1971" s="111">
        <f>IF(AQ1971="0",BJ1971,0)</f>
      </c>
      <c r="AI1971" s="132" t="s">
        <v>87</v>
      </c>
      <c r="AJ1971" s="111">
        <f>IF(AN1971=0,I1971,0)</f>
      </c>
      <c r="AK1971" s="111">
        <f>IF(AN1971=12,I1971,0)</f>
      </c>
      <c r="AL1971" s="111">
        <f>IF(AN1971=21,I1971,0)</f>
      </c>
      <c r="AN1971" s="111" t="n">
        <v>21</v>
      </c>
      <c r="AO1971" s="111">
        <f>H1971*0</f>
      </c>
      <c r="AP1971" s="111">
        <f>H1971*(1-0)</f>
      </c>
      <c r="AQ1971" s="153" t="s">
        <v>130</v>
      </c>
      <c r="AV1971" s="111">
        <f>AW1971+AX1971</f>
      </c>
      <c r="AW1971" s="111">
        <f>G1971*AO1971</f>
      </c>
      <c r="AX1971" s="111">
        <f>G1971*AP1971</f>
      </c>
      <c r="AY1971" s="153" t="s">
        <v>160</v>
      </c>
      <c r="AZ1971" s="153" t="s">
        <v>2989</v>
      </c>
      <c r="BA1971" s="132" t="s">
        <v>2990</v>
      </c>
      <c r="BC1971" s="111">
        <f>AW1971+AX1971</f>
      </c>
      <c r="BD1971" s="111">
        <f>H1971/(100-BE1971)*100</f>
      </c>
      <c r="BE1971" s="111" t="n">
        <v>0</v>
      </c>
      <c r="BF1971" s="111">
        <f>1971</f>
      </c>
      <c r="BH1971" s="111">
        <f>G1971*AO1971</f>
      </c>
      <c r="BI1971" s="111">
        <f>G1971*AP1971</f>
      </c>
      <c r="BJ1971" s="111">
        <f>G1971*H1971</f>
      </c>
      <c r="BK1971" s="111"/>
      <c r="BL1971" s="111" t="n">
        <v>12</v>
      </c>
      <c r="BW1971" s="111" t="n">
        <v>21</v>
      </c>
      <c r="BX1971" s="14" t="s">
        <v>3008</v>
      </c>
    </row>
    <row r="1972">
      <c r="A1972" s="154"/>
      <c r="B1972" s="155"/>
      <c r="C1972" s="155"/>
      <c r="D1972" s="156" t="s">
        <v>3009</v>
      </c>
      <c r="E1972" s="156" t="s">
        <v>4</v>
      </c>
      <c r="F1972" s="155"/>
      <c r="G1972" s="157" t="n">
        <v>4.6575</v>
      </c>
      <c r="H1972" s="158"/>
      <c r="I1972" s="155"/>
      <c r="J1972" s="155"/>
      <c r="K1972" s="146"/>
    </row>
    <row r="1973">
      <c r="A1973" s="154"/>
      <c r="B1973" s="155"/>
      <c r="C1973" s="155"/>
      <c r="D1973" s="156" t="s">
        <v>3010</v>
      </c>
      <c r="E1973" s="156" t="s">
        <v>4</v>
      </c>
      <c r="F1973" s="155"/>
      <c r="G1973" s="157" t="n">
        <v>3.105</v>
      </c>
      <c r="H1973" s="158"/>
      <c r="I1973" s="155"/>
      <c r="J1973" s="155"/>
      <c r="K1973" s="146"/>
    </row>
    <row r="1974">
      <c r="A1974" s="147" t="s">
        <v>4</v>
      </c>
      <c r="B1974" s="148" t="s">
        <v>87</v>
      </c>
      <c r="C1974" s="148" t="s">
        <v>163</v>
      </c>
      <c r="D1974" s="149" t="s">
        <v>164</v>
      </c>
      <c r="E1974" s="148"/>
      <c r="F1974" s="150" t="s">
        <v>79</v>
      </c>
      <c r="G1974" s="150" t="s">
        <v>79</v>
      </c>
      <c r="H1974" s="151" t="s">
        <v>79</v>
      </c>
      <c r="I1974" s="117">
        <f>SUM(I1975:I1986)</f>
      </c>
      <c r="J1974" s="132" t="s">
        <v>4</v>
      </c>
      <c r="K1974" s="146"/>
      <c r="AI1974" s="132" t="s">
        <v>87</v>
      </c>
      <c r="AS1974" s="117">
        <f>SUM(AJ1975:AJ1986)</f>
      </c>
      <c r="AT1974" s="117">
        <f>SUM(AK1975:AK1986)</f>
      </c>
      <c r="AU1974" s="117">
        <f>SUM(AL1975:AL1986)</f>
      </c>
    </row>
    <row r="1975">
      <c r="A1975" s="9" t="s">
        <v>3011</v>
      </c>
      <c r="B1975" s="10" t="s">
        <v>87</v>
      </c>
      <c r="C1975" s="10" t="s">
        <v>3012</v>
      </c>
      <c r="D1975" s="14" t="s">
        <v>3013</v>
      </c>
      <c r="E1975" s="10"/>
      <c r="F1975" s="10" t="s">
        <v>159</v>
      </c>
      <c r="G1975" s="111" t="n">
        <v>10.752</v>
      </c>
      <c r="H1975" s="152" t="n">
        <v>0</v>
      </c>
      <c r="I1975" s="111">
        <f>G1975*H1975</f>
      </c>
      <c r="J1975" s="153" t="s">
        <v>134</v>
      </c>
      <c r="K1975" s="146"/>
      <c r="Z1975" s="111">
        <f>IF(AQ1975="5",BJ1975,0)</f>
      </c>
      <c r="AB1975" s="111">
        <f>IF(AQ1975="1",BH1975,0)</f>
      </c>
      <c r="AC1975" s="111">
        <f>IF(AQ1975="1",BI1975,0)</f>
      </c>
      <c r="AD1975" s="111">
        <f>IF(AQ1975="7",BH1975,0)</f>
      </c>
      <c r="AE1975" s="111">
        <f>IF(AQ1975="7",BI1975,0)</f>
      </c>
      <c r="AF1975" s="111">
        <f>IF(AQ1975="2",BH1975,0)</f>
      </c>
      <c r="AG1975" s="111">
        <f>IF(AQ1975="2",BI1975,0)</f>
      </c>
      <c r="AH1975" s="111">
        <f>IF(AQ1975="0",BJ1975,0)</f>
      </c>
      <c r="AI1975" s="132" t="s">
        <v>87</v>
      </c>
      <c r="AJ1975" s="111">
        <f>IF(AN1975=0,I1975,0)</f>
      </c>
      <c r="AK1975" s="111">
        <f>IF(AN1975=12,I1975,0)</f>
      </c>
      <c r="AL1975" s="111">
        <f>IF(AN1975=21,I1975,0)</f>
      </c>
      <c r="AN1975" s="111" t="n">
        <v>21</v>
      </c>
      <c r="AO1975" s="111">
        <f>H1975*0</f>
      </c>
      <c r="AP1975" s="111">
        <f>H1975*(1-0)</f>
      </c>
      <c r="AQ1975" s="153" t="s">
        <v>130</v>
      </c>
      <c r="AV1975" s="111">
        <f>AW1975+AX1975</f>
      </c>
      <c r="AW1975" s="111">
        <f>G1975*AO1975</f>
      </c>
      <c r="AX1975" s="111">
        <f>G1975*AP1975</f>
      </c>
      <c r="AY1975" s="153" t="s">
        <v>168</v>
      </c>
      <c r="AZ1975" s="153" t="s">
        <v>2989</v>
      </c>
      <c r="BA1975" s="132" t="s">
        <v>2990</v>
      </c>
      <c r="BC1975" s="111">
        <f>AW1975+AX1975</f>
      </c>
      <c r="BD1975" s="111">
        <f>H1975/(100-BE1975)*100</f>
      </c>
      <c r="BE1975" s="111" t="n">
        <v>0</v>
      </c>
      <c r="BF1975" s="111">
        <f>1975</f>
      </c>
      <c r="BH1975" s="111">
        <f>G1975*AO1975</f>
      </c>
      <c r="BI1975" s="111">
        <f>G1975*AP1975</f>
      </c>
      <c r="BJ1975" s="111">
        <f>G1975*H1975</f>
      </c>
      <c r="BK1975" s="111"/>
      <c r="BL1975" s="111" t="n">
        <v>13</v>
      </c>
      <c r="BW1975" s="111" t="n">
        <v>21</v>
      </c>
      <c r="BX1975" s="14" t="s">
        <v>3013</v>
      </c>
    </row>
    <row r="1976">
      <c r="A1976" s="154"/>
      <c r="B1976" s="155"/>
      <c r="C1976" s="155"/>
      <c r="D1976" s="156" t="s">
        <v>3014</v>
      </c>
      <c r="E1976" s="156" t="s">
        <v>3015</v>
      </c>
      <c r="F1976" s="155"/>
      <c r="G1976" s="157" t="n">
        <v>10.752</v>
      </c>
      <c r="H1976" s="158"/>
      <c r="I1976" s="155"/>
      <c r="J1976" s="155"/>
      <c r="K1976" s="146"/>
    </row>
    <row r="1977">
      <c r="A1977" s="9" t="s">
        <v>3016</v>
      </c>
      <c r="B1977" s="10" t="s">
        <v>87</v>
      </c>
      <c r="C1977" s="10" t="s">
        <v>3017</v>
      </c>
      <c r="D1977" s="14" t="s">
        <v>3018</v>
      </c>
      <c r="E1977" s="10"/>
      <c r="F1977" s="10" t="s">
        <v>159</v>
      </c>
      <c r="G1977" s="111" t="n">
        <v>559.0145</v>
      </c>
      <c r="H1977" s="152" t="n">
        <v>0</v>
      </c>
      <c r="I1977" s="111">
        <f>G1977*H1977</f>
      </c>
      <c r="J1977" s="153" t="s">
        <v>134</v>
      </c>
      <c r="K1977" s="146"/>
      <c r="Z1977" s="111">
        <f>IF(AQ1977="5",BJ1977,0)</f>
      </c>
      <c r="AB1977" s="111">
        <f>IF(AQ1977="1",BH1977,0)</f>
      </c>
      <c r="AC1977" s="111">
        <f>IF(AQ1977="1",BI1977,0)</f>
      </c>
      <c r="AD1977" s="111">
        <f>IF(AQ1977="7",BH1977,0)</f>
      </c>
      <c r="AE1977" s="111">
        <f>IF(AQ1977="7",BI1977,0)</f>
      </c>
      <c r="AF1977" s="111">
        <f>IF(AQ1977="2",BH1977,0)</f>
      </c>
      <c r="AG1977" s="111">
        <f>IF(AQ1977="2",BI1977,0)</f>
      </c>
      <c r="AH1977" s="111">
        <f>IF(AQ1977="0",BJ1977,0)</f>
      </c>
      <c r="AI1977" s="132" t="s">
        <v>87</v>
      </c>
      <c r="AJ1977" s="111">
        <f>IF(AN1977=0,I1977,0)</f>
      </c>
      <c r="AK1977" s="111">
        <f>IF(AN1977=12,I1977,0)</f>
      </c>
      <c r="AL1977" s="111">
        <f>IF(AN1977=21,I1977,0)</f>
      </c>
      <c r="AN1977" s="111" t="n">
        <v>21</v>
      </c>
      <c r="AO1977" s="111">
        <f>H1977*0</f>
      </c>
      <c r="AP1977" s="111">
        <f>H1977*(1-0)</f>
      </c>
      <c r="AQ1977" s="153" t="s">
        <v>130</v>
      </c>
      <c r="AV1977" s="111">
        <f>AW1977+AX1977</f>
      </c>
      <c r="AW1977" s="111">
        <f>G1977*AO1977</f>
      </c>
      <c r="AX1977" s="111">
        <f>G1977*AP1977</f>
      </c>
      <c r="AY1977" s="153" t="s">
        <v>168</v>
      </c>
      <c r="AZ1977" s="153" t="s">
        <v>2989</v>
      </c>
      <c r="BA1977" s="132" t="s">
        <v>2990</v>
      </c>
      <c r="BC1977" s="111">
        <f>AW1977+AX1977</f>
      </c>
      <c r="BD1977" s="111">
        <f>H1977/(100-BE1977)*100</f>
      </c>
      <c r="BE1977" s="111" t="n">
        <v>0</v>
      </c>
      <c r="BF1977" s="111">
        <f>1977</f>
      </c>
      <c r="BH1977" s="111">
        <f>G1977*AO1977</f>
      </c>
      <c r="BI1977" s="111">
        <f>G1977*AP1977</f>
      </c>
      <c r="BJ1977" s="111">
        <f>G1977*H1977</f>
      </c>
      <c r="BK1977" s="111"/>
      <c r="BL1977" s="111" t="n">
        <v>13</v>
      </c>
      <c r="BW1977" s="111" t="n">
        <v>21</v>
      </c>
      <c r="BX1977" s="14" t="s">
        <v>3018</v>
      </c>
    </row>
    <row r="1978">
      <c r="A1978" s="154"/>
      <c r="B1978" s="155"/>
      <c r="C1978" s="155"/>
      <c r="D1978" s="156" t="s">
        <v>3019</v>
      </c>
      <c r="E1978" s="156" t="s">
        <v>3020</v>
      </c>
      <c r="F1978" s="155"/>
      <c r="G1978" s="157" t="n">
        <v>559.0145</v>
      </c>
      <c r="H1978" s="158"/>
      <c r="I1978" s="155"/>
      <c r="J1978" s="155"/>
      <c r="K1978" s="146"/>
    </row>
    <row r="1979">
      <c r="A1979" s="9" t="s">
        <v>3021</v>
      </c>
      <c r="B1979" s="10" t="s">
        <v>87</v>
      </c>
      <c r="C1979" s="10" t="s">
        <v>3022</v>
      </c>
      <c r="D1979" s="14" t="s">
        <v>3023</v>
      </c>
      <c r="E1979" s="10"/>
      <c r="F1979" s="10" t="s">
        <v>159</v>
      </c>
      <c r="G1979" s="111" t="n">
        <v>170.92995</v>
      </c>
      <c r="H1979" s="152" t="n">
        <v>0</v>
      </c>
      <c r="I1979" s="111">
        <f>G1979*H1979</f>
      </c>
      <c r="J1979" s="153" t="s">
        <v>134</v>
      </c>
      <c r="K1979" s="146"/>
      <c r="Z1979" s="111">
        <f>IF(AQ1979="5",BJ1979,0)</f>
      </c>
      <c r="AB1979" s="111">
        <f>IF(AQ1979="1",BH1979,0)</f>
      </c>
      <c r="AC1979" s="111">
        <f>IF(AQ1979="1",BI1979,0)</f>
      </c>
      <c r="AD1979" s="111">
        <f>IF(AQ1979="7",BH1979,0)</f>
      </c>
      <c r="AE1979" s="111">
        <f>IF(AQ1979="7",BI1979,0)</f>
      </c>
      <c r="AF1979" s="111">
        <f>IF(AQ1979="2",BH1979,0)</f>
      </c>
      <c r="AG1979" s="111">
        <f>IF(AQ1979="2",BI1979,0)</f>
      </c>
      <c r="AH1979" s="111">
        <f>IF(AQ1979="0",BJ1979,0)</f>
      </c>
      <c r="AI1979" s="132" t="s">
        <v>87</v>
      </c>
      <c r="AJ1979" s="111">
        <f>IF(AN1979=0,I1979,0)</f>
      </c>
      <c r="AK1979" s="111">
        <f>IF(AN1979=12,I1979,0)</f>
      </c>
      <c r="AL1979" s="111">
        <f>IF(AN1979=21,I1979,0)</f>
      </c>
      <c r="AN1979" s="111" t="n">
        <v>21</v>
      </c>
      <c r="AO1979" s="111">
        <f>H1979*0</f>
      </c>
      <c r="AP1979" s="111">
        <f>H1979*(1-0)</f>
      </c>
      <c r="AQ1979" s="153" t="s">
        <v>130</v>
      </c>
      <c r="AV1979" s="111">
        <f>AW1979+AX1979</f>
      </c>
      <c r="AW1979" s="111">
        <f>G1979*AO1979</f>
      </c>
      <c r="AX1979" s="111">
        <f>G1979*AP1979</f>
      </c>
      <c r="AY1979" s="153" t="s">
        <v>168</v>
      </c>
      <c r="AZ1979" s="153" t="s">
        <v>2989</v>
      </c>
      <c r="BA1979" s="132" t="s">
        <v>2990</v>
      </c>
      <c r="BC1979" s="111">
        <f>AW1979+AX1979</f>
      </c>
      <c r="BD1979" s="111">
        <f>H1979/(100-BE1979)*100</f>
      </c>
      <c r="BE1979" s="111" t="n">
        <v>0</v>
      </c>
      <c r="BF1979" s="111">
        <f>1979</f>
      </c>
      <c r="BH1979" s="111">
        <f>G1979*AO1979</f>
      </c>
      <c r="BI1979" s="111">
        <f>G1979*AP1979</f>
      </c>
      <c r="BJ1979" s="111">
        <f>G1979*H1979</f>
      </c>
      <c r="BK1979" s="111"/>
      <c r="BL1979" s="111" t="n">
        <v>13</v>
      </c>
      <c r="BW1979" s="111" t="n">
        <v>21</v>
      </c>
      <c r="BX1979" s="14" t="s">
        <v>3023</v>
      </c>
    </row>
    <row r="1980">
      <c r="A1980" s="154"/>
      <c r="B1980" s="155"/>
      <c r="C1980" s="155"/>
      <c r="D1980" s="156" t="s">
        <v>3024</v>
      </c>
      <c r="E1980" s="156" t="s">
        <v>3025</v>
      </c>
      <c r="F1980" s="155"/>
      <c r="G1980" s="157" t="n">
        <v>170.92995</v>
      </c>
      <c r="H1980" s="158"/>
      <c r="I1980" s="155"/>
      <c r="J1980" s="155"/>
      <c r="K1980" s="146"/>
    </row>
    <row r="1981">
      <c r="A1981" s="9" t="s">
        <v>3026</v>
      </c>
      <c r="B1981" s="10" t="s">
        <v>87</v>
      </c>
      <c r="C1981" s="10" t="s">
        <v>3027</v>
      </c>
      <c r="D1981" s="14" t="s">
        <v>3028</v>
      </c>
      <c r="E1981" s="10"/>
      <c r="F1981" s="10" t="s">
        <v>159</v>
      </c>
      <c r="G1981" s="111" t="n">
        <v>397.4195</v>
      </c>
      <c r="H1981" s="152" t="n">
        <v>0</v>
      </c>
      <c r="I1981" s="111">
        <f>G1981*H1981</f>
      </c>
      <c r="J1981" s="153" t="s">
        <v>134</v>
      </c>
      <c r="K1981" s="146"/>
      <c r="Z1981" s="111">
        <f>IF(AQ1981="5",BJ1981,0)</f>
      </c>
      <c r="AB1981" s="111">
        <f>IF(AQ1981="1",BH1981,0)</f>
      </c>
      <c r="AC1981" s="111">
        <f>IF(AQ1981="1",BI1981,0)</f>
      </c>
      <c r="AD1981" s="111">
        <f>IF(AQ1981="7",BH1981,0)</f>
      </c>
      <c r="AE1981" s="111">
        <f>IF(AQ1981="7",BI1981,0)</f>
      </c>
      <c r="AF1981" s="111">
        <f>IF(AQ1981="2",BH1981,0)</f>
      </c>
      <c r="AG1981" s="111">
        <f>IF(AQ1981="2",BI1981,0)</f>
      </c>
      <c r="AH1981" s="111">
        <f>IF(AQ1981="0",BJ1981,0)</f>
      </c>
      <c r="AI1981" s="132" t="s">
        <v>87</v>
      </c>
      <c r="AJ1981" s="111">
        <f>IF(AN1981=0,I1981,0)</f>
      </c>
      <c r="AK1981" s="111">
        <f>IF(AN1981=12,I1981,0)</f>
      </c>
      <c r="AL1981" s="111">
        <f>IF(AN1981=21,I1981,0)</f>
      </c>
      <c r="AN1981" s="111" t="n">
        <v>21</v>
      </c>
      <c r="AO1981" s="111">
        <f>H1981*0</f>
      </c>
      <c r="AP1981" s="111">
        <f>H1981*(1-0)</f>
      </c>
      <c r="AQ1981" s="153" t="s">
        <v>130</v>
      </c>
      <c r="AV1981" s="111">
        <f>AW1981+AX1981</f>
      </c>
      <c r="AW1981" s="111">
        <f>G1981*AO1981</f>
      </c>
      <c r="AX1981" s="111">
        <f>G1981*AP1981</f>
      </c>
      <c r="AY1981" s="153" t="s">
        <v>168</v>
      </c>
      <c r="AZ1981" s="153" t="s">
        <v>2989</v>
      </c>
      <c r="BA1981" s="132" t="s">
        <v>2990</v>
      </c>
      <c r="BC1981" s="111">
        <f>AW1981+AX1981</f>
      </c>
      <c r="BD1981" s="111">
        <f>H1981/(100-BE1981)*100</f>
      </c>
      <c r="BE1981" s="111" t="n">
        <v>0</v>
      </c>
      <c r="BF1981" s="111">
        <f>1981</f>
      </c>
      <c r="BH1981" s="111">
        <f>G1981*AO1981</f>
      </c>
      <c r="BI1981" s="111">
        <f>G1981*AP1981</f>
      </c>
      <c r="BJ1981" s="111">
        <f>G1981*H1981</f>
      </c>
      <c r="BK1981" s="111"/>
      <c r="BL1981" s="111" t="n">
        <v>13</v>
      </c>
      <c r="BW1981" s="111" t="n">
        <v>21</v>
      </c>
      <c r="BX1981" s="14" t="s">
        <v>3028</v>
      </c>
    </row>
    <row r="1982">
      <c r="A1982" s="154"/>
      <c r="B1982" s="155"/>
      <c r="C1982" s="155"/>
      <c r="D1982" s="156" t="s">
        <v>3029</v>
      </c>
      <c r="E1982" s="156" t="s">
        <v>3030</v>
      </c>
      <c r="F1982" s="155"/>
      <c r="G1982" s="157" t="n">
        <v>23.2875</v>
      </c>
      <c r="H1982" s="158"/>
      <c r="I1982" s="155"/>
      <c r="J1982" s="155"/>
      <c r="K1982" s="146"/>
    </row>
    <row r="1983">
      <c r="A1983" s="154"/>
      <c r="B1983" s="155"/>
      <c r="C1983" s="155"/>
      <c r="D1983" s="156" t="s">
        <v>3031</v>
      </c>
      <c r="E1983" s="156" t="s">
        <v>3032</v>
      </c>
      <c r="F1983" s="155"/>
      <c r="G1983" s="157" t="n">
        <v>52.8</v>
      </c>
      <c r="H1983" s="158"/>
      <c r="I1983" s="155"/>
      <c r="J1983" s="155"/>
      <c r="K1983" s="146"/>
    </row>
    <row r="1984">
      <c r="A1984" s="154"/>
      <c r="B1984" s="155"/>
      <c r="C1984" s="155"/>
      <c r="D1984" s="156" t="s">
        <v>3033</v>
      </c>
      <c r="E1984" s="156" t="s">
        <v>3034</v>
      </c>
      <c r="F1984" s="155"/>
      <c r="G1984" s="157" t="n">
        <v>86.756</v>
      </c>
      <c r="H1984" s="158"/>
      <c r="I1984" s="155"/>
      <c r="J1984" s="155"/>
      <c r="K1984" s="146"/>
    </row>
    <row r="1985">
      <c r="A1985" s="154"/>
      <c r="B1985" s="155"/>
      <c r="C1985" s="155"/>
      <c r="D1985" s="156" t="s">
        <v>3035</v>
      </c>
      <c r="E1985" s="156" t="s">
        <v>3036</v>
      </c>
      <c r="F1985" s="155"/>
      <c r="G1985" s="157" t="n">
        <v>234.576</v>
      </c>
      <c r="H1985" s="158"/>
      <c r="I1985" s="155"/>
      <c r="J1985" s="155"/>
      <c r="K1985" s="146"/>
    </row>
    <row r="1986">
      <c r="A1986" s="9" t="s">
        <v>3037</v>
      </c>
      <c r="B1986" s="10" t="s">
        <v>87</v>
      </c>
      <c r="C1986" s="10" t="s">
        <v>200</v>
      </c>
      <c r="D1986" s="14" t="s">
        <v>201</v>
      </c>
      <c r="E1986" s="10"/>
      <c r="F1986" s="10" t="s">
        <v>159</v>
      </c>
      <c r="G1986" s="111" t="n">
        <v>119.22585</v>
      </c>
      <c r="H1986" s="152" t="n">
        <v>0</v>
      </c>
      <c r="I1986" s="111">
        <f>G1986*H1986</f>
      </c>
      <c r="J1986" s="153" t="s">
        <v>134</v>
      </c>
      <c r="K1986" s="146"/>
      <c r="Z1986" s="111">
        <f>IF(AQ1986="5",BJ1986,0)</f>
      </c>
      <c r="AB1986" s="111">
        <f>IF(AQ1986="1",BH1986,0)</f>
      </c>
      <c r="AC1986" s="111">
        <f>IF(AQ1986="1",BI1986,0)</f>
      </c>
      <c r="AD1986" s="111">
        <f>IF(AQ1986="7",BH1986,0)</f>
      </c>
      <c r="AE1986" s="111">
        <f>IF(AQ1986="7",BI1986,0)</f>
      </c>
      <c r="AF1986" s="111">
        <f>IF(AQ1986="2",BH1986,0)</f>
      </c>
      <c r="AG1986" s="111">
        <f>IF(AQ1986="2",BI1986,0)</f>
      </c>
      <c r="AH1986" s="111">
        <f>IF(AQ1986="0",BJ1986,0)</f>
      </c>
      <c r="AI1986" s="132" t="s">
        <v>87</v>
      </c>
      <c r="AJ1986" s="111">
        <f>IF(AN1986=0,I1986,0)</f>
      </c>
      <c r="AK1986" s="111">
        <f>IF(AN1986=12,I1986,0)</f>
      </c>
      <c r="AL1986" s="111">
        <f>IF(AN1986=21,I1986,0)</f>
      </c>
      <c r="AN1986" s="111" t="n">
        <v>21</v>
      </c>
      <c r="AO1986" s="111">
        <f>H1986*0</f>
      </c>
      <c r="AP1986" s="111">
        <f>H1986*(1-0)</f>
      </c>
      <c r="AQ1986" s="153" t="s">
        <v>130</v>
      </c>
      <c r="AV1986" s="111">
        <f>AW1986+AX1986</f>
      </c>
      <c r="AW1986" s="111">
        <f>G1986*AO1986</f>
      </c>
      <c r="AX1986" s="111">
        <f>G1986*AP1986</f>
      </c>
      <c r="AY1986" s="153" t="s">
        <v>168</v>
      </c>
      <c r="AZ1986" s="153" t="s">
        <v>2989</v>
      </c>
      <c r="BA1986" s="132" t="s">
        <v>2990</v>
      </c>
      <c r="BC1986" s="111">
        <f>AW1986+AX1986</f>
      </c>
      <c r="BD1986" s="111">
        <f>H1986/(100-BE1986)*100</f>
      </c>
      <c r="BE1986" s="111" t="n">
        <v>0</v>
      </c>
      <c r="BF1986" s="111">
        <f>1986</f>
      </c>
      <c r="BH1986" s="111">
        <f>G1986*AO1986</f>
      </c>
      <c r="BI1986" s="111">
        <f>G1986*AP1986</f>
      </c>
      <c r="BJ1986" s="111">
        <f>G1986*H1986</f>
      </c>
      <c r="BK1986" s="111"/>
      <c r="BL1986" s="111" t="n">
        <v>13</v>
      </c>
      <c r="BW1986" s="111" t="n">
        <v>21</v>
      </c>
      <c r="BX1986" s="14" t="s">
        <v>201</v>
      </c>
    </row>
    <row r="1987">
      <c r="A1987" s="154"/>
      <c r="B1987" s="155"/>
      <c r="C1987" s="155"/>
      <c r="D1987" s="156" t="s">
        <v>3038</v>
      </c>
      <c r="E1987" s="156" t="s">
        <v>3025</v>
      </c>
      <c r="F1987" s="155"/>
      <c r="G1987" s="157" t="n">
        <v>119.22585</v>
      </c>
      <c r="H1987" s="158"/>
      <c r="I1987" s="155"/>
      <c r="J1987" s="155"/>
      <c r="K1987" s="146"/>
    </row>
    <row r="1988">
      <c r="A1988" s="147" t="s">
        <v>4</v>
      </c>
      <c r="B1988" s="148" t="s">
        <v>87</v>
      </c>
      <c r="C1988" s="148" t="s">
        <v>224</v>
      </c>
      <c r="D1988" s="149" t="s">
        <v>3039</v>
      </c>
      <c r="E1988" s="148"/>
      <c r="F1988" s="150" t="s">
        <v>79</v>
      </c>
      <c r="G1988" s="150" t="s">
        <v>79</v>
      </c>
      <c r="H1988" s="151" t="s">
        <v>79</v>
      </c>
      <c r="I1988" s="117">
        <f>SUM(I1989:I2022)</f>
      </c>
      <c r="J1988" s="132" t="s">
        <v>4</v>
      </c>
      <c r="K1988" s="146"/>
      <c r="AI1988" s="132" t="s">
        <v>87</v>
      </c>
      <c r="AS1988" s="117">
        <f>SUM(AJ1989:AJ2022)</f>
      </c>
      <c r="AT1988" s="117">
        <f>SUM(AK1989:AK2022)</f>
      </c>
      <c r="AU1988" s="117">
        <f>SUM(AL1989:AL2022)</f>
      </c>
    </row>
    <row r="1989">
      <c r="A1989" s="9" t="s">
        <v>3040</v>
      </c>
      <c r="B1989" s="10" t="s">
        <v>87</v>
      </c>
      <c r="C1989" s="10" t="s">
        <v>3041</v>
      </c>
      <c r="D1989" s="14" t="s">
        <v>3042</v>
      </c>
      <c r="E1989" s="10"/>
      <c r="F1989" s="10" t="s">
        <v>145</v>
      </c>
      <c r="G1989" s="111" t="n">
        <v>349.96</v>
      </c>
      <c r="H1989" s="152" t="n">
        <v>0</v>
      </c>
      <c r="I1989" s="111">
        <f>G1989*H1989</f>
      </c>
      <c r="J1989" s="153" t="s">
        <v>134</v>
      </c>
      <c r="K1989" s="146"/>
      <c r="Z1989" s="111">
        <f>IF(AQ1989="5",BJ1989,0)</f>
      </c>
      <c r="AB1989" s="111">
        <f>IF(AQ1989="1",BH1989,0)</f>
      </c>
      <c r="AC1989" s="111">
        <f>IF(AQ1989="1",BI1989,0)</f>
      </c>
      <c r="AD1989" s="111">
        <f>IF(AQ1989="7",BH1989,0)</f>
      </c>
      <c r="AE1989" s="111">
        <f>IF(AQ1989="7",BI1989,0)</f>
      </c>
      <c r="AF1989" s="111">
        <f>IF(AQ1989="2",BH1989,0)</f>
      </c>
      <c r="AG1989" s="111">
        <f>IF(AQ1989="2",BI1989,0)</f>
      </c>
      <c r="AH1989" s="111">
        <f>IF(AQ1989="0",BJ1989,0)</f>
      </c>
      <c r="AI1989" s="132" t="s">
        <v>87</v>
      </c>
      <c r="AJ1989" s="111">
        <f>IF(AN1989=0,I1989,0)</f>
      </c>
      <c r="AK1989" s="111">
        <f>IF(AN1989=12,I1989,0)</f>
      </c>
      <c r="AL1989" s="111">
        <f>IF(AN1989=21,I1989,0)</f>
      </c>
      <c r="AN1989" s="111" t="n">
        <v>21</v>
      </c>
      <c r="AO1989" s="111">
        <f>H1989*0.085202975</f>
      </c>
      <c r="AP1989" s="111">
        <f>H1989*(1-0.085202975)</f>
      </c>
      <c r="AQ1989" s="153" t="s">
        <v>130</v>
      </c>
      <c r="AV1989" s="111">
        <f>AW1989+AX1989</f>
      </c>
      <c r="AW1989" s="111">
        <f>G1989*AO1989</f>
      </c>
      <c r="AX1989" s="111">
        <f>G1989*AP1989</f>
      </c>
      <c r="AY1989" s="153" t="s">
        <v>3043</v>
      </c>
      <c r="AZ1989" s="153" t="s">
        <v>2989</v>
      </c>
      <c r="BA1989" s="132" t="s">
        <v>2990</v>
      </c>
      <c r="BC1989" s="111">
        <f>AW1989+AX1989</f>
      </c>
      <c r="BD1989" s="111">
        <f>H1989/(100-BE1989)*100</f>
      </c>
      <c r="BE1989" s="111" t="n">
        <v>0</v>
      </c>
      <c r="BF1989" s="111">
        <f>1989</f>
      </c>
      <c r="BH1989" s="111">
        <f>G1989*AO1989</f>
      </c>
      <c r="BI1989" s="111">
        <f>G1989*AP1989</f>
      </c>
      <c r="BJ1989" s="111">
        <f>G1989*H1989</f>
      </c>
      <c r="BK1989" s="111"/>
      <c r="BL1989" s="111" t="n">
        <v>15</v>
      </c>
      <c r="BW1989" s="111" t="n">
        <v>21</v>
      </c>
      <c r="BX1989" s="14" t="s">
        <v>3042</v>
      </c>
    </row>
    <row r="1990">
      <c r="A1990" s="154"/>
      <c r="B1990" s="155"/>
      <c r="C1990" s="155"/>
      <c r="D1990" s="156" t="s">
        <v>3044</v>
      </c>
      <c r="E1990" s="156" t="s">
        <v>3030</v>
      </c>
      <c r="F1990" s="155"/>
      <c r="G1990" s="157" t="n">
        <v>32.2</v>
      </c>
      <c r="H1990" s="158"/>
      <c r="I1990" s="155"/>
      <c r="J1990" s="155"/>
      <c r="K1990" s="146"/>
    </row>
    <row r="1991">
      <c r="A1991" s="154"/>
      <c r="B1991" s="155"/>
      <c r="C1991" s="155"/>
      <c r="D1991" s="156" t="s">
        <v>3045</v>
      </c>
      <c r="E1991" s="156" t="s">
        <v>3036</v>
      </c>
      <c r="F1991" s="155"/>
      <c r="G1991" s="157" t="n">
        <v>221.76</v>
      </c>
      <c r="H1991" s="158"/>
      <c r="I1991" s="155"/>
      <c r="J1991" s="155"/>
      <c r="K1991" s="146"/>
    </row>
    <row r="1992">
      <c r="A1992" s="154"/>
      <c r="B1992" s="155"/>
      <c r="C1992" s="155"/>
      <c r="D1992" s="156" t="s">
        <v>3046</v>
      </c>
      <c r="E1992" s="156" t="s">
        <v>3032</v>
      </c>
      <c r="F1992" s="155"/>
      <c r="G1992" s="157" t="n">
        <v>96</v>
      </c>
      <c r="H1992" s="158"/>
      <c r="I1992" s="155"/>
      <c r="J1992" s="155"/>
      <c r="K1992" s="146"/>
    </row>
    <row r="1993">
      <c r="A1993" s="9" t="s">
        <v>3047</v>
      </c>
      <c r="B1993" s="10" t="s">
        <v>87</v>
      </c>
      <c r="C1993" s="10" t="s">
        <v>3048</v>
      </c>
      <c r="D1993" s="14" t="s">
        <v>3049</v>
      </c>
      <c r="E1993" s="10"/>
      <c r="F1993" s="10" t="s">
        <v>145</v>
      </c>
      <c r="G1993" s="111" t="n">
        <v>130.16</v>
      </c>
      <c r="H1993" s="152" t="n">
        <v>0</v>
      </c>
      <c r="I1993" s="111">
        <f>G1993*H1993</f>
      </c>
      <c r="J1993" s="153" t="s">
        <v>134</v>
      </c>
      <c r="K1993" s="146"/>
      <c r="Z1993" s="111">
        <f>IF(AQ1993="5",BJ1993,0)</f>
      </c>
      <c r="AB1993" s="111">
        <f>IF(AQ1993="1",BH1993,0)</f>
      </c>
      <c r="AC1993" s="111">
        <f>IF(AQ1993="1",BI1993,0)</f>
      </c>
      <c r="AD1993" s="111">
        <f>IF(AQ1993="7",BH1993,0)</f>
      </c>
      <c r="AE1993" s="111">
        <f>IF(AQ1993="7",BI1993,0)</f>
      </c>
      <c r="AF1993" s="111">
        <f>IF(AQ1993="2",BH1993,0)</f>
      </c>
      <c r="AG1993" s="111">
        <f>IF(AQ1993="2",BI1993,0)</f>
      </c>
      <c r="AH1993" s="111">
        <f>IF(AQ1993="0",BJ1993,0)</f>
      </c>
      <c r="AI1993" s="132" t="s">
        <v>87</v>
      </c>
      <c r="AJ1993" s="111">
        <f>IF(AN1993=0,I1993,0)</f>
      </c>
      <c r="AK1993" s="111">
        <f>IF(AN1993=12,I1993,0)</f>
      </c>
      <c r="AL1993" s="111">
        <f>IF(AN1993=21,I1993,0)</f>
      </c>
      <c r="AN1993" s="111" t="n">
        <v>21</v>
      </c>
      <c r="AO1993" s="111">
        <f>H1993*0.083527397</f>
      </c>
      <c r="AP1993" s="111">
        <f>H1993*(1-0.083527397)</f>
      </c>
      <c r="AQ1993" s="153" t="s">
        <v>130</v>
      </c>
      <c r="AV1993" s="111">
        <f>AW1993+AX1993</f>
      </c>
      <c r="AW1993" s="111">
        <f>G1993*AO1993</f>
      </c>
      <c r="AX1993" s="111">
        <f>G1993*AP1993</f>
      </c>
      <c r="AY1993" s="153" t="s">
        <v>3043</v>
      </c>
      <c r="AZ1993" s="153" t="s">
        <v>2989</v>
      </c>
      <c r="BA1993" s="132" t="s">
        <v>2990</v>
      </c>
      <c r="BC1993" s="111">
        <f>AW1993+AX1993</f>
      </c>
      <c r="BD1993" s="111">
        <f>H1993/(100-BE1993)*100</f>
      </c>
      <c r="BE1993" s="111" t="n">
        <v>0</v>
      </c>
      <c r="BF1993" s="111">
        <f>1993</f>
      </c>
      <c r="BH1993" s="111">
        <f>G1993*AO1993</f>
      </c>
      <c r="BI1993" s="111">
        <f>G1993*AP1993</f>
      </c>
      <c r="BJ1993" s="111">
        <f>G1993*H1993</f>
      </c>
      <c r="BK1993" s="111"/>
      <c r="BL1993" s="111" t="n">
        <v>15</v>
      </c>
      <c r="BW1993" s="111" t="n">
        <v>21</v>
      </c>
      <c r="BX1993" s="14" t="s">
        <v>3049</v>
      </c>
    </row>
    <row r="1994">
      <c r="A1994" s="154"/>
      <c r="B1994" s="155"/>
      <c r="C1994" s="155"/>
      <c r="D1994" s="156" t="s">
        <v>3050</v>
      </c>
      <c r="E1994" s="156" t="s">
        <v>3030</v>
      </c>
      <c r="F1994" s="155"/>
      <c r="G1994" s="157" t="n">
        <v>4.4</v>
      </c>
      <c r="H1994" s="158"/>
      <c r="I1994" s="155"/>
      <c r="J1994" s="155"/>
      <c r="K1994" s="146"/>
    </row>
    <row r="1995">
      <c r="A1995" s="154"/>
      <c r="B1995" s="155"/>
      <c r="C1995" s="155"/>
      <c r="D1995" s="156" t="s">
        <v>3051</v>
      </c>
      <c r="E1995" s="156" t="s">
        <v>3036</v>
      </c>
      <c r="F1995" s="155"/>
      <c r="G1995" s="157" t="n">
        <v>125.76</v>
      </c>
      <c r="H1995" s="158"/>
      <c r="I1995" s="155"/>
      <c r="J1995" s="155"/>
      <c r="K1995" s="146"/>
    </row>
    <row r="1996">
      <c r="A1996" s="9" t="s">
        <v>3052</v>
      </c>
      <c r="B1996" s="10" t="s">
        <v>87</v>
      </c>
      <c r="C1996" s="10" t="s">
        <v>3053</v>
      </c>
      <c r="D1996" s="14" t="s">
        <v>3054</v>
      </c>
      <c r="E1996" s="10"/>
      <c r="F1996" s="10" t="s">
        <v>145</v>
      </c>
      <c r="G1996" s="111" t="n">
        <v>349.96</v>
      </c>
      <c r="H1996" s="152" t="n">
        <v>0</v>
      </c>
      <c r="I1996" s="111">
        <f>G1996*H1996</f>
      </c>
      <c r="J1996" s="153" t="s">
        <v>134</v>
      </c>
      <c r="K1996" s="146"/>
      <c r="Z1996" s="111">
        <f>IF(AQ1996="5",BJ1996,0)</f>
      </c>
      <c r="AB1996" s="111">
        <f>IF(AQ1996="1",BH1996,0)</f>
      </c>
      <c r="AC1996" s="111">
        <f>IF(AQ1996="1",BI1996,0)</f>
      </c>
      <c r="AD1996" s="111">
        <f>IF(AQ1996="7",BH1996,0)</f>
      </c>
      <c r="AE1996" s="111">
        <f>IF(AQ1996="7",BI1996,0)</f>
      </c>
      <c r="AF1996" s="111">
        <f>IF(AQ1996="2",BH1996,0)</f>
      </c>
      <c r="AG1996" s="111">
        <f>IF(AQ1996="2",BI1996,0)</f>
      </c>
      <c r="AH1996" s="111">
        <f>IF(AQ1996="0",BJ1996,0)</f>
      </c>
      <c r="AI1996" s="132" t="s">
        <v>87</v>
      </c>
      <c r="AJ1996" s="111">
        <f>IF(AN1996=0,I1996,0)</f>
      </c>
      <c r="AK1996" s="111">
        <f>IF(AN1996=12,I1996,0)</f>
      </c>
      <c r="AL1996" s="111">
        <f>IF(AN1996=21,I1996,0)</f>
      </c>
      <c r="AN1996" s="111" t="n">
        <v>21</v>
      </c>
      <c r="AO1996" s="111">
        <f>H1996*0</f>
      </c>
      <c r="AP1996" s="111">
        <f>H1996*(1-0)</f>
      </c>
      <c r="AQ1996" s="153" t="s">
        <v>130</v>
      </c>
      <c r="AV1996" s="111">
        <f>AW1996+AX1996</f>
      </c>
      <c r="AW1996" s="111">
        <f>G1996*AO1996</f>
      </c>
      <c r="AX1996" s="111">
        <f>G1996*AP1996</f>
      </c>
      <c r="AY1996" s="153" t="s">
        <v>3043</v>
      </c>
      <c r="AZ1996" s="153" t="s">
        <v>2989</v>
      </c>
      <c r="BA1996" s="132" t="s">
        <v>2990</v>
      </c>
      <c r="BC1996" s="111">
        <f>AW1996+AX1996</f>
      </c>
      <c r="BD1996" s="111">
        <f>H1996/(100-BE1996)*100</f>
      </c>
      <c r="BE1996" s="111" t="n">
        <v>0</v>
      </c>
      <c r="BF1996" s="111">
        <f>1996</f>
      </c>
      <c r="BH1996" s="111">
        <f>G1996*AO1996</f>
      </c>
      <c r="BI1996" s="111">
        <f>G1996*AP1996</f>
      </c>
      <c r="BJ1996" s="111">
        <f>G1996*H1996</f>
      </c>
      <c r="BK1996" s="111"/>
      <c r="BL1996" s="111" t="n">
        <v>15</v>
      </c>
      <c r="BW1996" s="111" t="n">
        <v>21</v>
      </c>
      <c r="BX1996" s="14" t="s">
        <v>3054</v>
      </c>
    </row>
    <row r="1997">
      <c r="A1997" s="154"/>
      <c r="B1997" s="155"/>
      <c r="C1997" s="155"/>
      <c r="D1997" s="156" t="s">
        <v>3055</v>
      </c>
      <c r="E1997" s="156" t="s">
        <v>4</v>
      </c>
      <c r="F1997" s="155"/>
      <c r="G1997" s="157" t="n">
        <v>349.96</v>
      </c>
      <c r="H1997" s="158"/>
      <c r="I1997" s="155"/>
      <c r="J1997" s="155"/>
      <c r="K1997" s="146"/>
    </row>
    <row r="1998">
      <c r="A1998" s="9" t="s">
        <v>3056</v>
      </c>
      <c r="B1998" s="10" t="s">
        <v>87</v>
      </c>
      <c r="C1998" s="10" t="s">
        <v>3057</v>
      </c>
      <c r="D1998" s="14" t="s">
        <v>3058</v>
      </c>
      <c r="E1998" s="10"/>
      <c r="F1998" s="10" t="s">
        <v>145</v>
      </c>
      <c r="G1998" s="111" t="n">
        <v>130.16</v>
      </c>
      <c r="H1998" s="152" t="n">
        <v>0</v>
      </c>
      <c r="I1998" s="111">
        <f>G1998*H1998</f>
      </c>
      <c r="J1998" s="153" t="s">
        <v>134</v>
      </c>
      <c r="K1998" s="146"/>
      <c r="Z1998" s="111">
        <f>IF(AQ1998="5",BJ1998,0)</f>
      </c>
      <c r="AB1998" s="111">
        <f>IF(AQ1998="1",BH1998,0)</f>
      </c>
      <c r="AC1998" s="111">
        <f>IF(AQ1998="1",BI1998,0)</f>
      </c>
      <c r="AD1998" s="111">
        <f>IF(AQ1998="7",BH1998,0)</f>
      </c>
      <c r="AE1998" s="111">
        <f>IF(AQ1998="7",BI1998,0)</f>
      </c>
      <c r="AF1998" s="111">
        <f>IF(AQ1998="2",BH1998,0)</f>
      </c>
      <c r="AG1998" s="111">
        <f>IF(AQ1998="2",BI1998,0)</f>
      </c>
      <c r="AH1998" s="111">
        <f>IF(AQ1998="0",BJ1998,0)</f>
      </c>
      <c r="AI1998" s="132" t="s">
        <v>87</v>
      </c>
      <c r="AJ1998" s="111">
        <f>IF(AN1998=0,I1998,0)</f>
      </c>
      <c r="AK1998" s="111">
        <f>IF(AN1998=12,I1998,0)</f>
      </c>
      <c r="AL1998" s="111">
        <f>IF(AN1998=21,I1998,0)</f>
      </c>
      <c r="AN1998" s="111" t="n">
        <v>21</v>
      </c>
      <c r="AO1998" s="111">
        <f>H1998*0</f>
      </c>
      <c r="AP1998" s="111">
        <f>H1998*(1-0)</f>
      </c>
      <c r="AQ1998" s="153" t="s">
        <v>130</v>
      </c>
      <c r="AV1998" s="111">
        <f>AW1998+AX1998</f>
      </c>
      <c r="AW1998" s="111">
        <f>G1998*AO1998</f>
      </c>
      <c r="AX1998" s="111">
        <f>G1998*AP1998</f>
      </c>
      <c r="AY1998" s="153" t="s">
        <v>3043</v>
      </c>
      <c r="AZ1998" s="153" t="s">
        <v>2989</v>
      </c>
      <c r="BA1998" s="132" t="s">
        <v>2990</v>
      </c>
      <c r="BC1998" s="111">
        <f>AW1998+AX1998</f>
      </c>
      <c r="BD1998" s="111">
        <f>H1998/(100-BE1998)*100</f>
      </c>
      <c r="BE1998" s="111" t="n">
        <v>0</v>
      </c>
      <c r="BF1998" s="111">
        <f>1998</f>
      </c>
      <c r="BH1998" s="111">
        <f>G1998*AO1998</f>
      </c>
      <c r="BI1998" s="111">
        <f>G1998*AP1998</f>
      </c>
      <c r="BJ1998" s="111">
        <f>G1998*H1998</f>
      </c>
      <c r="BK1998" s="111"/>
      <c r="BL1998" s="111" t="n">
        <v>15</v>
      </c>
      <c r="BW1998" s="111" t="n">
        <v>21</v>
      </c>
      <c r="BX1998" s="14" t="s">
        <v>3058</v>
      </c>
    </row>
    <row r="1999">
      <c r="A1999" s="154"/>
      <c r="B1999" s="155"/>
      <c r="C1999" s="155"/>
      <c r="D1999" s="156" t="s">
        <v>3059</v>
      </c>
      <c r="E1999" s="156" t="s">
        <v>4</v>
      </c>
      <c r="F1999" s="155"/>
      <c r="G1999" s="157" t="n">
        <v>130.16</v>
      </c>
      <c r="H1999" s="158"/>
      <c r="I1999" s="155"/>
      <c r="J1999" s="155"/>
      <c r="K1999" s="146"/>
    </row>
    <row r="2000">
      <c r="A2000" s="9" t="s">
        <v>3060</v>
      </c>
      <c r="B2000" s="10" t="s">
        <v>87</v>
      </c>
      <c r="C2000" s="10" t="s">
        <v>3061</v>
      </c>
      <c r="D2000" s="14" t="s">
        <v>3062</v>
      </c>
      <c r="E2000" s="10"/>
      <c r="F2000" s="10" t="s">
        <v>145</v>
      </c>
      <c r="G2000" s="111" t="n">
        <v>14.848</v>
      </c>
      <c r="H2000" s="152" t="n">
        <v>0</v>
      </c>
      <c r="I2000" s="111">
        <f>G2000*H2000</f>
      </c>
      <c r="J2000" s="153" t="s">
        <v>134</v>
      </c>
      <c r="K2000" s="146"/>
      <c r="Z2000" s="111">
        <f>IF(AQ2000="5",BJ2000,0)</f>
      </c>
      <c r="AB2000" s="111">
        <f>IF(AQ2000="1",BH2000,0)</f>
      </c>
      <c r="AC2000" s="111">
        <f>IF(AQ2000="1",BI2000,0)</f>
      </c>
      <c r="AD2000" s="111">
        <f>IF(AQ2000="7",BH2000,0)</f>
      </c>
      <c r="AE2000" s="111">
        <f>IF(AQ2000="7",BI2000,0)</f>
      </c>
      <c r="AF2000" s="111">
        <f>IF(AQ2000="2",BH2000,0)</f>
      </c>
      <c r="AG2000" s="111">
        <f>IF(AQ2000="2",BI2000,0)</f>
      </c>
      <c r="AH2000" s="111">
        <f>IF(AQ2000="0",BJ2000,0)</f>
      </c>
      <c r="AI2000" s="132" t="s">
        <v>87</v>
      </c>
      <c r="AJ2000" s="111">
        <f>IF(AN2000=0,I2000,0)</f>
      </c>
      <c r="AK2000" s="111">
        <f>IF(AN2000=12,I2000,0)</f>
      </c>
      <c r="AL2000" s="111">
        <f>IF(AN2000=21,I2000,0)</f>
      </c>
      <c r="AN2000" s="111" t="n">
        <v>21</v>
      </c>
      <c r="AO2000" s="111">
        <f>H2000*0.170256018</f>
      </c>
      <c r="AP2000" s="111">
        <f>H2000*(1-0.170256018)</f>
      </c>
      <c r="AQ2000" s="153" t="s">
        <v>130</v>
      </c>
      <c r="AV2000" s="111">
        <f>AW2000+AX2000</f>
      </c>
      <c r="AW2000" s="111">
        <f>G2000*AO2000</f>
      </c>
      <c r="AX2000" s="111">
        <f>G2000*AP2000</f>
      </c>
      <c r="AY2000" s="153" t="s">
        <v>3043</v>
      </c>
      <c r="AZ2000" s="153" t="s">
        <v>2989</v>
      </c>
      <c r="BA2000" s="132" t="s">
        <v>2990</v>
      </c>
      <c r="BC2000" s="111">
        <f>AW2000+AX2000</f>
      </c>
      <c r="BD2000" s="111">
        <f>H2000/(100-BE2000)*100</f>
      </c>
      <c r="BE2000" s="111" t="n">
        <v>0</v>
      </c>
      <c r="BF2000" s="111">
        <f>2000</f>
      </c>
      <c r="BH2000" s="111">
        <f>G2000*AO2000</f>
      </c>
      <c r="BI2000" s="111">
        <f>G2000*AP2000</f>
      </c>
      <c r="BJ2000" s="111">
        <f>G2000*H2000</f>
      </c>
      <c r="BK2000" s="111"/>
      <c r="BL2000" s="111" t="n">
        <v>15</v>
      </c>
      <c r="BW2000" s="111" t="n">
        <v>21</v>
      </c>
      <c r="BX2000" s="14" t="s">
        <v>3062</v>
      </c>
    </row>
    <row r="2001">
      <c r="A2001" s="154"/>
      <c r="B2001" s="155"/>
      <c r="C2001" s="155"/>
      <c r="D2001" s="156" t="s">
        <v>3063</v>
      </c>
      <c r="E2001" s="156" t="s">
        <v>3015</v>
      </c>
      <c r="F2001" s="155"/>
      <c r="G2001" s="157" t="n">
        <v>14.848</v>
      </c>
      <c r="H2001" s="158"/>
      <c r="I2001" s="155"/>
      <c r="J2001" s="155"/>
      <c r="K2001" s="146"/>
    </row>
    <row r="2002">
      <c r="A2002" s="9" t="s">
        <v>3064</v>
      </c>
      <c r="B2002" s="10" t="s">
        <v>87</v>
      </c>
      <c r="C2002" s="10" t="s">
        <v>3065</v>
      </c>
      <c r="D2002" s="14" t="s">
        <v>3066</v>
      </c>
      <c r="E2002" s="10"/>
      <c r="F2002" s="10" t="s">
        <v>145</v>
      </c>
      <c r="G2002" s="111" t="n">
        <v>14.848</v>
      </c>
      <c r="H2002" s="152" t="n">
        <v>0</v>
      </c>
      <c r="I2002" s="111">
        <f>G2002*H2002</f>
      </c>
      <c r="J2002" s="153" t="s">
        <v>134</v>
      </c>
      <c r="K2002" s="146"/>
      <c r="Z2002" s="111">
        <f>IF(AQ2002="5",BJ2002,0)</f>
      </c>
      <c r="AB2002" s="111">
        <f>IF(AQ2002="1",BH2002,0)</f>
      </c>
      <c r="AC2002" s="111">
        <f>IF(AQ2002="1",BI2002,0)</f>
      </c>
      <c r="AD2002" s="111">
        <f>IF(AQ2002="7",BH2002,0)</f>
      </c>
      <c r="AE2002" s="111">
        <f>IF(AQ2002="7",BI2002,0)</f>
      </c>
      <c r="AF2002" s="111">
        <f>IF(AQ2002="2",BH2002,0)</f>
      </c>
      <c r="AG2002" s="111">
        <f>IF(AQ2002="2",BI2002,0)</f>
      </c>
      <c r="AH2002" s="111">
        <f>IF(AQ2002="0",BJ2002,0)</f>
      </c>
      <c r="AI2002" s="132" t="s">
        <v>87</v>
      </c>
      <c r="AJ2002" s="111">
        <f>IF(AN2002=0,I2002,0)</f>
      </c>
      <c r="AK2002" s="111">
        <f>IF(AN2002=12,I2002,0)</f>
      </c>
      <c r="AL2002" s="111">
        <f>IF(AN2002=21,I2002,0)</f>
      </c>
      <c r="AN2002" s="111" t="n">
        <v>21</v>
      </c>
      <c r="AO2002" s="111">
        <f>H2002*0</f>
      </c>
      <c r="AP2002" s="111">
        <f>H2002*(1-0)</f>
      </c>
      <c r="AQ2002" s="153" t="s">
        <v>130</v>
      </c>
      <c r="AV2002" s="111">
        <f>AW2002+AX2002</f>
      </c>
      <c r="AW2002" s="111">
        <f>G2002*AO2002</f>
      </c>
      <c r="AX2002" s="111">
        <f>G2002*AP2002</f>
      </c>
      <c r="AY2002" s="153" t="s">
        <v>3043</v>
      </c>
      <c r="AZ2002" s="153" t="s">
        <v>2989</v>
      </c>
      <c r="BA2002" s="132" t="s">
        <v>2990</v>
      </c>
      <c r="BC2002" s="111">
        <f>AW2002+AX2002</f>
      </c>
      <c r="BD2002" s="111">
        <f>H2002/(100-BE2002)*100</f>
      </c>
      <c r="BE2002" s="111" t="n">
        <v>0</v>
      </c>
      <c r="BF2002" s="111">
        <f>2002</f>
      </c>
      <c r="BH2002" s="111">
        <f>G2002*AO2002</f>
      </c>
      <c r="BI2002" s="111">
        <f>G2002*AP2002</f>
      </c>
      <c r="BJ2002" s="111">
        <f>G2002*H2002</f>
      </c>
      <c r="BK2002" s="111"/>
      <c r="BL2002" s="111" t="n">
        <v>15</v>
      </c>
      <c r="BW2002" s="111" t="n">
        <v>21</v>
      </c>
      <c r="BX2002" s="14" t="s">
        <v>3066</v>
      </c>
    </row>
    <row r="2003">
      <c r="A2003" s="154"/>
      <c r="B2003" s="155"/>
      <c r="C2003" s="155"/>
      <c r="D2003" s="156" t="s">
        <v>3067</v>
      </c>
      <c r="E2003" s="156" t="s">
        <v>4</v>
      </c>
      <c r="F2003" s="155"/>
      <c r="G2003" s="157" t="n">
        <v>14.848</v>
      </c>
      <c r="H2003" s="158"/>
      <c r="I2003" s="155"/>
      <c r="J2003" s="155"/>
      <c r="K2003" s="146"/>
    </row>
    <row r="2004">
      <c r="A2004" s="9" t="s">
        <v>3068</v>
      </c>
      <c r="B2004" s="10" t="s">
        <v>87</v>
      </c>
      <c r="C2004" s="10" t="s">
        <v>3069</v>
      </c>
      <c r="D2004" s="14" t="s">
        <v>3070</v>
      </c>
      <c r="E2004" s="10"/>
      <c r="F2004" s="10" t="s">
        <v>159</v>
      </c>
      <c r="G2004" s="111" t="n">
        <v>10.752</v>
      </c>
      <c r="H2004" s="152" t="n">
        <v>0</v>
      </c>
      <c r="I2004" s="111">
        <f>G2004*H2004</f>
      </c>
      <c r="J2004" s="153" t="s">
        <v>134</v>
      </c>
      <c r="K2004" s="146"/>
      <c r="Z2004" s="111">
        <f>IF(AQ2004="5",BJ2004,0)</f>
      </c>
      <c r="AB2004" s="111">
        <f>IF(AQ2004="1",BH2004,0)</f>
      </c>
      <c r="AC2004" s="111">
        <f>IF(AQ2004="1",BI2004,0)</f>
      </c>
      <c r="AD2004" s="111">
        <f>IF(AQ2004="7",BH2004,0)</f>
      </c>
      <c r="AE2004" s="111">
        <f>IF(AQ2004="7",BI2004,0)</f>
      </c>
      <c r="AF2004" s="111">
        <f>IF(AQ2004="2",BH2004,0)</f>
      </c>
      <c r="AG2004" s="111">
        <f>IF(AQ2004="2",BI2004,0)</f>
      </c>
      <c r="AH2004" s="111">
        <f>IF(AQ2004="0",BJ2004,0)</f>
      </c>
      <c r="AI2004" s="132" t="s">
        <v>87</v>
      </c>
      <c r="AJ2004" s="111">
        <f>IF(AN2004=0,I2004,0)</f>
      </c>
      <c r="AK2004" s="111">
        <f>IF(AN2004=12,I2004,0)</f>
      </c>
      <c r="AL2004" s="111">
        <f>IF(AN2004=21,I2004,0)</f>
      </c>
      <c r="AN2004" s="111" t="n">
        <v>21</v>
      </c>
      <c r="AO2004" s="111">
        <f>H2004*0.038926369</f>
      </c>
      <c r="AP2004" s="111">
        <f>H2004*(1-0.038926369)</f>
      </c>
      <c r="AQ2004" s="153" t="s">
        <v>130</v>
      </c>
      <c r="AV2004" s="111">
        <f>AW2004+AX2004</f>
      </c>
      <c r="AW2004" s="111">
        <f>G2004*AO2004</f>
      </c>
      <c r="AX2004" s="111">
        <f>G2004*AP2004</f>
      </c>
      <c r="AY2004" s="153" t="s">
        <v>3043</v>
      </c>
      <c r="AZ2004" s="153" t="s">
        <v>2989</v>
      </c>
      <c r="BA2004" s="132" t="s">
        <v>2990</v>
      </c>
      <c r="BC2004" s="111">
        <f>AW2004+AX2004</f>
      </c>
      <c r="BD2004" s="111">
        <f>H2004/(100-BE2004)*100</f>
      </c>
      <c r="BE2004" s="111" t="n">
        <v>0</v>
      </c>
      <c r="BF2004" s="111">
        <f>2004</f>
      </c>
      <c r="BH2004" s="111">
        <f>G2004*AO2004</f>
      </c>
      <c r="BI2004" s="111">
        <f>G2004*AP2004</f>
      </c>
      <c r="BJ2004" s="111">
        <f>G2004*H2004</f>
      </c>
      <c r="BK2004" s="111"/>
      <c r="BL2004" s="111" t="n">
        <v>15</v>
      </c>
      <c r="BW2004" s="111" t="n">
        <v>21</v>
      </c>
      <c r="BX2004" s="14" t="s">
        <v>3070</v>
      </c>
    </row>
    <row r="2005">
      <c r="A2005" s="154"/>
      <c r="B2005" s="155"/>
      <c r="C2005" s="155"/>
      <c r="D2005" s="156" t="s">
        <v>3071</v>
      </c>
      <c r="E2005" s="156" t="s">
        <v>4</v>
      </c>
      <c r="F2005" s="155"/>
      <c r="G2005" s="157" t="n">
        <v>10.752</v>
      </c>
      <c r="H2005" s="158"/>
      <c r="I2005" s="155"/>
      <c r="J2005" s="155"/>
      <c r="K2005" s="146"/>
    </row>
    <row r="2006">
      <c r="A2006" s="9" t="s">
        <v>3072</v>
      </c>
      <c r="B2006" s="10" t="s">
        <v>87</v>
      </c>
      <c r="C2006" s="10" t="s">
        <v>3073</v>
      </c>
      <c r="D2006" s="14" t="s">
        <v>3074</v>
      </c>
      <c r="E2006" s="10"/>
      <c r="F2006" s="10" t="s">
        <v>159</v>
      </c>
      <c r="G2006" s="111" t="n">
        <v>10.752</v>
      </c>
      <c r="H2006" s="152" t="n">
        <v>0</v>
      </c>
      <c r="I2006" s="111">
        <f>G2006*H2006</f>
      </c>
      <c r="J2006" s="153" t="s">
        <v>134</v>
      </c>
      <c r="K2006" s="146"/>
      <c r="Z2006" s="111">
        <f>IF(AQ2006="5",BJ2006,0)</f>
      </c>
      <c r="AB2006" s="111">
        <f>IF(AQ2006="1",BH2006,0)</f>
      </c>
      <c r="AC2006" s="111">
        <f>IF(AQ2006="1",BI2006,0)</f>
      </c>
      <c r="AD2006" s="111">
        <f>IF(AQ2006="7",BH2006,0)</f>
      </c>
      <c r="AE2006" s="111">
        <f>IF(AQ2006="7",BI2006,0)</f>
      </c>
      <c r="AF2006" s="111">
        <f>IF(AQ2006="2",BH2006,0)</f>
      </c>
      <c r="AG2006" s="111">
        <f>IF(AQ2006="2",BI2006,0)</f>
      </c>
      <c r="AH2006" s="111">
        <f>IF(AQ2006="0",BJ2006,0)</f>
      </c>
      <c r="AI2006" s="132" t="s">
        <v>87</v>
      </c>
      <c r="AJ2006" s="111">
        <f>IF(AN2006=0,I2006,0)</f>
      </c>
      <c r="AK2006" s="111">
        <f>IF(AN2006=12,I2006,0)</f>
      </c>
      <c r="AL2006" s="111">
        <f>IF(AN2006=21,I2006,0)</f>
      </c>
      <c r="AN2006" s="111" t="n">
        <v>21</v>
      </c>
      <c r="AO2006" s="111">
        <f>H2006*0</f>
      </c>
      <c r="AP2006" s="111">
        <f>H2006*(1-0)</f>
      </c>
      <c r="AQ2006" s="153" t="s">
        <v>130</v>
      </c>
      <c r="AV2006" s="111">
        <f>AW2006+AX2006</f>
      </c>
      <c r="AW2006" s="111">
        <f>G2006*AO2006</f>
      </c>
      <c r="AX2006" s="111">
        <f>G2006*AP2006</f>
      </c>
      <c r="AY2006" s="153" t="s">
        <v>3043</v>
      </c>
      <c r="AZ2006" s="153" t="s">
        <v>2989</v>
      </c>
      <c r="BA2006" s="132" t="s">
        <v>2990</v>
      </c>
      <c r="BC2006" s="111">
        <f>AW2006+AX2006</f>
      </c>
      <c r="BD2006" s="111">
        <f>H2006/(100-BE2006)*100</f>
      </c>
      <c r="BE2006" s="111" t="n">
        <v>0</v>
      </c>
      <c r="BF2006" s="111">
        <f>2006</f>
      </c>
      <c r="BH2006" s="111">
        <f>G2006*AO2006</f>
      </c>
      <c r="BI2006" s="111">
        <f>G2006*AP2006</f>
      </c>
      <c r="BJ2006" s="111">
        <f>G2006*H2006</f>
      </c>
      <c r="BK2006" s="111"/>
      <c r="BL2006" s="111" t="n">
        <v>15</v>
      </c>
      <c r="BW2006" s="111" t="n">
        <v>21</v>
      </c>
      <c r="BX2006" s="14" t="s">
        <v>3074</v>
      </c>
    </row>
    <row r="2007">
      <c r="A2007" s="154"/>
      <c r="B2007" s="155"/>
      <c r="C2007" s="155"/>
      <c r="D2007" s="156" t="s">
        <v>3071</v>
      </c>
      <c r="E2007" s="156" t="s">
        <v>4</v>
      </c>
      <c r="F2007" s="155"/>
      <c r="G2007" s="157" t="n">
        <v>10.752</v>
      </c>
      <c r="H2007" s="158"/>
      <c r="I2007" s="155"/>
      <c r="J2007" s="155"/>
      <c r="K2007" s="146"/>
    </row>
    <row r="2008">
      <c r="A2008" s="9" t="s">
        <v>3075</v>
      </c>
      <c r="B2008" s="10" t="s">
        <v>87</v>
      </c>
      <c r="C2008" s="10" t="s">
        <v>3076</v>
      </c>
      <c r="D2008" s="14" t="s">
        <v>3077</v>
      </c>
      <c r="E2008" s="10"/>
      <c r="F2008" s="10" t="s">
        <v>145</v>
      </c>
      <c r="G2008" s="111" t="n">
        <v>14.848</v>
      </c>
      <c r="H2008" s="152" t="n">
        <v>0</v>
      </c>
      <c r="I2008" s="111">
        <f>G2008*H2008</f>
      </c>
      <c r="J2008" s="153" t="s">
        <v>134</v>
      </c>
      <c r="K2008" s="146"/>
      <c r="Z2008" s="111">
        <f>IF(AQ2008="5",BJ2008,0)</f>
      </c>
      <c r="AB2008" s="111">
        <f>IF(AQ2008="1",BH2008,0)</f>
      </c>
      <c r="AC2008" s="111">
        <f>IF(AQ2008="1",BI2008,0)</f>
      </c>
      <c r="AD2008" s="111">
        <f>IF(AQ2008="7",BH2008,0)</f>
      </c>
      <c r="AE2008" s="111">
        <f>IF(AQ2008="7",BI2008,0)</f>
      </c>
      <c r="AF2008" s="111">
        <f>IF(AQ2008="2",BH2008,0)</f>
      </c>
      <c r="AG2008" s="111">
        <f>IF(AQ2008="2",BI2008,0)</f>
      </c>
      <c r="AH2008" s="111">
        <f>IF(AQ2008="0",BJ2008,0)</f>
      </c>
      <c r="AI2008" s="132" t="s">
        <v>87</v>
      </c>
      <c r="AJ2008" s="111">
        <f>IF(AN2008=0,I2008,0)</f>
      </c>
      <c r="AK2008" s="111">
        <f>IF(AN2008=12,I2008,0)</f>
      </c>
      <c r="AL2008" s="111">
        <f>IF(AN2008=21,I2008,0)</f>
      </c>
      <c r="AN2008" s="111" t="n">
        <v>21</v>
      </c>
      <c r="AO2008" s="111">
        <f>H2008*0.030458691</f>
      </c>
      <c r="AP2008" s="111">
        <f>H2008*(1-0.030458691)</f>
      </c>
      <c r="AQ2008" s="153" t="s">
        <v>130</v>
      </c>
      <c r="AV2008" s="111">
        <f>AW2008+AX2008</f>
      </c>
      <c r="AW2008" s="111">
        <f>G2008*AO2008</f>
      </c>
      <c r="AX2008" s="111">
        <f>G2008*AP2008</f>
      </c>
      <c r="AY2008" s="153" t="s">
        <v>3043</v>
      </c>
      <c r="AZ2008" s="153" t="s">
        <v>2989</v>
      </c>
      <c r="BA2008" s="132" t="s">
        <v>2990</v>
      </c>
      <c r="BC2008" s="111">
        <f>AW2008+AX2008</f>
      </c>
      <c r="BD2008" s="111">
        <f>H2008/(100-BE2008)*100</f>
      </c>
      <c r="BE2008" s="111" t="n">
        <v>0</v>
      </c>
      <c r="BF2008" s="111">
        <f>2008</f>
      </c>
      <c r="BH2008" s="111">
        <f>G2008*AO2008</f>
      </c>
      <c r="BI2008" s="111">
        <f>G2008*AP2008</f>
      </c>
      <c r="BJ2008" s="111">
        <f>G2008*H2008</f>
      </c>
      <c r="BK2008" s="111"/>
      <c r="BL2008" s="111" t="n">
        <v>15</v>
      </c>
      <c r="BW2008" s="111" t="n">
        <v>21</v>
      </c>
      <c r="BX2008" s="14" t="s">
        <v>3077</v>
      </c>
    </row>
    <row r="2009">
      <c r="A2009" s="154"/>
      <c r="B2009" s="155"/>
      <c r="C2009" s="155"/>
      <c r="D2009" s="156" t="s">
        <v>3067</v>
      </c>
      <c r="E2009" s="156" t="s">
        <v>4</v>
      </c>
      <c r="F2009" s="155"/>
      <c r="G2009" s="157" t="n">
        <v>14.848</v>
      </c>
      <c r="H2009" s="158"/>
      <c r="I2009" s="155"/>
      <c r="J2009" s="155"/>
      <c r="K2009" s="146"/>
    </row>
    <row r="2010">
      <c r="A2010" s="9" t="s">
        <v>3078</v>
      </c>
      <c r="B2010" s="10" t="s">
        <v>87</v>
      </c>
      <c r="C2010" s="10" t="s">
        <v>3079</v>
      </c>
      <c r="D2010" s="14" t="s">
        <v>3080</v>
      </c>
      <c r="E2010" s="10"/>
      <c r="F2010" s="10" t="s">
        <v>145</v>
      </c>
      <c r="G2010" s="111" t="n">
        <v>14.848</v>
      </c>
      <c r="H2010" s="152" t="n">
        <v>0</v>
      </c>
      <c r="I2010" s="111">
        <f>G2010*H2010</f>
      </c>
      <c r="J2010" s="153" t="s">
        <v>134</v>
      </c>
      <c r="K2010" s="146"/>
      <c r="Z2010" s="111">
        <f>IF(AQ2010="5",BJ2010,0)</f>
      </c>
      <c r="AB2010" s="111">
        <f>IF(AQ2010="1",BH2010,0)</f>
      </c>
      <c r="AC2010" s="111">
        <f>IF(AQ2010="1",BI2010,0)</f>
      </c>
      <c r="AD2010" s="111">
        <f>IF(AQ2010="7",BH2010,0)</f>
      </c>
      <c r="AE2010" s="111">
        <f>IF(AQ2010="7",BI2010,0)</f>
      </c>
      <c r="AF2010" s="111">
        <f>IF(AQ2010="2",BH2010,0)</f>
      </c>
      <c r="AG2010" s="111">
        <f>IF(AQ2010="2",BI2010,0)</f>
      </c>
      <c r="AH2010" s="111">
        <f>IF(AQ2010="0",BJ2010,0)</f>
      </c>
      <c r="AI2010" s="132" t="s">
        <v>87</v>
      </c>
      <c r="AJ2010" s="111">
        <f>IF(AN2010=0,I2010,0)</f>
      </c>
      <c r="AK2010" s="111">
        <f>IF(AN2010=12,I2010,0)</f>
      </c>
      <c r="AL2010" s="111">
        <f>IF(AN2010=21,I2010,0)</f>
      </c>
      <c r="AN2010" s="111" t="n">
        <v>21</v>
      </c>
      <c r="AO2010" s="111">
        <f>H2010*0</f>
      </c>
      <c r="AP2010" s="111">
        <f>H2010*(1-0)</f>
      </c>
      <c r="AQ2010" s="153" t="s">
        <v>130</v>
      </c>
      <c r="AV2010" s="111">
        <f>AW2010+AX2010</f>
      </c>
      <c r="AW2010" s="111">
        <f>G2010*AO2010</f>
      </c>
      <c r="AX2010" s="111">
        <f>G2010*AP2010</f>
      </c>
      <c r="AY2010" s="153" t="s">
        <v>3043</v>
      </c>
      <c r="AZ2010" s="153" t="s">
        <v>2989</v>
      </c>
      <c r="BA2010" s="132" t="s">
        <v>2990</v>
      </c>
      <c r="BC2010" s="111">
        <f>AW2010+AX2010</f>
      </c>
      <c r="BD2010" s="111">
        <f>H2010/(100-BE2010)*100</f>
      </c>
      <c r="BE2010" s="111" t="n">
        <v>0</v>
      </c>
      <c r="BF2010" s="111">
        <f>2010</f>
      </c>
      <c r="BH2010" s="111">
        <f>G2010*AO2010</f>
      </c>
      <c r="BI2010" s="111">
        <f>G2010*AP2010</f>
      </c>
      <c r="BJ2010" s="111">
        <f>G2010*H2010</f>
      </c>
      <c r="BK2010" s="111"/>
      <c r="BL2010" s="111" t="n">
        <v>15</v>
      </c>
      <c r="BW2010" s="111" t="n">
        <v>21</v>
      </c>
      <c r="BX2010" s="14" t="s">
        <v>3080</v>
      </c>
    </row>
    <row r="2011">
      <c r="A2011" s="154"/>
      <c r="B2011" s="155"/>
      <c r="C2011" s="155"/>
      <c r="D2011" s="156" t="s">
        <v>3067</v>
      </c>
      <c r="E2011" s="156" t="s">
        <v>4</v>
      </c>
      <c r="F2011" s="155"/>
      <c r="G2011" s="157" t="n">
        <v>14.848</v>
      </c>
      <c r="H2011" s="158"/>
      <c r="I2011" s="155"/>
      <c r="J2011" s="155"/>
      <c r="K2011" s="146"/>
    </row>
    <row r="2012">
      <c r="A2012" s="9" t="s">
        <v>3081</v>
      </c>
      <c r="B2012" s="10" t="s">
        <v>87</v>
      </c>
      <c r="C2012" s="10" t="s">
        <v>3082</v>
      </c>
      <c r="D2012" s="14" t="s">
        <v>3083</v>
      </c>
      <c r="E2012" s="10"/>
      <c r="F2012" s="10" t="s">
        <v>145</v>
      </c>
      <c r="G2012" s="111" t="n">
        <v>221.81</v>
      </c>
      <c r="H2012" s="152" t="n">
        <v>0</v>
      </c>
      <c r="I2012" s="111">
        <f>G2012*H2012</f>
      </c>
      <c r="J2012" s="153" t="s">
        <v>134</v>
      </c>
      <c r="K2012" s="146"/>
      <c r="Z2012" s="111">
        <f>IF(AQ2012="5",BJ2012,0)</f>
      </c>
      <c r="AB2012" s="111">
        <f>IF(AQ2012="1",BH2012,0)</f>
      </c>
      <c r="AC2012" s="111">
        <f>IF(AQ2012="1",BI2012,0)</f>
      </c>
      <c r="AD2012" s="111">
        <f>IF(AQ2012="7",BH2012,0)</f>
      </c>
      <c r="AE2012" s="111">
        <f>IF(AQ2012="7",BI2012,0)</f>
      </c>
      <c r="AF2012" s="111">
        <f>IF(AQ2012="2",BH2012,0)</f>
      </c>
      <c r="AG2012" s="111">
        <f>IF(AQ2012="2",BI2012,0)</f>
      </c>
      <c r="AH2012" s="111">
        <f>IF(AQ2012="0",BJ2012,0)</f>
      </c>
      <c r="AI2012" s="132" t="s">
        <v>87</v>
      </c>
      <c r="AJ2012" s="111">
        <f>IF(AN2012=0,I2012,0)</f>
      </c>
      <c r="AK2012" s="111">
        <f>IF(AN2012=12,I2012,0)</f>
      </c>
      <c r="AL2012" s="111">
        <f>IF(AN2012=21,I2012,0)</f>
      </c>
      <c r="AN2012" s="111" t="n">
        <v>21</v>
      </c>
      <c r="AO2012" s="111">
        <f>H2012*0.176760563</f>
      </c>
      <c r="AP2012" s="111">
        <f>H2012*(1-0.176760563)</f>
      </c>
      <c r="AQ2012" s="153" t="s">
        <v>130</v>
      </c>
      <c r="AV2012" s="111">
        <f>AW2012+AX2012</f>
      </c>
      <c r="AW2012" s="111">
        <f>G2012*AO2012</f>
      </c>
      <c r="AX2012" s="111">
        <f>G2012*AP2012</f>
      </c>
      <c r="AY2012" s="153" t="s">
        <v>3043</v>
      </c>
      <c r="AZ2012" s="153" t="s">
        <v>2989</v>
      </c>
      <c r="BA2012" s="132" t="s">
        <v>2990</v>
      </c>
      <c r="BC2012" s="111">
        <f>AW2012+AX2012</f>
      </c>
      <c r="BD2012" s="111">
        <f>H2012/(100-BE2012)*100</f>
      </c>
      <c r="BE2012" s="111" t="n">
        <v>0</v>
      </c>
      <c r="BF2012" s="111">
        <f>2012</f>
      </c>
      <c r="BH2012" s="111">
        <f>G2012*AO2012</f>
      </c>
      <c r="BI2012" s="111">
        <f>G2012*AP2012</f>
      </c>
      <c r="BJ2012" s="111">
        <f>G2012*H2012</f>
      </c>
      <c r="BK2012" s="111"/>
      <c r="BL2012" s="111" t="n">
        <v>15</v>
      </c>
      <c r="BW2012" s="111" t="n">
        <v>21</v>
      </c>
      <c r="BX2012" s="14" t="s">
        <v>3083</v>
      </c>
    </row>
    <row r="2013">
      <c r="A2013" s="154"/>
      <c r="B2013" s="155"/>
      <c r="C2013" s="155"/>
      <c r="D2013" s="156" t="s">
        <v>3084</v>
      </c>
      <c r="E2013" s="156" t="s">
        <v>3085</v>
      </c>
      <c r="F2013" s="155"/>
      <c r="G2013" s="157" t="n">
        <v>221.81</v>
      </c>
      <c r="H2013" s="158"/>
      <c r="I2013" s="155"/>
      <c r="J2013" s="155"/>
      <c r="K2013" s="146"/>
    </row>
    <row r="2014">
      <c r="A2014" s="9" t="s">
        <v>3086</v>
      </c>
      <c r="B2014" s="10" t="s">
        <v>87</v>
      </c>
      <c r="C2014" s="10" t="s">
        <v>3087</v>
      </c>
      <c r="D2014" s="14" t="s">
        <v>3088</v>
      </c>
      <c r="E2014" s="10"/>
      <c r="F2014" s="10" t="s">
        <v>145</v>
      </c>
      <c r="G2014" s="111" t="n">
        <v>221.81</v>
      </c>
      <c r="H2014" s="152" t="n">
        <v>0</v>
      </c>
      <c r="I2014" s="111">
        <f>G2014*H2014</f>
      </c>
      <c r="J2014" s="153" t="s">
        <v>134</v>
      </c>
      <c r="K2014" s="146"/>
      <c r="Z2014" s="111">
        <f>IF(AQ2014="5",BJ2014,0)</f>
      </c>
      <c r="AB2014" s="111">
        <f>IF(AQ2014="1",BH2014,0)</f>
      </c>
      <c r="AC2014" s="111">
        <f>IF(AQ2014="1",BI2014,0)</f>
      </c>
      <c r="AD2014" s="111">
        <f>IF(AQ2014="7",BH2014,0)</f>
      </c>
      <c r="AE2014" s="111">
        <f>IF(AQ2014="7",BI2014,0)</f>
      </c>
      <c r="AF2014" s="111">
        <f>IF(AQ2014="2",BH2014,0)</f>
      </c>
      <c r="AG2014" s="111">
        <f>IF(AQ2014="2",BI2014,0)</f>
      </c>
      <c r="AH2014" s="111">
        <f>IF(AQ2014="0",BJ2014,0)</f>
      </c>
      <c r="AI2014" s="132" t="s">
        <v>87</v>
      </c>
      <c r="AJ2014" s="111">
        <f>IF(AN2014=0,I2014,0)</f>
      </c>
      <c r="AK2014" s="111">
        <f>IF(AN2014=12,I2014,0)</f>
      </c>
      <c r="AL2014" s="111">
        <f>IF(AN2014=21,I2014,0)</f>
      </c>
      <c r="AN2014" s="111" t="n">
        <v>21</v>
      </c>
      <c r="AO2014" s="111">
        <f>H2014*0</f>
      </c>
      <c r="AP2014" s="111">
        <f>H2014*(1-0)</f>
      </c>
      <c r="AQ2014" s="153" t="s">
        <v>130</v>
      </c>
      <c r="AV2014" s="111">
        <f>AW2014+AX2014</f>
      </c>
      <c r="AW2014" s="111">
        <f>G2014*AO2014</f>
      </c>
      <c r="AX2014" s="111">
        <f>G2014*AP2014</f>
      </c>
      <c r="AY2014" s="153" t="s">
        <v>3043</v>
      </c>
      <c r="AZ2014" s="153" t="s">
        <v>2989</v>
      </c>
      <c r="BA2014" s="132" t="s">
        <v>2990</v>
      </c>
      <c r="BC2014" s="111">
        <f>AW2014+AX2014</f>
      </c>
      <c r="BD2014" s="111">
        <f>H2014/(100-BE2014)*100</f>
      </c>
      <c r="BE2014" s="111" t="n">
        <v>0</v>
      </c>
      <c r="BF2014" s="111">
        <f>2014</f>
      </c>
      <c r="BH2014" s="111">
        <f>G2014*AO2014</f>
      </c>
      <c r="BI2014" s="111">
        <f>G2014*AP2014</f>
      </c>
      <c r="BJ2014" s="111">
        <f>G2014*H2014</f>
      </c>
      <c r="BK2014" s="111"/>
      <c r="BL2014" s="111" t="n">
        <v>15</v>
      </c>
      <c r="BW2014" s="111" t="n">
        <v>21</v>
      </c>
      <c r="BX2014" s="14" t="s">
        <v>3088</v>
      </c>
    </row>
    <row r="2015">
      <c r="A2015" s="154"/>
      <c r="B2015" s="155"/>
      <c r="C2015" s="155"/>
      <c r="D2015" s="156" t="s">
        <v>3089</v>
      </c>
      <c r="E2015" s="156" t="s">
        <v>4</v>
      </c>
      <c r="F2015" s="155"/>
      <c r="G2015" s="157" t="n">
        <v>221.81</v>
      </c>
      <c r="H2015" s="158"/>
      <c r="I2015" s="155"/>
      <c r="J2015" s="155"/>
      <c r="K2015" s="146"/>
    </row>
    <row r="2016">
      <c r="A2016" s="9" t="s">
        <v>3090</v>
      </c>
      <c r="B2016" s="10" t="s">
        <v>87</v>
      </c>
      <c r="C2016" s="10" t="s">
        <v>3091</v>
      </c>
      <c r="D2016" s="14" t="s">
        <v>3092</v>
      </c>
      <c r="E2016" s="10"/>
      <c r="F2016" s="10" t="s">
        <v>159</v>
      </c>
      <c r="G2016" s="111" t="n">
        <v>559.01</v>
      </c>
      <c r="H2016" s="152" t="n">
        <v>0</v>
      </c>
      <c r="I2016" s="111">
        <f>G2016*H2016</f>
      </c>
      <c r="J2016" s="153" t="s">
        <v>134</v>
      </c>
      <c r="K2016" s="146"/>
      <c r="Z2016" s="111">
        <f>IF(AQ2016="5",BJ2016,0)</f>
      </c>
      <c r="AB2016" s="111">
        <f>IF(AQ2016="1",BH2016,0)</f>
      </c>
      <c r="AC2016" s="111">
        <f>IF(AQ2016="1",BI2016,0)</f>
      </c>
      <c r="AD2016" s="111">
        <f>IF(AQ2016="7",BH2016,0)</f>
      </c>
      <c r="AE2016" s="111">
        <f>IF(AQ2016="7",BI2016,0)</f>
      </c>
      <c r="AF2016" s="111">
        <f>IF(AQ2016="2",BH2016,0)</f>
      </c>
      <c r="AG2016" s="111">
        <f>IF(AQ2016="2",BI2016,0)</f>
      </c>
      <c r="AH2016" s="111">
        <f>IF(AQ2016="0",BJ2016,0)</f>
      </c>
      <c r="AI2016" s="132" t="s">
        <v>87</v>
      </c>
      <c r="AJ2016" s="111">
        <f>IF(AN2016=0,I2016,0)</f>
      </c>
      <c r="AK2016" s="111">
        <f>IF(AN2016=12,I2016,0)</f>
      </c>
      <c r="AL2016" s="111">
        <f>IF(AN2016=21,I2016,0)</f>
      </c>
      <c r="AN2016" s="111" t="n">
        <v>21</v>
      </c>
      <c r="AO2016" s="111">
        <f>H2016*0.071714253</f>
      </c>
      <c r="AP2016" s="111">
        <f>H2016*(1-0.071714253)</f>
      </c>
      <c r="AQ2016" s="153" t="s">
        <v>130</v>
      </c>
      <c r="AV2016" s="111">
        <f>AW2016+AX2016</f>
      </c>
      <c r="AW2016" s="111">
        <f>G2016*AO2016</f>
      </c>
      <c r="AX2016" s="111">
        <f>G2016*AP2016</f>
      </c>
      <c r="AY2016" s="153" t="s">
        <v>3043</v>
      </c>
      <c r="AZ2016" s="153" t="s">
        <v>2989</v>
      </c>
      <c r="BA2016" s="132" t="s">
        <v>2990</v>
      </c>
      <c r="BC2016" s="111">
        <f>AW2016+AX2016</f>
      </c>
      <c r="BD2016" s="111">
        <f>H2016/(100-BE2016)*100</f>
      </c>
      <c r="BE2016" s="111" t="n">
        <v>0</v>
      </c>
      <c r="BF2016" s="111">
        <f>2016</f>
      </c>
      <c r="BH2016" s="111">
        <f>G2016*AO2016</f>
      </c>
      <c r="BI2016" s="111">
        <f>G2016*AP2016</f>
      </c>
      <c r="BJ2016" s="111">
        <f>G2016*H2016</f>
      </c>
      <c r="BK2016" s="111"/>
      <c r="BL2016" s="111" t="n">
        <v>15</v>
      </c>
      <c r="BW2016" s="111" t="n">
        <v>21</v>
      </c>
      <c r="BX2016" s="14" t="s">
        <v>3092</v>
      </c>
    </row>
    <row r="2017">
      <c r="A2017" s="154"/>
      <c r="B2017" s="155"/>
      <c r="C2017" s="155"/>
      <c r="D2017" s="156" t="s">
        <v>3093</v>
      </c>
      <c r="E2017" s="156" t="s">
        <v>4</v>
      </c>
      <c r="F2017" s="155"/>
      <c r="G2017" s="157" t="n">
        <v>559.01</v>
      </c>
      <c r="H2017" s="158"/>
      <c r="I2017" s="155"/>
      <c r="J2017" s="155"/>
      <c r="K2017" s="146"/>
    </row>
    <row r="2018">
      <c r="A2018" s="9" t="s">
        <v>3094</v>
      </c>
      <c r="B2018" s="10" t="s">
        <v>87</v>
      </c>
      <c r="C2018" s="10" t="s">
        <v>3095</v>
      </c>
      <c r="D2018" s="14" t="s">
        <v>3096</v>
      </c>
      <c r="E2018" s="10"/>
      <c r="F2018" s="10" t="s">
        <v>159</v>
      </c>
      <c r="G2018" s="111" t="n">
        <v>559.01</v>
      </c>
      <c r="H2018" s="152" t="n">
        <v>0</v>
      </c>
      <c r="I2018" s="111">
        <f>G2018*H2018</f>
      </c>
      <c r="J2018" s="153" t="s">
        <v>134</v>
      </c>
      <c r="K2018" s="146"/>
      <c r="Z2018" s="111">
        <f>IF(AQ2018="5",BJ2018,0)</f>
      </c>
      <c r="AB2018" s="111">
        <f>IF(AQ2018="1",BH2018,0)</f>
      </c>
      <c r="AC2018" s="111">
        <f>IF(AQ2018="1",BI2018,0)</f>
      </c>
      <c r="AD2018" s="111">
        <f>IF(AQ2018="7",BH2018,0)</f>
      </c>
      <c r="AE2018" s="111">
        <f>IF(AQ2018="7",BI2018,0)</f>
      </c>
      <c r="AF2018" s="111">
        <f>IF(AQ2018="2",BH2018,0)</f>
      </c>
      <c r="AG2018" s="111">
        <f>IF(AQ2018="2",BI2018,0)</f>
      </c>
      <c r="AH2018" s="111">
        <f>IF(AQ2018="0",BJ2018,0)</f>
      </c>
      <c r="AI2018" s="132" t="s">
        <v>87</v>
      </c>
      <c r="AJ2018" s="111">
        <f>IF(AN2018=0,I2018,0)</f>
      </c>
      <c r="AK2018" s="111">
        <f>IF(AN2018=12,I2018,0)</f>
      </c>
      <c r="AL2018" s="111">
        <f>IF(AN2018=21,I2018,0)</f>
      </c>
      <c r="AN2018" s="111" t="n">
        <v>21</v>
      </c>
      <c r="AO2018" s="111">
        <f>H2018*0</f>
      </c>
      <c r="AP2018" s="111">
        <f>H2018*(1-0)</f>
      </c>
      <c r="AQ2018" s="153" t="s">
        <v>130</v>
      </c>
      <c r="AV2018" s="111">
        <f>AW2018+AX2018</f>
      </c>
      <c r="AW2018" s="111">
        <f>G2018*AO2018</f>
      </c>
      <c r="AX2018" s="111">
        <f>G2018*AP2018</f>
      </c>
      <c r="AY2018" s="153" t="s">
        <v>3043</v>
      </c>
      <c r="AZ2018" s="153" t="s">
        <v>2989</v>
      </c>
      <c r="BA2018" s="132" t="s">
        <v>2990</v>
      </c>
      <c r="BC2018" s="111">
        <f>AW2018+AX2018</f>
      </c>
      <c r="BD2018" s="111">
        <f>H2018/(100-BE2018)*100</f>
      </c>
      <c r="BE2018" s="111" t="n">
        <v>0</v>
      </c>
      <c r="BF2018" s="111">
        <f>2018</f>
      </c>
      <c r="BH2018" s="111">
        <f>G2018*AO2018</f>
      </c>
      <c r="BI2018" s="111">
        <f>G2018*AP2018</f>
      </c>
      <c r="BJ2018" s="111">
        <f>G2018*H2018</f>
      </c>
      <c r="BK2018" s="111"/>
      <c r="BL2018" s="111" t="n">
        <v>15</v>
      </c>
      <c r="BW2018" s="111" t="n">
        <v>21</v>
      </c>
      <c r="BX2018" s="14" t="s">
        <v>3096</v>
      </c>
    </row>
    <row r="2019">
      <c r="A2019" s="154"/>
      <c r="B2019" s="155"/>
      <c r="C2019" s="155"/>
      <c r="D2019" s="156" t="s">
        <v>3093</v>
      </c>
      <c r="E2019" s="156" t="s">
        <v>4</v>
      </c>
      <c r="F2019" s="155"/>
      <c r="G2019" s="157" t="n">
        <v>559.01</v>
      </c>
      <c r="H2019" s="158"/>
      <c r="I2019" s="155"/>
      <c r="J2019" s="155"/>
      <c r="K2019" s="146"/>
    </row>
    <row r="2020">
      <c r="A2020" s="9" t="s">
        <v>3097</v>
      </c>
      <c r="B2020" s="10" t="s">
        <v>87</v>
      </c>
      <c r="C2020" s="10" t="s">
        <v>3098</v>
      </c>
      <c r="D2020" s="14" t="s">
        <v>3099</v>
      </c>
      <c r="E2020" s="10"/>
      <c r="F2020" s="10" t="s">
        <v>145</v>
      </c>
      <c r="G2020" s="111" t="n">
        <v>221.81</v>
      </c>
      <c r="H2020" s="152" t="n">
        <v>0</v>
      </c>
      <c r="I2020" s="111">
        <f>G2020*H2020</f>
      </c>
      <c r="J2020" s="153" t="s">
        <v>134</v>
      </c>
      <c r="K2020" s="146"/>
      <c r="Z2020" s="111">
        <f>IF(AQ2020="5",BJ2020,0)</f>
      </c>
      <c r="AB2020" s="111">
        <f>IF(AQ2020="1",BH2020,0)</f>
      </c>
      <c r="AC2020" s="111">
        <f>IF(AQ2020="1",BI2020,0)</f>
      </c>
      <c r="AD2020" s="111">
        <f>IF(AQ2020="7",BH2020,0)</f>
      </c>
      <c r="AE2020" s="111">
        <f>IF(AQ2020="7",BI2020,0)</f>
      </c>
      <c r="AF2020" s="111">
        <f>IF(AQ2020="2",BH2020,0)</f>
      </c>
      <c r="AG2020" s="111">
        <f>IF(AQ2020="2",BI2020,0)</f>
      </c>
      <c r="AH2020" s="111">
        <f>IF(AQ2020="0",BJ2020,0)</f>
      </c>
      <c r="AI2020" s="132" t="s">
        <v>87</v>
      </c>
      <c r="AJ2020" s="111">
        <f>IF(AN2020=0,I2020,0)</f>
      </c>
      <c r="AK2020" s="111">
        <f>IF(AN2020=12,I2020,0)</f>
      </c>
      <c r="AL2020" s="111">
        <f>IF(AN2020=21,I2020,0)</f>
      </c>
      <c r="AN2020" s="111" t="n">
        <v>21</v>
      </c>
      <c r="AO2020" s="111">
        <f>H2020*0.043250825</f>
      </c>
      <c r="AP2020" s="111">
        <f>H2020*(1-0.043250825)</f>
      </c>
      <c r="AQ2020" s="153" t="s">
        <v>130</v>
      </c>
      <c r="AV2020" s="111">
        <f>AW2020+AX2020</f>
      </c>
      <c r="AW2020" s="111">
        <f>G2020*AO2020</f>
      </c>
      <c r="AX2020" s="111">
        <f>G2020*AP2020</f>
      </c>
      <c r="AY2020" s="153" t="s">
        <v>3043</v>
      </c>
      <c r="AZ2020" s="153" t="s">
        <v>2989</v>
      </c>
      <c r="BA2020" s="132" t="s">
        <v>2990</v>
      </c>
      <c r="BC2020" s="111">
        <f>AW2020+AX2020</f>
      </c>
      <c r="BD2020" s="111">
        <f>H2020/(100-BE2020)*100</f>
      </c>
      <c r="BE2020" s="111" t="n">
        <v>0</v>
      </c>
      <c r="BF2020" s="111">
        <f>2020</f>
      </c>
      <c r="BH2020" s="111">
        <f>G2020*AO2020</f>
      </c>
      <c r="BI2020" s="111">
        <f>G2020*AP2020</f>
      </c>
      <c r="BJ2020" s="111">
        <f>G2020*H2020</f>
      </c>
      <c r="BK2020" s="111"/>
      <c r="BL2020" s="111" t="n">
        <v>15</v>
      </c>
      <c r="BW2020" s="111" t="n">
        <v>21</v>
      </c>
      <c r="BX2020" s="14" t="s">
        <v>3099</v>
      </c>
    </row>
    <row r="2021">
      <c r="A2021" s="154"/>
      <c r="B2021" s="155"/>
      <c r="C2021" s="155"/>
      <c r="D2021" s="156" t="s">
        <v>3089</v>
      </c>
      <c r="E2021" s="156" t="s">
        <v>4</v>
      </c>
      <c r="F2021" s="155"/>
      <c r="G2021" s="157" t="n">
        <v>221.81</v>
      </c>
      <c r="H2021" s="158"/>
      <c r="I2021" s="155"/>
      <c r="J2021" s="155"/>
      <c r="K2021" s="146"/>
    </row>
    <row r="2022">
      <c r="A2022" s="9" t="s">
        <v>3100</v>
      </c>
      <c r="B2022" s="10" t="s">
        <v>87</v>
      </c>
      <c r="C2022" s="10" t="s">
        <v>3101</v>
      </c>
      <c r="D2022" s="14" t="s">
        <v>3102</v>
      </c>
      <c r="E2022" s="10"/>
      <c r="F2022" s="10" t="s">
        <v>145</v>
      </c>
      <c r="G2022" s="111" t="n">
        <v>221.81</v>
      </c>
      <c r="H2022" s="152" t="n">
        <v>0</v>
      </c>
      <c r="I2022" s="111">
        <f>G2022*H2022</f>
      </c>
      <c r="J2022" s="153" t="s">
        <v>134</v>
      </c>
      <c r="K2022" s="146"/>
      <c r="Z2022" s="111">
        <f>IF(AQ2022="5",BJ2022,0)</f>
      </c>
      <c r="AB2022" s="111">
        <f>IF(AQ2022="1",BH2022,0)</f>
      </c>
      <c r="AC2022" s="111">
        <f>IF(AQ2022="1",BI2022,0)</f>
      </c>
      <c r="AD2022" s="111">
        <f>IF(AQ2022="7",BH2022,0)</f>
      </c>
      <c r="AE2022" s="111">
        <f>IF(AQ2022="7",BI2022,0)</f>
      </c>
      <c r="AF2022" s="111">
        <f>IF(AQ2022="2",BH2022,0)</f>
      </c>
      <c r="AG2022" s="111">
        <f>IF(AQ2022="2",BI2022,0)</f>
      </c>
      <c r="AH2022" s="111">
        <f>IF(AQ2022="0",BJ2022,0)</f>
      </c>
      <c r="AI2022" s="132" t="s">
        <v>87</v>
      </c>
      <c r="AJ2022" s="111">
        <f>IF(AN2022=0,I2022,0)</f>
      </c>
      <c r="AK2022" s="111">
        <f>IF(AN2022=12,I2022,0)</f>
      </c>
      <c r="AL2022" s="111">
        <f>IF(AN2022=21,I2022,0)</f>
      </c>
      <c r="AN2022" s="111" t="n">
        <v>21</v>
      </c>
      <c r="AO2022" s="111">
        <f>H2022*0</f>
      </c>
      <c r="AP2022" s="111">
        <f>H2022*(1-0)</f>
      </c>
      <c r="AQ2022" s="153" t="s">
        <v>130</v>
      </c>
      <c r="AV2022" s="111">
        <f>AW2022+AX2022</f>
      </c>
      <c r="AW2022" s="111">
        <f>G2022*AO2022</f>
      </c>
      <c r="AX2022" s="111">
        <f>G2022*AP2022</f>
      </c>
      <c r="AY2022" s="153" t="s">
        <v>3043</v>
      </c>
      <c r="AZ2022" s="153" t="s">
        <v>2989</v>
      </c>
      <c r="BA2022" s="132" t="s">
        <v>2990</v>
      </c>
      <c r="BC2022" s="111">
        <f>AW2022+AX2022</f>
      </c>
      <c r="BD2022" s="111">
        <f>H2022/(100-BE2022)*100</f>
      </c>
      <c r="BE2022" s="111" t="n">
        <v>0</v>
      </c>
      <c r="BF2022" s="111">
        <f>2022</f>
      </c>
      <c r="BH2022" s="111">
        <f>G2022*AO2022</f>
      </c>
      <c r="BI2022" s="111">
        <f>G2022*AP2022</f>
      </c>
      <c r="BJ2022" s="111">
        <f>G2022*H2022</f>
      </c>
      <c r="BK2022" s="111"/>
      <c r="BL2022" s="111" t="n">
        <v>15</v>
      </c>
      <c r="BW2022" s="111" t="n">
        <v>21</v>
      </c>
      <c r="BX2022" s="14" t="s">
        <v>3102</v>
      </c>
    </row>
    <row r="2023">
      <c r="A2023" s="154"/>
      <c r="B2023" s="155"/>
      <c r="C2023" s="155"/>
      <c r="D2023" s="156" t="s">
        <v>3089</v>
      </c>
      <c r="E2023" s="156" t="s">
        <v>4</v>
      </c>
      <c r="F2023" s="155"/>
      <c r="G2023" s="157" t="n">
        <v>221.81</v>
      </c>
      <c r="H2023" s="158"/>
      <c r="I2023" s="155"/>
      <c r="J2023" s="155"/>
      <c r="K2023" s="146"/>
    </row>
    <row r="2024">
      <c r="A2024" s="147" t="s">
        <v>4</v>
      </c>
      <c r="B2024" s="148" t="s">
        <v>87</v>
      </c>
      <c r="C2024" s="148" t="s">
        <v>202</v>
      </c>
      <c r="D2024" s="149" t="s">
        <v>203</v>
      </c>
      <c r="E2024" s="148"/>
      <c r="F2024" s="150" t="s">
        <v>79</v>
      </c>
      <c r="G2024" s="150" t="s">
        <v>79</v>
      </c>
      <c r="H2024" s="151" t="s">
        <v>79</v>
      </c>
      <c r="I2024" s="117">
        <f>SUM(I2025:I2029)</f>
      </c>
      <c r="J2024" s="132" t="s">
        <v>4</v>
      </c>
      <c r="K2024" s="146"/>
      <c r="AI2024" s="132" t="s">
        <v>87</v>
      </c>
      <c r="AS2024" s="117">
        <f>SUM(AJ2025:AJ2029)</f>
      </c>
      <c r="AT2024" s="117">
        <f>SUM(AK2025:AK2029)</f>
      </c>
      <c r="AU2024" s="117">
        <f>SUM(AL2025:AL2029)</f>
      </c>
    </row>
    <row r="2025">
      <c r="A2025" s="9" t="s">
        <v>3103</v>
      </c>
      <c r="B2025" s="10" t="s">
        <v>87</v>
      </c>
      <c r="C2025" s="10" t="s">
        <v>3104</v>
      </c>
      <c r="D2025" s="14" t="s">
        <v>3105</v>
      </c>
      <c r="E2025" s="10"/>
      <c r="F2025" s="10" t="s">
        <v>159</v>
      </c>
      <c r="G2025" s="111" t="n">
        <v>235.862</v>
      </c>
      <c r="H2025" s="152" t="n">
        <v>0</v>
      </c>
      <c r="I2025" s="111">
        <f>G2025*H2025</f>
      </c>
      <c r="J2025" s="153" t="s">
        <v>134</v>
      </c>
      <c r="K2025" s="146"/>
      <c r="Z2025" s="111">
        <f>IF(AQ2025="5",BJ2025,0)</f>
      </c>
      <c r="AB2025" s="111">
        <f>IF(AQ2025="1",BH2025,0)</f>
      </c>
      <c r="AC2025" s="111">
        <f>IF(AQ2025="1",BI2025,0)</f>
      </c>
      <c r="AD2025" s="111">
        <f>IF(AQ2025="7",BH2025,0)</f>
      </c>
      <c r="AE2025" s="111">
        <f>IF(AQ2025="7",BI2025,0)</f>
      </c>
      <c r="AF2025" s="111">
        <f>IF(AQ2025="2",BH2025,0)</f>
      </c>
      <c r="AG2025" s="111">
        <f>IF(AQ2025="2",BI2025,0)</f>
      </c>
      <c r="AH2025" s="111">
        <f>IF(AQ2025="0",BJ2025,0)</f>
      </c>
      <c r="AI2025" s="132" t="s">
        <v>87</v>
      </c>
      <c r="AJ2025" s="111">
        <f>IF(AN2025=0,I2025,0)</f>
      </c>
      <c r="AK2025" s="111">
        <f>IF(AN2025=12,I2025,0)</f>
      </c>
      <c r="AL2025" s="111">
        <f>IF(AN2025=21,I2025,0)</f>
      </c>
      <c r="AN2025" s="111" t="n">
        <v>21</v>
      </c>
      <c r="AO2025" s="111">
        <f>H2025*0</f>
      </c>
      <c r="AP2025" s="111">
        <f>H2025*(1-0)</f>
      </c>
      <c r="AQ2025" s="153" t="s">
        <v>130</v>
      </c>
      <c r="AV2025" s="111">
        <f>AW2025+AX2025</f>
      </c>
      <c r="AW2025" s="111">
        <f>G2025*AO2025</f>
      </c>
      <c r="AX2025" s="111">
        <f>G2025*AP2025</f>
      </c>
      <c r="AY2025" s="153" t="s">
        <v>206</v>
      </c>
      <c r="AZ2025" s="153" t="s">
        <v>2989</v>
      </c>
      <c r="BA2025" s="132" t="s">
        <v>2990</v>
      </c>
      <c r="BC2025" s="111">
        <f>AW2025+AX2025</f>
      </c>
      <c r="BD2025" s="111">
        <f>H2025/(100-BE2025)*100</f>
      </c>
      <c r="BE2025" s="111" t="n">
        <v>0</v>
      </c>
      <c r="BF2025" s="111">
        <f>2025</f>
      </c>
      <c r="BH2025" s="111">
        <f>G2025*AO2025</f>
      </c>
      <c r="BI2025" s="111">
        <f>G2025*AP2025</f>
      </c>
      <c r="BJ2025" s="111">
        <f>G2025*H2025</f>
      </c>
      <c r="BK2025" s="111"/>
      <c r="BL2025" s="111" t="n">
        <v>16</v>
      </c>
      <c r="BW2025" s="111" t="n">
        <v>21</v>
      </c>
      <c r="BX2025" s="14" t="s">
        <v>3105</v>
      </c>
    </row>
    <row r="2026">
      <c r="A2026" s="154"/>
      <c r="B2026" s="155"/>
      <c r="C2026" s="155"/>
      <c r="D2026" s="156" t="s">
        <v>3071</v>
      </c>
      <c r="E2026" s="156" t="s">
        <v>3015</v>
      </c>
      <c r="F2026" s="155"/>
      <c r="G2026" s="157" t="n">
        <v>10.752</v>
      </c>
      <c r="H2026" s="158"/>
      <c r="I2026" s="155"/>
      <c r="J2026" s="155"/>
      <c r="K2026" s="146"/>
    </row>
    <row r="2027">
      <c r="A2027" s="154"/>
      <c r="B2027" s="155"/>
      <c r="C2027" s="155"/>
      <c r="D2027" s="156" t="s">
        <v>3106</v>
      </c>
      <c r="E2027" s="156" t="s">
        <v>3032</v>
      </c>
      <c r="F2027" s="155"/>
      <c r="G2027" s="157" t="n">
        <v>52.8</v>
      </c>
      <c r="H2027" s="158"/>
      <c r="I2027" s="155"/>
      <c r="J2027" s="155"/>
      <c r="K2027" s="146"/>
    </row>
    <row r="2028">
      <c r="A2028" s="154"/>
      <c r="B2028" s="155"/>
      <c r="C2028" s="155"/>
      <c r="D2028" s="156" t="s">
        <v>3107</v>
      </c>
      <c r="E2028" s="156" t="s">
        <v>3108</v>
      </c>
      <c r="F2028" s="155"/>
      <c r="G2028" s="157" t="n">
        <v>172.31</v>
      </c>
      <c r="H2028" s="158"/>
      <c r="I2028" s="155"/>
      <c r="J2028" s="155"/>
      <c r="K2028" s="146"/>
    </row>
    <row r="2029">
      <c r="A2029" s="9" t="s">
        <v>3109</v>
      </c>
      <c r="B2029" s="10" t="s">
        <v>87</v>
      </c>
      <c r="C2029" s="10" t="s">
        <v>225</v>
      </c>
      <c r="D2029" s="14" t="s">
        <v>226</v>
      </c>
      <c r="E2029" s="10"/>
      <c r="F2029" s="10" t="s">
        <v>159</v>
      </c>
      <c r="G2029" s="111" t="n">
        <v>669.822</v>
      </c>
      <c r="H2029" s="152" t="n">
        <v>0</v>
      </c>
      <c r="I2029" s="111">
        <f>G2029*H2029</f>
      </c>
      <c r="J2029" s="153" t="s">
        <v>134</v>
      </c>
      <c r="K2029" s="146"/>
      <c r="Z2029" s="111">
        <f>IF(AQ2029="5",BJ2029,0)</f>
      </c>
      <c r="AB2029" s="111">
        <f>IF(AQ2029="1",BH2029,0)</f>
      </c>
      <c r="AC2029" s="111">
        <f>IF(AQ2029="1",BI2029,0)</f>
      </c>
      <c r="AD2029" s="111">
        <f>IF(AQ2029="7",BH2029,0)</f>
      </c>
      <c r="AE2029" s="111">
        <f>IF(AQ2029="7",BI2029,0)</f>
      </c>
      <c r="AF2029" s="111">
        <f>IF(AQ2029="2",BH2029,0)</f>
      </c>
      <c r="AG2029" s="111">
        <f>IF(AQ2029="2",BI2029,0)</f>
      </c>
      <c r="AH2029" s="111">
        <f>IF(AQ2029="0",BJ2029,0)</f>
      </c>
      <c r="AI2029" s="132" t="s">
        <v>87</v>
      </c>
      <c r="AJ2029" s="111">
        <f>IF(AN2029=0,I2029,0)</f>
      </c>
      <c r="AK2029" s="111">
        <f>IF(AN2029=12,I2029,0)</f>
      </c>
      <c r="AL2029" s="111">
        <f>IF(AN2029=21,I2029,0)</f>
      </c>
      <c r="AN2029" s="111" t="n">
        <v>21</v>
      </c>
      <c r="AO2029" s="111">
        <f>H2029*0</f>
      </c>
      <c r="AP2029" s="111">
        <f>H2029*(1-0)</f>
      </c>
      <c r="AQ2029" s="153" t="s">
        <v>130</v>
      </c>
      <c r="AV2029" s="111">
        <f>AW2029+AX2029</f>
      </c>
      <c r="AW2029" s="111">
        <f>G2029*AO2029</f>
      </c>
      <c r="AX2029" s="111">
        <f>G2029*AP2029</f>
      </c>
      <c r="AY2029" s="153" t="s">
        <v>206</v>
      </c>
      <c r="AZ2029" s="153" t="s">
        <v>2989</v>
      </c>
      <c r="BA2029" s="132" t="s">
        <v>2990</v>
      </c>
      <c r="BC2029" s="111">
        <f>AW2029+AX2029</f>
      </c>
      <c r="BD2029" s="111">
        <f>H2029/(100-BE2029)*100</f>
      </c>
      <c r="BE2029" s="111" t="n">
        <v>0</v>
      </c>
      <c r="BF2029" s="111">
        <f>2029</f>
      </c>
      <c r="BH2029" s="111">
        <f>G2029*AO2029</f>
      </c>
      <c r="BI2029" s="111">
        <f>G2029*AP2029</f>
      </c>
      <c r="BJ2029" s="111">
        <f>G2029*H2029</f>
      </c>
      <c r="BK2029" s="111"/>
      <c r="BL2029" s="111" t="n">
        <v>16</v>
      </c>
      <c r="BW2029" s="111" t="n">
        <v>21</v>
      </c>
      <c r="BX2029" s="14" t="s">
        <v>226</v>
      </c>
    </row>
    <row r="2030">
      <c r="A2030" s="154"/>
      <c r="B2030" s="155"/>
      <c r="C2030" s="155"/>
      <c r="D2030" s="156" t="s">
        <v>3106</v>
      </c>
      <c r="E2030" s="156" t="s">
        <v>3032</v>
      </c>
      <c r="F2030" s="155"/>
      <c r="G2030" s="157" t="n">
        <v>52.8</v>
      </c>
      <c r="H2030" s="158"/>
      <c r="I2030" s="155"/>
      <c r="J2030" s="155"/>
      <c r="K2030" s="146"/>
    </row>
    <row r="2031">
      <c r="A2031" s="154"/>
      <c r="B2031" s="155"/>
      <c r="C2031" s="155"/>
      <c r="D2031" s="156" t="s">
        <v>3110</v>
      </c>
      <c r="E2031" s="156" t="s">
        <v>3034</v>
      </c>
      <c r="F2031" s="155"/>
      <c r="G2031" s="157" t="n">
        <v>86.76</v>
      </c>
      <c r="H2031" s="158"/>
      <c r="I2031" s="155"/>
      <c r="J2031" s="155"/>
      <c r="K2031" s="146"/>
    </row>
    <row r="2032">
      <c r="A2032" s="154"/>
      <c r="B2032" s="155"/>
      <c r="C2032" s="155"/>
      <c r="D2032" s="156" t="s">
        <v>3111</v>
      </c>
      <c r="E2032" s="156" t="s">
        <v>3036</v>
      </c>
      <c r="F2032" s="155"/>
      <c r="G2032" s="157" t="n">
        <v>234.58</v>
      </c>
      <c r="H2032" s="158"/>
      <c r="I2032" s="155"/>
      <c r="J2032" s="155"/>
      <c r="K2032" s="146"/>
    </row>
    <row r="2033">
      <c r="A2033" s="154"/>
      <c r="B2033" s="155"/>
      <c r="C2033" s="155"/>
      <c r="D2033" s="156" t="s">
        <v>3071</v>
      </c>
      <c r="E2033" s="156" t="s">
        <v>3015</v>
      </c>
      <c r="F2033" s="155"/>
      <c r="G2033" s="157" t="n">
        <v>10.752</v>
      </c>
      <c r="H2033" s="158"/>
      <c r="I2033" s="155"/>
      <c r="J2033" s="155"/>
      <c r="K2033" s="146"/>
    </row>
    <row r="2034">
      <c r="A2034" s="154"/>
      <c r="B2034" s="155"/>
      <c r="C2034" s="155"/>
      <c r="D2034" s="156" t="s">
        <v>3112</v>
      </c>
      <c r="E2034" s="156" t="s">
        <v>3030</v>
      </c>
      <c r="F2034" s="155"/>
      <c r="G2034" s="157" t="n">
        <v>23.28</v>
      </c>
      <c r="H2034" s="158"/>
      <c r="I2034" s="155"/>
      <c r="J2034" s="155"/>
      <c r="K2034" s="146"/>
    </row>
    <row r="2035">
      <c r="A2035" s="154"/>
      <c r="B2035" s="155"/>
      <c r="C2035" s="155"/>
      <c r="D2035" s="156" t="s">
        <v>3113</v>
      </c>
      <c r="E2035" s="156" t="s">
        <v>3085</v>
      </c>
      <c r="F2035" s="155"/>
      <c r="G2035" s="157" t="n">
        <v>261.65</v>
      </c>
      <c r="H2035" s="158"/>
      <c r="I2035" s="155"/>
      <c r="J2035" s="155"/>
      <c r="K2035" s="146"/>
    </row>
    <row r="2036">
      <c r="A2036" s="147" t="s">
        <v>4</v>
      </c>
      <c r="B2036" s="148" t="s">
        <v>87</v>
      </c>
      <c r="C2036" s="148" t="s">
        <v>232</v>
      </c>
      <c r="D2036" s="149" t="s">
        <v>238</v>
      </c>
      <c r="E2036" s="148"/>
      <c r="F2036" s="150" t="s">
        <v>79</v>
      </c>
      <c r="G2036" s="150" t="s">
        <v>79</v>
      </c>
      <c r="H2036" s="151" t="s">
        <v>79</v>
      </c>
      <c r="I2036" s="117">
        <f>SUM(I2037:I2041)</f>
      </c>
      <c r="J2036" s="132" t="s">
        <v>4</v>
      </c>
      <c r="K2036" s="146"/>
      <c r="AI2036" s="132" t="s">
        <v>87</v>
      </c>
      <c r="AS2036" s="117">
        <f>SUM(AJ2037:AJ2041)</f>
      </c>
      <c r="AT2036" s="117">
        <f>SUM(AK2037:AK2041)</f>
      </c>
      <c r="AU2036" s="117">
        <f>SUM(AL2037:AL2041)</f>
      </c>
    </row>
    <row r="2037">
      <c r="A2037" s="9" t="s">
        <v>3114</v>
      </c>
      <c r="B2037" s="10" t="s">
        <v>87</v>
      </c>
      <c r="C2037" s="10" t="s">
        <v>3115</v>
      </c>
      <c r="D2037" s="14" t="s">
        <v>3116</v>
      </c>
      <c r="E2037" s="10"/>
      <c r="F2037" s="10" t="s">
        <v>159</v>
      </c>
      <c r="G2037" s="111" t="n">
        <v>669.822</v>
      </c>
      <c r="H2037" s="152" t="n">
        <v>0</v>
      </c>
      <c r="I2037" s="111">
        <f>G2037*H2037</f>
      </c>
      <c r="J2037" s="153" t="s">
        <v>134</v>
      </c>
      <c r="K2037" s="146"/>
      <c r="Z2037" s="111">
        <f>IF(AQ2037="5",BJ2037,0)</f>
      </c>
      <c r="AB2037" s="111">
        <f>IF(AQ2037="1",BH2037,0)</f>
      </c>
      <c r="AC2037" s="111">
        <f>IF(AQ2037="1",BI2037,0)</f>
      </c>
      <c r="AD2037" s="111">
        <f>IF(AQ2037="7",BH2037,0)</f>
      </c>
      <c r="AE2037" s="111">
        <f>IF(AQ2037="7",BI2037,0)</f>
      </c>
      <c r="AF2037" s="111">
        <f>IF(AQ2037="2",BH2037,0)</f>
      </c>
      <c r="AG2037" s="111">
        <f>IF(AQ2037="2",BI2037,0)</f>
      </c>
      <c r="AH2037" s="111">
        <f>IF(AQ2037="0",BJ2037,0)</f>
      </c>
      <c r="AI2037" s="132" t="s">
        <v>87</v>
      </c>
      <c r="AJ2037" s="111">
        <f>IF(AN2037=0,I2037,0)</f>
      </c>
      <c r="AK2037" s="111">
        <f>IF(AN2037=12,I2037,0)</f>
      </c>
      <c r="AL2037" s="111">
        <f>IF(AN2037=21,I2037,0)</f>
      </c>
      <c r="AN2037" s="111" t="n">
        <v>21</v>
      </c>
      <c r="AO2037" s="111">
        <f>H2037*0</f>
      </c>
      <c r="AP2037" s="111">
        <f>H2037*(1-0)</f>
      </c>
      <c r="AQ2037" s="153" t="s">
        <v>130</v>
      </c>
      <c r="AV2037" s="111">
        <f>AW2037+AX2037</f>
      </c>
      <c r="AW2037" s="111">
        <f>G2037*AO2037</f>
      </c>
      <c r="AX2037" s="111">
        <f>G2037*AP2037</f>
      </c>
      <c r="AY2037" s="153" t="s">
        <v>242</v>
      </c>
      <c r="AZ2037" s="153" t="s">
        <v>2989</v>
      </c>
      <c r="BA2037" s="132" t="s">
        <v>2990</v>
      </c>
      <c r="BC2037" s="111">
        <f>AW2037+AX2037</f>
      </c>
      <c r="BD2037" s="111">
        <f>H2037/(100-BE2037)*100</f>
      </c>
      <c r="BE2037" s="111" t="n">
        <v>0</v>
      </c>
      <c r="BF2037" s="111">
        <f>2037</f>
      </c>
      <c r="BH2037" s="111">
        <f>G2037*AO2037</f>
      </c>
      <c r="BI2037" s="111">
        <f>G2037*AP2037</f>
      </c>
      <c r="BJ2037" s="111">
        <f>G2037*H2037</f>
      </c>
      <c r="BK2037" s="111"/>
      <c r="BL2037" s="111" t="n">
        <v>17</v>
      </c>
      <c r="BW2037" s="111" t="n">
        <v>21</v>
      </c>
      <c r="BX2037" s="14" t="s">
        <v>3116</v>
      </c>
    </row>
    <row r="2038">
      <c r="A2038" s="154"/>
      <c r="B2038" s="155"/>
      <c r="C2038" s="155"/>
      <c r="D2038" s="156" t="s">
        <v>3117</v>
      </c>
      <c r="E2038" s="156" t="s">
        <v>4</v>
      </c>
      <c r="F2038" s="155"/>
      <c r="G2038" s="157" t="n">
        <v>669.822</v>
      </c>
      <c r="H2038" s="158"/>
      <c r="I2038" s="155"/>
      <c r="J2038" s="155"/>
      <c r="K2038" s="146"/>
    </row>
    <row r="2039">
      <c r="A2039" s="9" t="s">
        <v>3118</v>
      </c>
      <c r="B2039" s="10" t="s">
        <v>87</v>
      </c>
      <c r="C2039" s="10" t="s">
        <v>3119</v>
      </c>
      <c r="D2039" s="14" t="s">
        <v>3120</v>
      </c>
      <c r="E2039" s="10"/>
      <c r="F2039" s="10" t="s">
        <v>159</v>
      </c>
      <c r="G2039" s="111" t="n">
        <v>297.36</v>
      </c>
      <c r="H2039" s="152" t="n">
        <v>0</v>
      </c>
      <c r="I2039" s="111">
        <f>G2039*H2039</f>
      </c>
      <c r="J2039" s="153" t="s">
        <v>134</v>
      </c>
      <c r="K2039" s="146"/>
      <c r="Z2039" s="111">
        <f>IF(AQ2039="5",BJ2039,0)</f>
      </c>
      <c r="AB2039" s="111">
        <f>IF(AQ2039="1",BH2039,0)</f>
      </c>
      <c r="AC2039" s="111">
        <f>IF(AQ2039="1",BI2039,0)</f>
      </c>
      <c r="AD2039" s="111">
        <f>IF(AQ2039="7",BH2039,0)</f>
      </c>
      <c r="AE2039" s="111">
        <f>IF(AQ2039="7",BI2039,0)</f>
      </c>
      <c r="AF2039" s="111">
        <f>IF(AQ2039="2",BH2039,0)</f>
      </c>
      <c r="AG2039" s="111">
        <f>IF(AQ2039="2",BI2039,0)</f>
      </c>
      <c r="AH2039" s="111">
        <f>IF(AQ2039="0",BJ2039,0)</f>
      </c>
      <c r="AI2039" s="132" t="s">
        <v>87</v>
      </c>
      <c r="AJ2039" s="111">
        <f>IF(AN2039=0,I2039,0)</f>
      </c>
      <c r="AK2039" s="111">
        <f>IF(AN2039=12,I2039,0)</f>
      </c>
      <c r="AL2039" s="111">
        <f>IF(AN2039=21,I2039,0)</f>
      </c>
      <c r="AN2039" s="111" t="n">
        <v>21</v>
      </c>
      <c r="AO2039" s="111">
        <f>H2039*0</f>
      </c>
      <c r="AP2039" s="111">
        <f>H2039*(1-0)</f>
      </c>
      <c r="AQ2039" s="153" t="s">
        <v>130</v>
      </c>
      <c r="AV2039" s="111">
        <f>AW2039+AX2039</f>
      </c>
      <c r="AW2039" s="111">
        <f>G2039*AO2039</f>
      </c>
      <c r="AX2039" s="111">
        <f>G2039*AP2039</f>
      </c>
      <c r="AY2039" s="153" t="s">
        <v>242</v>
      </c>
      <c r="AZ2039" s="153" t="s">
        <v>2989</v>
      </c>
      <c r="BA2039" s="132" t="s">
        <v>2990</v>
      </c>
      <c r="BC2039" s="111">
        <f>AW2039+AX2039</f>
      </c>
      <c r="BD2039" s="111">
        <f>H2039/(100-BE2039)*100</f>
      </c>
      <c r="BE2039" s="111" t="n">
        <v>0</v>
      </c>
      <c r="BF2039" s="111">
        <f>2039</f>
      </c>
      <c r="BH2039" s="111">
        <f>G2039*AO2039</f>
      </c>
      <c r="BI2039" s="111">
        <f>G2039*AP2039</f>
      </c>
      <c r="BJ2039" s="111">
        <f>G2039*H2039</f>
      </c>
      <c r="BK2039" s="111"/>
      <c r="BL2039" s="111" t="n">
        <v>17</v>
      </c>
      <c r="BW2039" s="111" t="n">
        <v>21</v>
      </c>
      <c r="BX2039" s="14" t="s">
        <v>3120</v>
      </c>
    </row>
    <row r="2040">
      <c r="A2040" s="154"/>
      <c r="B2040" s="155"/>
      <c r="C2040" s="155"/>
      <c r="D2040" s="156" t="s">
        <v>3121</v>
      </c>
      <c r="E2040" s="156" t="s">
        <v>3085</v>
      </c>
      <c r="F2040" s="155"/>
      <c r="G2040" s="157" t="n">
        <v>297.36</v>
      </c>
      <c r="H2040" s="158"/>
      <c r="I2040" s="155"/>
      <c r="J2040" s="155"/>
      <c r="K2040" s="146"/>
    </row>
    <row r="2041">
      <c r="A2041" s="9" t="s">
        <v>3122</v>
      </c>
      <c r="B2041" s="10" t="s">
        <v>87</v>
      </c>
      <c r="C2041" s="10" t="s">
        <v>3123</v>
      </c>
      <c r="D2041" s="14" t="s">
        <v>3124</v>
      </c>
      <c r="E2041" s="10"/>
      <c r="F2041" s="10" t="s">
        <v>159</v>
      </c>
      <c r="G2041" s="111" t="n">
        <v>383.714</v>
      </c>
      <c r="H2041" s="152" t="n">
        <v>0</v>
      </c>
      <c r="I2041" s="111">
        <f>G2041*H2041</f>
      </c>
      <c r="J2041" s="153" t="s">
        <v>134</v>
      </c>
      <c r="K2041" s="146"/>
      <c r="Z2041" s="111">
        <f>IF(AQ2041="5",BJ2041,0)</f>
      </c>
      <c r="AB2041" s="111">
        <f>IF(AQ2041="1",BH2041,0)</f>
      </c>
      <c r="AC2041" s="111">
        <f>IF(AQ2041="1",BI2041,0)</f>
      </c>
      <c r="AD2041" s="111">
        <f>IF(AQ2041="7",BH2041,0)</f>
      </c>
      <c r="AE2041" s="111">
        <f>IF(AQ2041="7",BI2041,0)</f>
      </c>
      <c r="AF2041" s="111">
        <f>IF(AQ2041="2",BH2041,0)</f>
      </c>
      <c r="AG2041" s="111">
        <f>IF(AQ2041="2",BI2041,0)</f>
      </c>
      <c r="AH2041" s="111">
        <f>IF(AQ2041="0",BJ2041,0)</f>
      </c>
      <c r="AI2041" s="132" t="s">
        <v>87</v>
      </c>
      <c r="AJ2041" s="111">
        <f>IF(AN2041=0,I2041,0)</f>
      </c>
      <c r="AK2041" s="111">
        <f>IF(AN2041=12,I2041,0)</f>
      </c>
      <c r="AL2041" s="111">
        <f>IF(AN2041=21,I2041,0)</f>
      </c>
      <c r="AN2041" s="111" t="n">
        <v>21</v>
      </c>
      <c r="AO2041" s="111">
        <f>H2041*0.517505128</f>
      </c>
      <c r="AP2041" s="111">
        <f>H2041*(1-0.517505128)</f>
      </c>
      <c r="AQ2041" s="153" t="s">
        <v>130</v>
      </c>
      <c r="AV2041" s="111">
        <f>AW2041+AX2041</f>
      </c>
      <c r="AW2041" s="111">
        <f>G2041*AO2041</f>
      </c>
      <c r="AX2041" s="111">
        <f>G2041*AP2041</f>
      </c>
      <c r="AY2041" s="153" t="s">
        <v>242</v>
      </c>
      <c r="AZ2041" s="153" t="s">
        <v>2989</v>
      </c>
      <c r="BA2041" s="132" t="s">
        <v>2990</v>
      </c>
      <c r="BC2041" s="111">
        <f>AW2041+AX2041</f>
      </c>
      <c r="BD2041" s="111">
        <f>H2041/(100-BE2041)*100</f>
      </c>
      <c r="BE2041" s="111" t="n">
        <v>0</v>
      </c>
      <c r="BF2041" s="111">
        <f>2041</f>
      </c>
      <c r="BH2041" s="111">
        <f>G2041*AO2041</f>
      </c>
      <c r="BI2041" s="111">
        <f>G2041*AP2041</f>
      </c>
      <c r="BJ2041" s="111">
        <f>G2041*H2041</f>
      </c>
      <c r="BK2041" s="111"/>
      <c r="BL2041" s="111" t="n">
        <v>17</v>
      </c>
      <c r="BW2041" s="111" t="n">
        <v>21</v>
      </c>
      <c r="BX2041" s="14" t="s">
        <v>3124</v>
      </c>
    </row>
    <row r="2042" customHeight="true" ht="13.5">
      <c r="A2042" s="159"/>
      <c r="C2042" s="160" t="s">
        <v>146</v>
      </c>
      <c r="D2042" s="161" t="s">
        <v>3125</v>
      </c>
      <c r="E2042" s="156"/>
      <c r="F2042" s="156"/>
      <c r="G2042" s="156"/>
      <c r="H2042" s="162"/>
      <c r="I2042" s="156"/>
      <c r="J2042" s="156"/>
      <c r="K2042" s="163"/>
    </row>
    <row r="2043">
      <c r="A2043" s="154"/>
      <c r="B2043" s="155"/>
      <c r="C2043" s="155"/>
      <c r="D2043" s="156" t="s">
        <v>3126</v>
      </c>
      <c r="E2043" s="156" t="s">
        <v>3032</v>
      </c>
      <c r="F2043" s="155"/>
      <c r="G2043" s="157" t="n">
        <v>49.28</v>
      </c>
      <c r="H2043" s="158"/>
      <c r="I2043" s="155"/>
      <c r="J2043" s="155"/>
      <c r="K2043" s="146"/>
    </row>
    <row r="2044">
      <c r="A2044" s="154"/>
      <c r="B2044" s="155"/>
      <c r="C2044" s="155"/>
      <c r="D2044" s="156" t="s">
        <v>3127</v>
      </c>
      <c r="E2044" s="156" t="s">
        <v>3034</v>
      </c>
      <c r="F2044" s="155"/>
      <c r="G2044" s="157" t="n">
        <v>94.3</v>
      </c>
      <c r="H2044" s="158"/>
      <c r="I2044" s="155"/>
      <c r="J2044" s="155"/>
      <c r="K2044" s="146"/>
    </row>
    <row r="2045">
      <c r="A2045" s="154"/>
      <c r="B2045" s="155"/>
      <c r="C2045" s="155"/>
      <c r="D2045" s="156" t="s">
        <v>3128</v>
      </c>
      <c r="E2045" s="156" t="s">
        <v>3036</v>
      </c>
      <c r="F2045" s="155"/>
      <c r="G2045" s="157" t="n">
        <v>211.896</v>
      </c>
      <c r="H2045" s="158"/>
      <c r="I2045" s="155"/>
      <c r="J2045" s="155"/>
      <c r="K2045" s="146"/>
    </row>
    <row r="2046">
      <c r="A2046" s="154"/>
      <c r="B2046" s="155"/>
      <c r="C2046" s="155"/>
      <c r="D2046" s="156" t="s">
        <v>3129</v>
      </c>
      <c r="E2046" s="156" t="s">
        <v>3015</v>
      </c>
      <c r="F2046" s="155"/>
      <c r="G2046" s="157" t="n">
        <v>7.988</v>
      </c>
      <c r="H2046" s="158"/>
      <c r="I2046" s="155"/>
      <c r="J2046" s="155"/>
      <c r="K2046" s="146"/>
    </row>
    <row r="2047">
      <c r="A2047" s="154"/>
      <c r="B2047" s="155"/>
      <c r="C2047" s="155"/>
      <c r="D2047" s="156" t="s">
        <v>3130</v>
      </c>
      <c r="E2047" s="156" t="s">
        <v>3030</v>
      </c>
      <c r="F2047" s="155"/>
      <c r="G2047" s="157" t="n">
        <v>20.25</v>
      </c>
      <c r="H2047" s="158"/>
      <c r="I2047" s="155"/>
      <c r="J2047" s="155"/>
      <c r="K2047" s="146"/>
    </row>
    <row r="2048">
      <c r="A2048" s="147" t="s">
        <v>4</v>
      </c>
      <c r="B2048" s="148" t="s">
        <v>87</v>
      </c>
      <c r="C2048" s="148" t="s">
        <v>239</v>
      </c>
      <c r="D2048" s="149" t="s">
        <v>3131</v>
      </c>
      <c r="E2048" s="148"/>
      <c r="F2048" s="150" t="s">
        <v>79</v>
      </c>
      <c r="G2048" s="150" t="s">
        <v>79</v>
      </c>
      <c r="H2048" s="151" t="s">
        <v>79</v>
      </c>
      <c r="I2048" s="117">
        <f>SUM(I2049:I2049)</f>
      </c>
      <c r="J2048" s="132" t="s">
        <v>4</v>
      </c>
      <c r="K2048" s="146"/>
      <c r="AI2048" s="132" t="s">
        <v>87</v>
      </c>
      <c r="AS2048" s="117">
        <f>SUM(AJ2049:AJ2049)</f>
      </c>
      <c r="AT2048" s="117">
        <f>SUM(AK2049:AK2049)</f>
      </c>
      <c r="AU2048" s="117">
        <f>SUM(AL2049:AL2049)</f>
      </c>
    </row>
    <row r="2049">
      <c r="A2049" s="9" t="s">
        <v>3132</v>
      </c>
      <c r="B2049" s="10" t="s">
        <v>87</v>
      </c>
      <c r="C2049" s="10" t="s">
        <v>236</v>
      </c>
      <c r="D2049" s="14" t="s">
        <v>237</v>
      </c>
      <c r="E2049" s="10"/>
      <c r="F2049" s="10" t="s">
        <v>159</v>
      </c>
      <c r="G2049" s="111" t="n">
        <v>669.822</v>
      </c>
      <c r="H2049" s="152" t="n">
        <v>0</v>
      </c>
      <c r="I2049" s="111">
        <f>G2049*H2049</f>
      </c>
      <c r="J2049" s="153" t="s">
        <v>134</v>
      </c>
      <c r="K2049" s="146"/>
      <c r="Z2049" s="111">
        <f>IF(AQ2049="5",BJ2049,0)</f>
      </c>
      <c r="AB2049" s="111">
        <f>IF(AQ2049="1",BH2049,0)</f>
      </c>
      <c r="AC2049" s="111">
        <f>IF(AQ2049="1",BI2049,0)</f>
      </c>
      <c r="AD2049" s="111">
        <f>IF(AQ2049="7",BH2049,0)</f>
      </c>
      <c r="AE2049" s="111">
        <f>IF(AQ2049="7",BI2049,0)</f>
      </c>
      <c r="AF2049" s="111">
        <f>IF(AQ2049="2",BH2049,0)</f>
      </c>
      <c r="AG2049" s="111">
        <f>IF(AQ2049="2",BI2049,0)</f>
      </c>
      <c r="AH2049" s="111">
        <f>IF(AQ2049="0",BJ2049,0)</f>
      </c>
      <c r="AI2049" s="132" t="s">
        <v>87</v>
      </c>
      <c r="AJ2049" s="111">
        <f>IF(AN2049=0,I2049,0)</f>
      </c>
      <c r="AK2049" s="111">
        <f>IF(AN2049=12,I2049,0)</f>
      </c>
      <c r="AL2049" s="111">
        <f>IF(AN2049=21,I2049,0)</f>
      </c>
      <c r="AN2049" s="111" t="n">
        <v>21</v>
      </c>
      <c r="AO2049" s="111">
        <f>H2049*0</f>
      </c>
      <c r="AP2049" s="111">
        <f>H2049*(1-0)</f>
      </c>
      <c r="AQ2049" s="153" t="s">
        <v>130</v>
      </c>
      <c r="AV2049" s="111">
        <f>AW2049+AX2049</f>
      </c>
      <c r="AW2049" s="111">
        <f>G2049*AO2049</f>
      </c>
      <c r="AX2049" s="111">
        <f>G2049*AP2049</f>
      </c>
      <c r="AY2049" s="153" t="s">
        <v>3133</v>
      </c>
      <c r="AZ2049" s="153" t="s">
        <v>2989</v>
      </c>
      <c r="BA2049" s="132" t="s">
        <v>2990</v>
      </c>
      <c r="BC2049" s="111">
        <f>AW2049+AX2049</f>
      </c>
      <c r="BD2049" s="111">
        <f>H2049/(100-BE2049)*100</f>
      </c>
      <c r="BE2049" s="111" t="n">
        <v>0</v>
      </c>
      <c r="BF2049" s="111">
        <f>2049</f>
      </c>
      <c r="BH2049" s="111">
        <f>G2049*AO2049</f>
      </c>
      <c r="BI2049" s="111">
        <f>G2049*AP2049</f>
      </c>
      <c r="BJ2049" s="111">
        <f>G2049*H2049</f>
      </c>
      <c r="BK2049" s="111"/>
      <c r="BL2049" s="111" t="n">
        <v>19</v>
      </c>
      <c r="BW2049" s="111" t="n">
        <v>21</v>
      </c>
      <c r="BX2049" s="14" t="s">
        <v>237</v>
      </c>
    </row>
    <row r="2050">
      <c r="A2050" s="154"/>
      <c r="B2050" s="155"/>
      <c r="C2050" s="155"/>
      <c r="D2050" s="156" t="s">
        <v>3117</v>
      </c>
      <c r="E2050" s="156" t="s">
        <v>4</v>
      </c>
      <c r="F2050" s="155"/>
      <c r="G2050" s="157" t="n">
        <v>669.822</v>
      </c>
      <c r="H2050" s="158"/>
      <c r="I2050" s="155"/>
      <c r="J2050" s="155"/>
      <c r="K2050" s="146"/>
    </row>
    <row r="2051">
      <c r="A2051" s="147" t="s">
        <v>4</v>
      </c>
      <c r="B2051" s="148" t="s">
        <v>87</v>
      </c>
      <c r="C2051" s="148" t="s">
        <v>261</v>
      </c>
      <c r="D2051" s="149" t="s">
        <v>278</v>
      </c>
      <c r="E2051" s="148"/>
      <c r="F2051" s="150" t="s">
        <v>79</v>
      </c>
      <c r="G2051" s="150" t="s">
        <v>79</v>
      </c>
      <c r="H2051" s="151" t="s">
        <v>79</v>
      </c>
      <c r="I2051" s="117">
        <f>SUM(I2052:I2054)</f>
      </c>
      <c r="J2051" s="132" t="s">
        <v>4</v>
      </c>
      <c r="K2051" s="146"/>
      <c r="AI2051" s="132" t="s">
        <v>87</v>
      </c>
      <c r="AS2051" s="117">
        <f>SUM(AJ2052:AJ2054)</f>
      </c>
      <c r="AT2051" s="117">
        <f>SUM(AK2052:AK2054)</f>
      </c>
      <c r="AU2051" s="117">
        <f>SUM(AL2052:AL2054)</f>
      </c>
    </row>
    <row r="2052">
      <c r="A2052" s="9" t="s">
        <v>3134</v>
      </c>
      <c r="B2052" s="10" t="s">
        <v>87</v>
      </c>
      <c r="C2052" s="10" t="s">
        <v>3135</v>
      </c>
      <c r="D2052" s="14" t="s">
        <v>3136</v>
      </c>
      <c r="E2052" s="10"/>
      <c r="F2052" s="10" t="s">
        <v>133</v>
      </c>
      <c r="G2052" s="111" t="n">
        <v>10</v>
      </c>
      <c r="H2052" s="152" t="n">
        <v>0</v>
      </c>
      <c r="I2052" s="111">
        <f>G2052*H2052</f>
      </c>
      <c r="J2052" s="153" t="s">
        <v>134</v>
      </c>
      <c r="K2052" s="146"/>
      <c r="Z2052" s="111">
        <f>IF(AQ2052="5",BJ2052,0)</f>
      </c>
      <c r="AB2052" s="111">
        <f>IF(AQ2052="1",BH2052,0)</f>
      </c>
      <c r="AC2052" s="111">
        <f>IF(AQ2052="1",BI2052,0)</f>
      </c>
      <c r="AD2052" s="111">
        <f>IF(AQ2052="7",BH2052,0)</f>
      </c>
      <c r="AE2052" s="111">
        <f>IF(AQ2052="7",BI2052,0)</f>
      </c>
      <c r="AF2052" s="111">
        <f>IF(AQ2052="2",BH2052,0)</f>
      </c>
      <c r="AG2052" s="111">
        <f>IF(AQ2052="2",BI2052,0)</f>
      </c>
      <c r="AH2052" s="111">
        <f>IF(AQ2052="0",BJ2052,0)</f>
      </c>
      <c r="AI2052" s="132" t="s">
        <v>87</v>
      </c>
      <c r="AJ2052" s="111">
        <f>IF(AN2052=0,I2052,0)</f>
      </c>
      <c r="AK2052" s="111">
        <f>IF(AN2052=12,I2052,0)</f>
      </c>
      <c r="AL2052" s="111">
        <f>IF(AN2052=21,I2052,0)</f>
      </c>
      <c r="AN2052" s="111" t="n">
        <v>21</v>
      </c>
      <c r="AO2052" s="111">
        <f>H2052*0</f>
      </c>
      <c r="AP2052" s="111">
        <f>H2052*(1-0)</f>
      </c>
      <c r="AQ2052" s="153" t="s">
        <v>130</v>
      </c>
      <c r="AV2052" s="111">
        <f>AW2052+AX2052</f>
      </c>
      <c r="AW2052" s="111">
        <f>G2052*AO2052</f>
      </c>
      <c r="AX2052" s="111">
        <f>G2052*AP2052</f>
      </c>
      <c r="AY2052" s="153" t="s">
        <v>283</v>
      </c>
      <c r="AZ2052" s="153" t="s">
        <v>3137</v>
      </c>
      <c r="BA2052" s="132" t="s">
        <v>2990</v>
      </c>
      <c r="BC2052" s="111">
        <f>AW2052+AX2052</f>
      </c>
      <c r="BD2052" s="111">
        <f>H2052/(100-BE2052)*100</f>
      </c>
      <c r="BE2052" s="111" t="n">
        <v>0</v>
      </c>
      <c r="BF2052" s="111">
        <f>2052</f>
      </c>
      <c r="BH2052" s="111">
        <f>G2052*AO2052</f>
      </c>
      <c r="BI2052" s="111">
        <f>G2052*AP2052</f>
      </c>
      <c r="BJ2052" s="111">
        <f>G2052*H2052</f>
      </c>
      <c r="BK2052" s="111"/>
      <c r="BL2052" s="111" t="n">
        <v>21</v>
      </c>
      <c r="BW2052" s="111" t="n">
        <v>21</v>
      </c>
      <c r="BX2052" s="14" t="s">
        <v>3136</v>
      </c>
    </row>
    <row r="2053">
      <c r="A2053" s="154"/>
      <c r="B2053" s="155"/>
      <c r="C2053" s="155"/>
      <c r="D2053" s="156" t="s">
        <v>186</v>
      </c>
      <c r="E2053" s="156" t="s">
        <v>4</v>
      </c>
      <c r="F2053" s="155"/>
      <c r="G2053" s="157" t="n">
        <v>10</v>
      </c>
      <c r="H2053" s="158"/>
      <c r="I2053" s="155"/>
      <c r="J2053" s="155"/>
      <c r="K2053" s="146"/>
    </row>
    <row r="2054">
      <c r="A2054" s="9" t="s">
        <v>3138</v>
      </c>
      <c r="B2054" s="10" t="s">
        <v>87</v>
      </c>
      <c r="C2054" s="10" t="s">
        <v>3139</v>
      </c>
      <c r="D2054" s="14" t="s">
        <v>3140</v>
      </c>
      <c r="E2054" s="10"/>
      <c r="F2054" s="10" t="s">
        <v>145</v>
      </c>
      <c r="G2054" s="111" t="n">
        <v>112</v>
      </c>
      <c r="H2054" s="152" t="n">
        <v>0</v>
      </c>
      <c r="I2054" s="111">
        <f>G2054*H2054</f>
      </c>
      <c r="J2054" s="153" t="s">
        <v>134</v>
      </c>
      <c r="K2054" s="146"/>
      <c r="Z2054" s="111">
        <f>IF(AQ2054="5",BJ2054,0)</f>
      </c>
      <c r="AB2054" s="111">
        <f>IF(AQ2054="1",BH2054,0)</f>
      </c>
      <c r="AC2054" s="111">
        <f>IF(AQ2054="1",BI2054,0)</f>
      </c>
      <c r="AD2054" s="111">
        <f>IF(AQ2054="7",BH2054,0)</f>
      </c>
      <c r="AE2054" s="111">
        <f>IF(AQ2054="7",BI2054,0)</f>
      </c>
      <c r="AF2054" s="111">
        <f>IF(AQ2054="2",BH2054,0)</f>
      </c>
      <c r="AG2054" s="111">
        <f>IF(AQ2054="2",BI2054,0)</f>
      </c>
      <c r="AH2054" s="111">
        <f>IF(AQ2054="0",BJ2054,0)</f>
      </c>
      <c r="AI2054" s="132" t="s">
        <v>87</v>
      </c>
      <c r="AJ2054" s="111">
        <f>IF(AN2054=0,I2054,0)</f>
      </c>
      <c r="AK2054" s="111">
        <f>IF(AN2054=12,I2054,0)</f>
      </c>
      <c r="AL2054" s="111">
        <f>IF(AN2054=21,I2054,0)</f>
      </c>
      <c r="AN2054" s="111" t="n">
        <v>21</v>
      </c>
      <c r="AO2054" s="111">
        <f>H2054*0.025986842</f>
      </c>
      <c r="AP2054" s="111">
        <f>H2054*(1-0.025986842)</f>
      </c>
      <c r="AQ2054" s="153" t="s">
        <v>130</v>
      </c>
      <c r="AV2054" s="111">
        <f>AW2054+AX2054</f>
      </c>
      <c r="AW2054" s="111">
        <f>G2054*AO2054</f>
      </c>
      <c r="AX2054" s="111">
        <f>G2054*AP2054</f>
      </c>
      <c r="AY2054" s="153" t="s">
        <v>283</v>
      </c>
      <c r="AZ2054" s="153" t="s">
        <v>3137</v>
      </c>
      <c r="BA2054" s="132" t="s">
        <v>2990</v>
      </c>
      <c r="BC2054" s="111">
        <f>AW2054+AX2054</f>
      </c>
      <c r="BD2054" s="111">
        <f>H2054/(100-BE2054)*100</f>
      </c>
      <c r="BE2054" s="111" t="n">
        <v>0</v>
      </c>
      <c r="BF2054" s="111">
        <f>2054</f>
      </c>
      <c r="BH2054" s="111">
        <f>G2054*AO2054</f>
      </c>
      <c r="BI2054" s="111">
        <f>G2054*AP2054</f>
      </c>
      <c r="BJ2054" s="111">
        <f>G2054*H2054</f>
      </c>
      <c r="BK2054" s="111"/>
      <c r="BL2054" s="111" t="n">
        <v>21</v>
      </c>
      <c r="BW2054" s="111" t="n">
        <v>21</v>
      </c>
      <c r="BX2054" s="14" t="s">
        <v>3140</v>
      </c>
    </row>
    <row r="2055">
      <c r="A2055" s="154"/>
      <c r="B2055" s="155"/>
      <c r="C2055" s="155"/>
      <c r="D2055" s="156" t="s">
        <v>878</v>
      </c>
      <c r="E2055" s="156" t="s">
        <v>4</v>
      </c>
      <c r="F2055" s="155"/>
      <c r="G2055" s="157" t="n">
        <v>112</v>
      </c>
      <c r="H2055" s="158"/>
      <c r="I2055" s="155"/>
      <c r="J2055" s="155"/>
      <c r="K2055" s="146"/>
    </row>
    <row r="2056">
      <c r="A2056" s="147" t="s">
        <v>4</v>
      </c>
      <c r="B2056" s="148" t="s">
        <v>87</v>
      </c>
      <c r="C2056" s="148" t="s">
        <v>288</v>
      </c>
      <c r="D2056" s="149" t="s">
        <v>289</v>
      </c>
      <c r="E2056" s="148"/>
      <c r="F2056" s="150" t="s">
        <v>79</v>
      </c>
      <c r="G2056" s="150" t="s">
        <v>79</v>
      </c>
      <c r="H2056" s="151" t="s">
        <v>79</v>
      </c>
      <c r="I2056" s="117">
        <f>SUM(I2057:I2057)</f>
      </c>
      <c r="J2056" s="132" t="s">
        <v>4</v>
      </c>
      <c r="K2056" s="146"/>
      <c r="AI2056" s="132" t="s">
        <v>87</v>
      </c>
      <c r="AS2056" s="117">
        <f>SUM(AJ2057:AJ2057)</f>
      </c>
      <c r="AT2056" s="117">
        <f>SUM(AK2057:AK2057)</f>
      </c>
      <c r="AU2056" s="117">
        <f>SUM(AL2057:AL2057)</f>
      </c>
    </row>
    <row r="2057">
      <c r="A2057" s="9" t="s">
        <v>3141</v>
      </c>
      <c r="B2057" s="10" t="s">
        <v>87</v>
      </c>
      <c r="C2057" s="10" t="s">
        <v>367</v>
      </c>
      <c r="D2057" s="14" t="s">
        <v>368</v>
      </c>
      <c r="E2057" s="10"/>
      <c r="F2057" s="10" t="s">
        <v>229</v>
      </c>
      <c r="G2057" s="111" t="n">
        <v>0.14861</v>
      </c>
      <c r="H2057" s="152" t="n">
        <v>0</v>
      </c>
      <c r="I2057" s="111">
        <f>G2057*H2057</f>
      </c>
      <c r="J2057" s="153" t="s">
        <v>134</v>
      </c>
      <c r="K2057" s="146"/>
      <c r="Z2057" s="111">
        <f>IF(AQ2057="5",BJ2057,0)</f>
      </c>
      <c r="AB2057" s="111">
        <f>IF(AQ2057="1",BH2057,0)</f>
      </c>
      <c r="AC2057" s="111">
        <f>IF(AQ2057="1",BI2057,0)</f>
      </c>
      <c r="AD2057" s="111">
        <f>IF(AQ2057="7",BH2057,0)</f>
      </c>
      <c r="AE2057" s="111">
        <f>IF(AQ2057="7",BI2057,0)</f>
      </c>
      <c r="AF2057" s="111">
        <f>IF(AQ2057="2",BH2057,0)</f>
      </c>
      <c r="AG2057" s="111">
        <f>IF(AQ2057="2",BI2057,0)</f>
      </c>
      <c r="AH2057" s="111">
        <f>IF(AQ2057="0",BJ2057,0)</f>
      </c>
      <c r="AI2057" s="132" t="s">
        <v>87</v>
      </c>
      <c r="AJ2057" s="111">
        <f>IF(AN2057=0,I2057,0)</f>
      </c>
      <c r="AK2057" s="111">
        <f>IF(AN2057=12,I2057,0)</f>
      </c>
      <c r="AL2057" s="111">
        <f>IF(AN2057=21,I2057,0)</f>
      </c>
      <c r="AN2057" s="111" t="n">
        <v>21</v>
      </c>
      <c r="AO2057" s="111">
        <f>H2057*0.784067875</f>
      </c>
      <c r="AP2057" s="111">
        <f>H2057*(1-0.784067875)</f>
      </c>
      <c r="AQ2057" s="153" t="s">
        <v>130</v>
      </c>
      <c r="AV2057" s="111">
        <f>AW2057+AX2057</f>
      </c>
      <c r="AW2057" s="111">
        <f>G2057*AO2057</f>
      </c>
      <c r="AX2057" s="111">
        <f>G2057*AP2057</f>
      </c>
      <c r="AY2057" s="153" t="s">
        <v>293</v>
      </c>
      <c r="AZ2057" s="153" t="s">
        <v>3137</v>
      </c>
      <c r="BA2057" s="132" t="s">
        <v>2990</v>
      </c>
      <c r="BC2057" s="111">
        <f>AW2057+AX2057</f>
      </c>
      <c r="BD2057" s="111">
        <f>H2057/(100-BE2057)*100</f>
      </c>
      <c r="BE2057" s="111" t="n">
        <v>0</v>
      </c>
      <c r="BF2057" s="111">
        <f>2057</f>
      </c>
      <c r="BH2057" s="111">
        <f>G2057*AO2057</f>
      </c>
      <c r="BI2057" s="111">
        <f>G2057*AP2057</f>
      </c>
      <c r="BJ2057" s="111">
        <f>G2057*H2057</f>
      </c>
      <c r="BK2057" s="111"/>
      <c r="BL2057" s="111" t="n">
        <v>27</v>
      </c>
      <c r="BW2057" s="111" t="n">
        <v>21</v>
      </c>
      <c r="BX2057" s="14" t="s">
        <v>368</v>
      </c>
    </row>
    <row r="2058" customHeight="true" ht="13.5">
      <c r="A2058" s="159"/>
      <c r="C2058" s="160" t="s">
        <v>146</v>
      </c>
      <c r="D2058" s="161" t="s">
        <v>369</v>
      </c>
      <c r="E2058" s="156"/>
      <c r="F2058" s="156"/>
      <c r="G2058" s="156"/>
      <c r="H2058" s="162"/>
      <c r="I2058" s="156"/>
      <c r="J2058" s="156"/>
      <c r="K2058" s="163"/>
    </row>
    <row r="2059">
      <c r="A2059" s="154"/>
      <c r="B2059" s="155"/>
      <c r="C2059" s="155"/>
      <c r="D2059" s="156" t="s">
        <v>3142</v>
      </c>
      <c r="E2059" s="156" t="s">
        <v>3143</v>
      </c>
      <c r="F2059" s="155"/>
      <c r="G2059" s="157" t="n">
        <v>0.09677</v>
      </c>
      <c r="H2059" s="158"/>
      <c r="I2059" s="155"/>
      <c r="J2059" s="155"/>
      <c r="K2059" s="146"/>
    </row>
    <row r="2060">
      <c r="A2060" s="154"/>
      <c r="B2060" s="155"/>
      <c r="C2060" s="155"/>
      <c r="D2060" s="156" t="s">
        <v>3144</v>
      </c>
      <c r="E2060" s="156" t="s">
        <v>3145</v>
      </c>
      <c r="F2060" s="155"/>
      <c r="G2060" s="157" t="n">
        <v>0.05184</v>
      </c>
      <c r="H2060" s="158"/>
      <c r="I2060" s="155"/>
      <c r="J2060" s="155"/>
      <c r="K2060" s="146"/>
    </row>
    <row r="2061">
      <c r="A2061" s="147" t="s">
        <v>4</v>
      </c>
      <c r="B2061" s="148" t="s">
        <v>87</v>
      </c>
      <c r="C2061" s="148" t="s">
        <v>387</v>
      </c>
      <c r="D2061" s="149" t="s">
        <v>3146</v>
      </c>
      <c r="E2061" s="148"/>
      <c r="F2061" s="150" t="s">
        <v>79</v>
      </c>
      <c r="G2061" s="150" t="s">
        <v>79</v>
      </c>
      <c r="H2061" s="151" t="s">
        <v>79</v>
      </c>
      <c r="I2061" s="117">
        <f>SUM(I2062:I2065)</f>
      </c>
      <c r="J2061" s="132" t="s">
        <v>4</v>
      </c>
      <c r="K2061" s="146"/>
      <c r="AI2061" s="132" t="s">
        <v>87</v>
      </c>
      <c r="AS2061" s="117">
        <f>SUM(AJ2062:AJ2065)</f>
      </c>
      <c r="AT2061" s="117">
        <f>SUM(AK2062:AK2065)</f>
      </c>
      <c r="AU2061" s="117">
        <f>SUM(AL2062:AL2065)</f>
      </c>
    </row>
    <row r="2062">
      <c r="A2062" s="9" t="s">
        <v>3147</v>
      </c>
      <c r="B2062" s="10" t="s">
        <v>87</v>
      </c>
      <c r="C2062" s="10" t="s">
        <v>3148</v>
      </c>
      <c r="D2062" s="14" t="s">
        <v>3149</v>
      </c>
      <c r="E2062" s="10"/>
      <c r="F2062" s="10" t="s">
        <v>159</v>
      </c>
      <c r="G2062" s="111" t="n">
        <v>2.7</v>
      </c>
      <c r="H2062" s="152" t="n">
        <v>0</v>
      </c>
      <c r="I2062" s="111">
        <f>G2062*H2062</f>
      </c>
      <c r="J2062" s="153" t="s">
        <v>134</v>
      </c>
      <c r="K2062" s="146"/>
      <c r="Z2062" s="111">
        <f>IF(AQ2062="5",BJ2062,0)</f>
      </c>
      <c r="AB2062" s="111">
        <f>IF(AQ2062="1",BH2062,0)</f>
      </c>
      <c r="AC2062" s="111">
        <f>IF(AQ2062="1",BI2062,0)</f>
      </c>
      <c r="AD2062" s="111">
        <f>IF(AQ2062="7",BH2062,0)</f>
      </c>
      <c r="AE2062" s="111">
        <f>IF(AQ2062="7",BI2062,0)</f>
      </c>
      <c r="AF2062" s="111">
        <f>IF(AQ2062="2",BH2062,0)</f>
      </c>
      <c r="AG2062" s="111">
        <f>IF(AQ2062="2",BI2062,0)</f>
      </c>
      <c r="AH2062" s="111">
        <f>IF(AQ2062="0",BJ2062,0)</f>
      </c>
      <c r="AI2062" s="132" t="s">
        <v>87</v>
      </c>
      <c r="AJ2062" s="111">
        <f>IF(AN2062=0,I2062,0)</f>
      </c>
      <c r="AK2062" s="111">
        <f>IF(AN2062=12,I2062,0)</f>
      </c>
      <c r="AL2062" s="111">
        <f>IF(AN2062=21,I2062,0)</f>
      </c>
      <c r="AN2062" s="111" t="n">
        <v>21</v>
      </c>
      <c r="AO2062" s="111">
        <f>H2062*0.837335079</f>
      </c>
      <c r="AP2062" s="111">
        <f>H2062*(1-0.837335079)</f>
      </c>
      <c r="AQ2062" s="153" t="s">
        <v>130</v>
      </c>
      <c r="AV2062" s="111">
        <f>AW2062+AX2062</f>
      </c>
      <c r="AW2062" s="111">
        <f>G2062*AO2062</f>
      </c>
      <c r="AX2062" s="111">
        <f>G2062*AP2062</f>
      </c>
      <c r="AY2062" s="153" t="s">
        <v>3150</v>
      </c>
      <c r="AZ2062" s="153" t="s">
        <v>3151</v>
      </c>
      <c r="BA2062" s="132" t="s">
        <v>2990</v>
      </c>
      <c r="BC2062" s="111">
        <f>AW2062+AX2062</f>
      </c>
      <c r="BD2062" s="111">
        <f>H2062/(100-BE2062)*100</f>
      </c>
      <c r="BE2062" s="111" t="n">
        <v>0</v>
      </c>
      <c r="BF2062" s="111">
        <f>2062</f>
      </c>
      <c r="BH2062" s="111">
        <f>G2062*AO2062</f>
      </c>
      <c r="BI2062" s="111">
        <f>G2062*AP2062</f>
      </c>
      <c r="BJ2062" s="111">
        <f>G2062*H2062</f>
      </c>
      <c r="BK2062" s="111"/>
      <c r="BL2062" s="111" t="n">
        <v>38</v>
      </c>
      <c r="BW2062" s="111" t="n">
        <v>21</v>
      </c>
      <c r="BX2062" s="14" t="s">
        <v>3149</v>
      </c>
    </row>
    <row r="2063" customHeight="true" ht="13.5">
      <c r="A2063" s="159"/>
      <c r="C2063" s="160" t="s">
        <v>146</v>
      </c>
      <c r="D2063" s="161" t="s">
        <v>3152</v>
      </c>
      <c r="E2063" s="156"/>
      <c r="F2063" s="156"/>
      <c r="G2063" s="156"/>
      <c r="H2063" s="162"/>
      <c r="I2063" s="156"/>
      <c r="J2063" s="156"/>
      <c r="K2063" s="163"/>
    </row>
    <row r="2064">
      <c r="A2064" s="154"/>
      <c r="B2064" s="155"/>
      <c r="C2064" s="155"/>
      <c r="D2064" s="156" t="s">
        <v>3153</v>
      </c>
      <c r="E2064" s="156" t="s">
        <v>3143</v>
      </c>
      <c r="F2064" s="155"/>
      <c r="G2064" s="157" t="n">
        <v>2.7</v>
      </c>
      <c r="H2064" s="158"/>
      <c r="I2064" s="155"/>
      <c r="J2064" s="155"/>
      <c r="K2064" s="146"/>
    </row>
    <row r="2065">
      <c r="A2065" s="9" t="s">
        <v>3154</v>
      </c>
      <c r="B2065" s="10" t="s">
        <v>87</v>
      </c>
      <c r="C2065" s="10" t="s">
        <v>3155</v>
      </c>
      <c r="D2065" s="14" t="s">
        <v>3156</v>
      </c>
      <c r="E2065" s="10"/>
      <c r="F2065" s="10" t="s">
        <v>159</v>
      </c>
      <c r="G2065" s="111" t="n">
        <v>0.5</v>
      </c>
      <c r="H2065" s="152" t="n">
        <v>0</v>
      </c>
      <c r="I2065" s="111">
        <f>G2065*H2065</f>
      </c>
      <c r="J2065" s="153" t="s">
        <v>134</v>
      </c>
      <c r="K2065" s="146"/>
      <c r="Z2065" s="111">
        <f>IF(AQ2065="5",BJ2065,0)</f>
      </c>
      <c r="AB2065" s="111">
        <f>IF(AQ2065="1",BH2065,0)</f>
      </c>
      <c r="AC2065" s="111">
        <f>IF(AQ2065="1",BI2065,0)</f>
      </c>
      <c r="AD2065" s="111">
        <f>IF(AQ2065="7",BH2065,0)</f>
      </c>
      <c r="AE2065" s="111">
        <f>IF(AQ2065="7",BI2065,0)</f>
      </c>
      <c r="AF2065" s="111">
        <f>IF(AQ2065="2",BH2065,0)</f>
      </c>
      <c r="AG2065" s="111">
        <f>IF(AQ2065="2",BI2065,0)</f>
      </c>
      <c r="AH2065" s="111">
        <f>IF(AQ2065="0",BJ2065,0)</f>
      </c>
      <c r="AI2065" s="132" t="s">
        <v>87</v>
      </c>
      <c r="AJ2065" s="111">
        <f>IF(AN2065=0,I2065,0)</f>
      </c>
      <c r="AK2065" s="111">
        <f>IF(AN2065=12,I2065,0)</f>
      </c>
      <c r="AL2065" s="111">
        <f>IF(AN2065=21,I2065,0)</f>
      </c>
      <c r="AN2065" s="111" t="n">
        <v>21</v>
      </c>
      <c r="AO2065" s="111">
        <f>H2065*0.670236395</f>
      </c>
      <c r="AP2065" s="111">
        <f>H2065*(1-0.670236395)</f>
      </c>
      <c r="AQ2065" s="153" t="s">
        <v>130</v>
      </c>
      <c r="AV2065" s="111">
        <f>AW2065+AX2065</f>
      </c>
      <c r="AW2065" s="111">
        <f>G2065*AO2065</f>
      </c>
      <c r="AX2065" s="111">
        <f>G2065*AP2065</f>
      </c>
      <c r="AY2065" s="153" t="s">
        <v>3150</v>
      </c>
      <c r="AZ2065" s="153" t="s">
        <v>3151</v>
      </c>
      <c r="BA2065" s="132" t="s">
        <v>2990</v>
      </c>
      <c r="BC2065" s="111">
        <f>AW2065+AX2065</f>
      </c>
      <c r="BD2065" s="111">
        <f>H2065/(100-BE2065)*100</f>
      </c>
      <c r="BE2065" s="111" t="n">
        <v>0</v>
      </c>
      <c r="BF2065" s="111">
        <f>2065</f>
      </c>
      <c r="BH2065" s="111">
        <f>G2065*AO2065</f>
      </c>
      <c r="BI2065" s="111">
        <f>G2065*AP2065</f>
      </c>
      <c r="BJ2065" s="111">
        <f>G2065*H2065</f>
      </c>
      <c r="BK2065" s="111"/>
      <c r="BL2065" s="111" t="n">
        <v>38</v>
      </c>
      <c r="BW2065" s="111" t="n">
        <v>21</v>
      </c>
      <c r="BX2065" s="14" t="s">
        <v>3156</v>
      </c>
    </row>
    <row r="2066" customHeight="true" ht="13.5">
      <c r="A2066" s="159"/>
      <c r="C2066" s="160" t="s">
        <v>146</v>
      </c>
      <c r="D2066" s="161" t="s">
        <v>3157</v>
      </c>
      <c r="E2066" s="156"/>
      <c r="F2066" s="156"/>
      <c r="G2066" s="156"/>
      <c r="H2066" s="162"/>
      <c r="I2066" s="156"/>
      <c r="J2066" s="156"/>
      <c r="K2066" s="163"/>
    </row>
    <row r="2067">
      <c r="A2067" s="154"/>
      <c r="B2067" s="155"/>
      <c r="C2067" s="155"/>
      <c r="D2067" s="156" t="s">
        <v>3158</v>
      </c>
      <c r="E2067" s="156" t="s">
        <v>3159</v>
      </c>
      <c r="F2067" s="155"/>
      <c r="G2067" s="157" t="n">
        <v>0.5</v>
      </c>
      <c r="H2067" s="158"/>
      <c r="I2067" s="155"/>
      <c r="J2067" s="155"/>
      <c r="K2067" s="146"/>
    </row>
    <row r="2068">
      <c r="A2068" s="147" t="s">
        <v>4</v>
      </c>
      <c r="B2068" s="148" t="s">
        <v>87</v>
      </c>
      <c r="C2068" s="148" t="s">
        <v>450</v>
      </c>
      <c r="D2068" s="149" t="s">
        <v>3160</v>
      </c>
      <c r="E2068" s="148"/>
      <c r="F2068" s="150" t="s">
        <v>79</v>
      </c>
      <c r="G2068" s="150" t="s">
        <v>79</v>
      </c>
      <c r="H2068" s="151" t="s">
        <v>79</v>
      </c>
      <c r="I2068" s="117">
        <f>SUM(I2069:I2089)</f>
      </c>
      <c r="J2068" s="132" t="s">
        <v>4</v>
      </c>
      <c r="K2068" s="146"/>
      <c r="AI2068" s="132" t="s">
        <v>87</v>
      </c>
      <c r="AS2068" s="117">
        <f>SUM(AJ2069:AJ2089)</f>
      </c>
      <c r="AT2068" s="117">
        <f>SUM(AK2069:AK2089)</f>
      </c>
      <c r="AU2068" s="117">
        <f>SUM(AL2069:AL2089)</f>
      </c>
    </row>
    <row r="2069">
      <c r="A2069" s="9" t="s">
        <v>3161</v>
      </c>
      <c r="B2069" s="10" t="s">
        <v>87</v>
      </c>
      <c r="C2069" s="10" t="s">
        <v>3162</v>
      </c>
      <c r="D2069" s="14" t="s">
        <v>3163</v>
      </c>
      <c r="E2069" s="10"/>
      <c r="F2069" s="10" t="s">
        <v>159</v>
      </c>
      <c r="G2069" s="111" t="n">
        <v>46.06666</v>
      </c>
      <c r="H2069" s="152" t="n">
        <v>0</v>
      </c>
      <c r="I2069" s="111">
        <f>G2069*H2069</f>
      </c>
      <c r="J2069" s="153" t="s">
        <v>134</v>
      </c>
      <c r="K2069" s="146"/>
      <c r="Z2069" s="111">
        <f>IF(AQ2069="5",BJ2069,0)</f>
      </c>
      <c r="AB2069" s="111">
        <f>IF(AQ2069="1",BH2069,0)</f>
      </c>
      <c r="AC2069" s="111">
        <f>IF(AQ2069="1",BI2069,0)</f>
      </c>
      <c r="AD2069" s="111">
        <f>IF(AQ2069="7",BH2069,0)</f>
      </c>
      <c r="AE2069" s="111">
        <f>IF(AQ2069="7",BI2069,0)</f>
      </c>
      <c r="AF2069" s="111">
        <f>IF(AQ2069="2",BH2069,0)</f>
      </c>
      <c r="AG2069" s="111">
        <f>IF(AQ2069="2",BI2069,0)</f>
      </c>
      <c r="AH2069" s="111">
        <f>IF(AQ2069="0",BJ2069,0)</f>
      </c>
      <c r="AI2069" s="132" t="s">
        <v>87</v>
      </c>
      <c r="AJ2069" s="111">
        <f>IF(AN2069=0,I2069,0)</f>
      </c>
      <c r="AK2069" s="111">
        <f>IF(AN2069=12,I2069,0)</f>
      </c>
      <c r="AL2069" s="111">
        <f>IF(AN2069=21,I2069,0)</f>
      </c>
      <c r="AN2069" s="111" t="n">
        <v>21</v>
      </c>
      <c r="AO2069" s="111">
        <f>H2069*0.464157787</f>
      </c>
      <c r="AP2069" s="111">
        <f>H2069*(1-0.464157787)</f>
      </c>
      <c r="AQ2069" s="153" t="s">
        <v>130</v>
      </c>
      <c r="AV2069" s="111">
        <f>AW2069+AX2069</f>
      </c>
      <c r="AW2069" s="111">
        <f>G2069*AO2069</f>
      </c>
      <c r="AX2069" s="111">
        <f>G2069*AP2069</f>
      </c>
      <c r="AY2069" s="153" t="s">
        <v>3164</v>
      </c>
      <c r="AZ2069" s="153" t="s">
        <v>3165</v>
      </c>
      <c r="BA2069" s="132" t="s">
        <v>2990</v>
      </c>
      <c r="BC2069" s="111">
        <f>AW2069+AX2069</f>
      </c>
      <c r="BD2069" s="111">
        <f>H2069/(100-BE2069)*100</f>
      </c>
      <c r="BE2069" s="111" t="n">
        <v>0</v>
      </c>
      <c r="BF2069" s="111">
        <f>2069</f>
      </c>
      <c r="BH2069" s="111">
        <f>G2069*AO2069</f>
      </c>
      <c r="BI2069" s="111">
        <f>G2069*AP2069</f>
      </c>
      <c r="BJ2069" s="111">
        <f>G2069*H2069</f>
      </c>
      <c r="BK2069" s="111"/>
      <c r="BL2069" s="111" t="n">
        <v>45</v>
      </c>
      <c r="BW2069" s="111" t="n">
        <v>21</v>
      </c>
      <c r="BX2069" s="14" t="s">
        <v>3163</v>
      </c>
    </row>
    <row r="2070" customHeight="true" ht="13.5">
      <c r="A2070" s="159"/>
      <c r="C2070" s="160" t="s">
        <v>146</v>
      </c>
      <c r="D2070" s="161" t="s">
        <v>3166</v>
      </c>
      <c r="E2070" s="156"/>
      <c r="F2070" s="156"/>
      <c r="G2070" s="156"/>
      <c r="H2070" s="162"/>
      <c r="I2070" s="156"/>
      <c r="J2070" s="156"/>
      <c r="K2070" s="163"/>
    </row>
    <row r="2071">
      <c r="A2071" s="154"/>
      <c r="B2071" s="155"/>
      <c r="C2071" s="155"/>
      <c r="D2071" s="156" t="s">
        <v>3167</v>
      </c>
      <c r="E2071" s="156" t="s">
        <v>3032</v>
      </c>
      <c r="F2071" s="155"/>
      <c r="G2071" s="157" t="n">
        <v>3.52</v>
      </c>
      <c r="H2071" s="158"/>
      <c r="I2071" s="155"/>
      <c r="J2071" s="155"/>
      <c r="K2071" s="146"/>
    </row>
    <row r="2072">
      <c r="A2072" s="154"/>
      <c r="B2072" s="155"/>
      <c r="C2072" s="155"/>
      <c r="D2072" s="156" t="s">
        <v>3168</v>
      </c>
      <c r="E2072" s="156" t="s">
        <v>3034</v>
      </c>
      <c r="F2072" s="155"/>
      <c r="G2072" s="157" t="n">
        <v>14.145</v>
      </c>
      <c r="H2072" s="158"/>
      <c r="I2072" s="155"/>
      <c r="J2072" s="155"/>
      <c r="K2072" s="146"/>
    </row>
    <row r="2073">
      <c r="A2073" s="154"/>
      <c r="B2073" s="155"/>
      <c r="C2073" s="155"/>
      <c r="D2073" s="156" t="s">
        <v>3169</v>
      </c>
      <c r="E2073" s="156" t="s">
        <v>3036</v>
      </c>
      <c r="F2073" s="155"/>
      <c r="G2073" s="157" t="n">
        <v>22.68</v>
      </c>
      <c r="H2073" s="158"/>
      <c r="I2073" s="155"/>
      <c r="J2073" s="155"/>
      <c r="K2073" s="146"/>
    </row>
    <row r="2074">
      <c r="A2074" s="154"/>
      <c r="B2074" s="155"/>
      <c r="C2074" s="155"/>
      <c r="D2074" s="156" t="s">
        <v>3170</v>
      </c>
      <c r="E2074" s="156" t="s">
        <v>3015</v>
      </c>
      <c r="F2074" s="155"/>
      <c r="G2074" s="157" t="n">
        <v>0.84</v>
      </c>
      <c r="H2074" s="158"/>
      <c r="I2074" s="155"/>
      <c r="J2074" s="155"/>
      <c r="K2074" s="146"/>
    </row>
    <row r="2075">
      <c r="A2075" s="154"/>
      <c r="B2075" s="155"/>
      <c r="C2075" s="155"/>
      <c r="D2075" s="156" t="s">
        <v>3171</v>
      </c>
      <c r="E2075" s="156" t="s">
        <v>3030</v>
      </c>
      <c r="F2075" s="155"/>
      <c r="G2075" s="157" t="n">
        <v>3.0375</v>
      </c>
      <c r="H2075" s="158"/>
      <c r="I2075" s="155"/>
      <c r="J2075" s="155"/>
      <c r="K2075" s="146"/>
    </row>
    <row r="2076">
      <c r="A2076" s="154"/>
      <c r="B2076" s="155"/>
      <c r="C2076" s="155"/>
      <c r="D2076" s="156" t="s">
        <v>3172</v>
      </c>
      <c r="E2076" s="156" t="s">
        <v>3143</v>
      </c>
      <c r="F2076" s="155"/>
      <c r="G2076" s="157" t="n">
        <v>1.24416</v>
      </c>
      <c r="H2076" s="158"/>
      <c r="I2076" s="155"/>
      <c r="J2076" s="155"/>
      <c r="K2076" s="146"/>
    </row>
    <row r="2077">
      <c r="A2077" s="154"/>
      <c r="B2077" s="155"/>
      <c r="C2077" s="155"/>
      <c r="D2077" s="156" t="s">
        <v>3173</v>
      </c>
      <c r="E2077" s="156" t="s">
        <v>3145</v>
      </c>
      <c r="F2077" s="155"/>
      <c r="G2077" s="157" t="n">
        <v>0.6</v>
      </c>
      <c r="H2077" s="158"/>
      <c r="I2077" s="155"/>
      <c r="J2077" s="155"/>
      <c r="K2077" s="146"/>
    </row>
    <row r="2078">
      <c r="A2078" s="9" t="s">
        <v>3174</v>
      </c>
      <c r="B2078" s="10" t="s">
        <v>87</v>
      </c>
      <c r="C2078" s="10" t="s">
        <v>3175</v>
      </c>
      <c r="D2078" s="14" t="s">
        <v>3176</v>
      </c>
      <c r="E2078" s="10"/>
      <c r="F2078" s="10" t="s">
        <v>159</v>
      </c>
      <c r="G2078" s="111" t="n">
        <v>0.224</v>
      </c>
      <c r="H2078" s="152" t="n">
        <v>0</v>
      </c>
      <c r="I2078" s="111">
        <f>G2078*H2078</f>
      </c>
      <c r="J2078" s="153" t="s">
        <v>134</v>
      </c>
      <c r="K2078" s="146"/>
      <c r="Z2078" s="111">
        <f>IF(AQ2078="5",BJ2078,0)</f>
      </c>
      <c r="AB2078" s="111">
        <f>IF(AQ2078="1",BH2078,0)</f>
      </c>
      <c r="AC2078" s="111">
        <f>IF(AQ2078="1",BI2078,0)</f>
      </c>
      <c r="AD2078" s="111">
        <f>IF(AQ2078="7",BH2078,0)</f>
      </c>
      <c r="AE2078" s="111">
        <f>IF(AQ2078="7",BI2078,0)</f>
      </c>
      <c r="AF2078" s="111">
        <f>IF(AQ2078="2",BH2078,0)</f>
      </c>
      <c r="AG2078" s="111">
        <f>IF(AQ2078="2",BI2078,0)</f>
      </c>
      <c r="AH2078" s="111">
        <f>IF(AQ2078="0",BJ2078,0)</f>
      </c>
      <c r="AI2078" s="132" t="s">
        <v>87</v>
      </c>
      <c r="AJ2078" s="111">
        <f>IF(AN2078=0,I2078,0)</f>
      </c>
      <c r="AK2078" s="111">
        <f>IF(AN2078=12,I2078,0)</f>
      </c>
      <c r="AL2078" s="111">
        <f>IF(AN2078=21,I2078,0)</f>
      </c>
      <c r="AN2078" s="111" t="n">
        <v>21</v>
      </c>
      <c r="AO2078" s="111">
        <f>H2078*0.806813864</f>
      </c>
      <c r="AP2078" s="111">
        <f>H2078*(1-0.806813864)</f>
      </c>
      <c r="AQ2078" s="153" t="s">
        <v>130</v>
      </c>
      <c r="AV2078" s="111">
        <f>AW2078+AX2078</f>
      </c>
      <c r="AW2078" s="111">
        <f>G2078*AO2078</f>
      </c>
      <c r="AX2078" s="111">
        <f>G2078*AP2078</f>
      </c>
      <c r="AY2078" s="153" t="s">
        <v>3164</v>
      </c>
      <c r="AZ2078" s="153" t="s">
        <v>3165</v>
      </c>
      <c r="BA2078" s="132" t="s">
        <v>2990</v>
      </c>
      <c r="BC2078" s="111">
        <f>AW2078+AX2078</f>
      </c>
      <c r="BD2078" s="111">
        <f>H2078/(100-BE2078)*100</f>
      </c>
      <c r="BE2078" s="111" t="n">
        <v>0</v>
      </c>
      <c r="BF2078" s="111">
        <f>2078</f>
      </c>
      <c r="BH2078" s="111">
        <f>G2078*AO2078</f>
      </c>
      <c r="BI2078" s="111">
        <f>G2078*AP2078</f>
      </c>
      <c r="BJ2078" s="111">
        <f>G2078*H2078</f>
      </c>
      <c r="BK2078" s="111"/>
      <c r="BL2078" s="111" t="n">
        <v>45</v>
      </c>
      <c r="BW2078" s="111" t="n">
        <v>21</v>
      </c>
      <c r="BX2078" s="14" t="s">
        <v>3176</v>
      </c>
    </row>
    <row r="2079">
      <c r="A2079" s="154"/>
      <c r="B2079" s="155"/>
      <c r="C2079" s="155"/>
      <c r="D2079" s="156" t="s">
        <v>3177</v>
      </c>
      <c r="E2079" s="156" t="s">
        <v>3015</v>
      </c>
      <c r="F2079" s="155"/>
      <c r="G2079" s="157" t="n">
        <v>0.224</v>
      </c>
      <c r="H2079" s="158"/>
      <c r="I2079" s="155"/>
      <c r="J2079" s="155"/>
      <c r="K2079" s="146"/>
    </row>
    <row r="2080">
      <c r="A2080" s="9" t="s">
        <v>3178</v>
      </c>
      <c r="B2080" s="10" t="s">
        <v>87</v>
      </c>
      <c r="C2080" s="10" t="s">
        <v>3179</v>
      </c>
      <c r="D2080" s="14" t="s">
        <v>3180</v>
      </c>
      <c r="E2080" s="10"/>
      <c r="F2080" s="10" t="s">
        <v>159</v>
      </c>
      <c r="G2080" s="111" t="n">
        <v>2.45888</v>
      </c>
      <c r="H2080" s="152" t="n">
        <v>0</v>
      </c>
      <c r="I2080" s="111">
        <f>G2080*H2080</f>
      </c>
      <c r="J2080" s="153" t="s">
        <v>134</v>
      </c>
      <c r="K2080" s="146"/>
      <c r="Z2080" s="111">
        <f>IF(AQ2080="5",BJ2080,0)</f>
      </c>
      <c r="AB2080" s="111">
        <f>IF(AQ2080="1",BH2080,0)</f>
      </c>
      <c r="AC2080" s="111">
        <f>IF(AQ2080="1",BI2080,0)</f>
      </c>
      <c r="AD2080" s="111">
        <f>IF(AQ2080="7",BH2080,0)</f>
      </c>
      <c r="AE2080" s="111">
        <f>IF(AQ2080="7",BI2080,0)</f>
      </c>
      <c r="AF2080" s="111">
        <f>IF(AQ2080="2",BH2080,0)</f>
      </c>
      <c r="AG2080" s="111">
        <f>IF(AQ2080="2",BI2080,0)</f>
      </c>
      <c r="AH2080" s="111">
        <f>IF(AQ2080="0",BJ2080,0)</f>
      </c>
      <c r="AI2080" s="132" t="s">
        <v>87</v>
      </c>
      <c r="AJ2080" s="111">
        <f>IF(AN2080=0,I2080,0)</f>
      </c>
      <c r="AK2080" s="111">
        <f>IF(AN2080=12,I2080,0)</f>
      </c>
      <c r="AL2080" s="111">
        <f>IF(AN2080=21,I2080,0)</f>
      </c>
      <c r="AN2080" s="111" t="n">
        <v>21</v>
      </c>
      <c r="AO2080" s="111">
        <f>H2080*0.832598829</f>
      </c>
      <c r="AP2080" s="111">
        <f>H2080*(1-0.832598829)</f>
      </c>
      <c r="AQ2080" s="153" t="s">
        <v>130</v>
      </c>
      <c r="AV2080" s="111">
        <f>AW2080+AX2080</f>
      </c>
      <c r="AW2080" s="111">
        <f>G2080*AO2080</f>
      </c>
      <c r="AX2080" s="111">
        <f>G2080*AP2080</f>
      </c>
      <c r="AY2080" s="153" t="s">
        <v>3164</v>
      </c>
      <c r="AZ2080" s="153" t="s">
        <v>3165</v>
      </c>
      <c r="BA2080" s="132" t="s">
        <v>2990</v>
      </c>
      <c r="BC2080" s="111">
        <f>AW2080+AX2080</f>
      </c>
      <c r="BD2080" s="111">
        <f>H2080/(100-BE2080)*100</f>
      </c>
      <c r="BE2080" s="111" t="n">
        <v>0</v>
      </c>
      <c r="BF2080" s="111">
        <f>2080</f>
      </c>
      <c r="BH2080" s="111">
        <f>G2080*AO2080</f>
      </c>
      <c r="BI2080" s="111">
        <f>G2080*AP2080</f>
      </c>
      <c r="BJ2080" s="111">
        <f>G2080*H2080</f>
      </c>
      <c r="BK2080" s="111"/>
      <c r="BL2080" s="111" t="n">
        <v>45</v>
      </c>
      <c r="BW2080" s="111" t="n">
        <v>21</v>
      </c>
      <c r="BX2080" s="14" t="s">
        <v>3180</v>
      </c>
    </row>
    <row r="2081">
      <c r="A2081" s="154"/>
      <c r="B2081" s="155"/>
      <c r="C2081" s="155"/>
      <c r="D2081" s="156" t="s">
        <v>3181</v>
      </c>
      <c r="E2081" s="156" t="s">
        <v>3143</v>
      </c>
      <c r="F2081" s="155"/>
      <c r="G2081" s="157" t="n">
        <v>1.65888</v>
      </c>
      <c r="H2081" s="158"/>
      <c r="I2081" s="155"/>
      <c r="J2081" s="155"/>
      <c r="K2081" s="146"/>
    </row>
    <row r="2082">
      <c r="A2082" s="154"/>
      <c r="B2082" s="155"/>
      <c r="C2082" s="155"/>
      <c r="D2082" s="156" t="s">
        <v>2820</v>
      </c>
      <c r="E2082" s="156" t="s">
        <v>3145</v>
      </c>
      <c r="F2082" s="155"/>
      <c r="G2082" s="157" t="n">
        <v>0.8</v>
      </c>
      <c r="H2082" s="158"/>
      <c r="I2082" s="155"/>
      <c r="J2082" s="155"/>
      <c r="K2082" s="146"/>
    </row>
    <row r="2083">
      <c r="A2083" s="9" t="s">
        <v>3182</v>
      </c>
      <c r="B2083" s="10" t="s">
        <v>87</v>
      </c>
      <c r="C2083" s="10" t="s">
        <v>3183</v>
      </c>
      <c r="D2083" s="14" t="s">
        <v>3184</v>
      </c>
      <c r="E2083" s="10"/>
      <c r="F2083" s="10" t="s">
        <v>145</v>
      </c>
      <c r="G2083" s="111" t="n">
        <v>4.90304</v>
      </c>
      <c r="H2083" s="152" t="n">
        <v>0</v>
      </c>
      <c r="I2083" s="111">
        <f>G2083*H2083</f>
      </c>
      <c r="J2083" s="153" t="s">
        <v>134</v>
      </c>
      <c r="K2083" s="146"/>
      <c r="Z2083" s="111">
        <f>IF(AQ2083="5",BJ2083,0)</f>
      </c>
      <c r="AB2083" s="111">
        <f>IF(AQ2083="1",BH2083,0)</f>
      </c>
      <c r="AC2083" s="111">
        <f>IF(AQ2083="1",BI2083,0)</f>
      </c>
      <c r="AD2083" s="111">
        <f>IF(AQ2083="7",BH2083,0)</f>
      </c>
      <c r="AE2083" s="111">
        <f>IF(AQ2083="7",BI2083,0)</f>
      </c>
      <c r="AF2083" s="111">
        <f>IF(AQ2083="2",BH2083,0)</f>
      </c>
      <c r="AG2083" s="111">
        <f>IF(AQ2083="2",BI2083,0)</f>
      </c>
      <c r="AH2083" s="111">
        <f>IF(AQ2083="0",BJ2083,0)</f>
      </c>
      <c r="AI2083" s="132" t="s">
        <v>87</v>
      </c>
      <c r="AJ2083" s="111">
        <f>IF(AN2083=0,I2083,0)</f>
      </c>
      <c r="AK2083" s="111">
        <f>IF(AN2083=12,I2083,0)</f>
      </c>
      <c r="AL2083" s="111">
        <f>IF(AN2083=21,I2083,0)</f>
      </c>
      <c r="AN2083" s="111" t="n">
        <v>21</v>
      </c>
      <c r="AO2083" s="111">
        <f>H2083*0.15904</f>
      </c>
      <c r="AP2083" s="111">
        <f>H2083*(1-0.15904)</f>
      </c>
      <c r="AQ2083" s="153" t="s">
        <v>130</v>
      </c>
      <c r="AV2083" s="111">
        <f>AW2083+AX2083</f>
      </c>
      <c r="AW2083" s="111">
        <f>G2083*AO2083</f>
      </c>
      <c r="AX2083" s="111">
        <f>G2083*AP2083</f>
      </c>
      <c r="AY2083" s="153" t="s">
        <v>3164</v>
      </c>
      <c r="AZ2083" s="153" t="s">
        <v>3165</v>
      </c>
      <c r="BA2083" s="132" t="s">
        <v>2990</v>
      </c>
      <c r="BC2083" s="111">
        <f>AW2083+AX2083</f>
      </c>
      <c r="BD2083" s="111">
        <f>H2083/(100-BE2083)*100</f>
      </c>
      <c r="BE2083" s="111" t="n">
        <v>0</v>
      </c>
      <c r="BF2083" s="111">
        <f>2083</f>
      </c>
      <c r="BH2083" s="111">
        <f>G2083*AO2083</f>
      </c>
      <c r="BI2083" s="111">
        <f>G2083*AP2083</f>
      </c>
      <c r="BJ2083" s="111">
        <f>G2083*H2083</f>
      </c>
      <c r="BK2083" s="111"/>
      <c r="BL2083" s="111" t="n">
        <v>45</v>
      </c>
      <c r="BW2083" s="111" t="n">
        <v>21</v>
      </c>
      <c r="BX2083" s="14" t="s">
        <v>3184</v>
      </c>
    </row>
    <row r="2084">
      <c r="A2084" s="154"/>
      <c r="B2084" s="155"/>
      <c r="C2084" s="155"/>
      <c r="D2084" s="156" t="s">
        <v>3185</v>
      </c>
      <c r="E2084" s="156" t="s">
        <v>3015</v>
      </c>
      <c r="F2084" s="155"/>
      <c r="G2084" s="157" t="n">
        <v>0.6</v>
      </c>
      <c r="H2084" s="158"/>
      <c r="I2084" s="155"/>
      <c r="J2084" s="155"/>
      <c r="K2084" s="146"/>
    </row>
    <row r="2085">
      <c r="A2085" s="154"/>
      <c r="B2085" s="155"/>
      <c r="C2085" s="155"/>
      <c r="D2085" s="156" t="s">
        <v>3186</v>
      </c>
      <c r="E2085" s="156" t="s">
        <v>3143</v>
      </c>
      <c r="F2085" s="155"/>
      <c r="G2085" s="157" t="n">
        <v>2.90304</v>
      </c>
      <c r="H2085" s="158"/>
      <c r="I2085" s="155"/>
      <c r="J2085" s="155"/>
      <c r="K2085" s="146"/>
    </row>
    <row r="2086">
      <c r="A2086" s="154"/>
      <c r="B2086" s="155"/>
      <c r="C2086" s="155"/>
      <c r="D2086" s="156" t="s">
        <v>3187</v>
      </c>
      <c r="E2086" s="156" t="s">
        <v>3145</v>
      </c>
      <c r="F2086" s="155"/>
      <c r="G2086" s="157" t="n">
        <v>1.4</v>
      </c>
      <c r="H2086" s="158"/>
      <c r="I2086" s="155"/>
      <c r="J2086" s="155"/>
      <c r="K2086" s="146"/>
    </row>
    <row r="2087">
      <c r="A2087" s="9" t="s">
        <v>3188</v>
      </c>
      <c r="B2087" s="10" t="s">
        <v>87</v>
      </c>
      <c r="C2087" s="10" t="s">
        <v>3189</v>
      </c>
      <c r="D2087" s="14" t="s">
        <v>3190</v>
      </c>
      <c r="E2087" s="10"/>
      <c r="F2087" s="10" t="s">
        <v>159</v>
      </c>
      <c r="G2087" s="111" t="n">
        <v>103.85845</v>
      </c>
      <c r="H2087" s="152" t="n">
        <v>0</v>
      </c>
      <c r="I2087" s="111">
        <f>G2087*H2087</f>
      </c>
      <c r="J2087" s="153" t="s">
        <v>134</v>
      </c>
      <c r="K2087" s="146"/>
      <c r="Z2087" s="111">
        <f>IF(AQ2087="5",BJ2087,0)</f>
      </c>
      <c r="AB2087" s="111">
        <f>IF(AQ2087="1",BH2087,0)</f>
      </c>
      <c r="AC2087" s="111">
        <f>IF(AQ2087="1",BI2087,0)</f>
      </c>
      <c r="AD2087" s="111">
        <f>IF(AQ2087="7",BH2087,0)</f>
      </c>
      <c r="AE2087" s="111">
        <f>IF(AQ2087="7",BI2087,0)</f>
      </c>
      <c r="AF2087" s="111">
        <f>IF(AQ2087="2",BH2087,0)</f>
      </c>
      <c r="AG2087" s="111">
        <f>IF(AQ2087="2",BI2087,0)</f>
      </c>
      <c r="AH2087" s="111">
        <f>IF(AQ2087="0",BJ2087,0)</f>
      </c>
      <c r="AI2087" s="132" t="s">
        <v>87</v>
      </c>
      <c r="AJ2087" s="111">
        <f>IF(AN2087=0,I2087,0)</f>
      </c>
      <c r="AK2087" s="111">
        <f>IF(AN2087=12,I2087,0)</f>
      </c>
      <c r="AL2087" s="111">
        <f>IF(AN2087=21,I2087,0)</f>
      </c>
      <c r="AN2087" s="111" t="n">
        <v>21</v>
      </c>
      <c r="AO2087" s="111">
        <f>H2087*0.910629235</f>
      </c>
      <c r="AP2087" s="111">
        <f>H2087*(1-0.910629235)</f>
      </c>
      <c r="AQ2087" s="153" t="s">
        <v>130</v>
      </c>
      <c r="AV2087" s="111">
        <f>AW2087+AX2087</f>
      </c>
      <c r="AW2087" s="111">
        <f>G2087*AO2087</f>
      </c>
      <c r="AX2087" s="111">
        <f>G2087*AP2087</f>
      </c>
      <c r="AY2087" s="153" t="s">
        <v>3164</v>
      </c>
      <c r="AZ2087" s="153" t="s">
        <v>3165</v>
      </c>
      <c r="BA2087" s="132" t="s">
        <v>2990</v>
      </c>
      <c r="BC2087" s="111">
        <f>AW2087+AX2087</f>
      </c>
      <c r="BD2087" s="111">
        <f>H2087/(100-BE2087)*100</f>
      </c>
      <c r="BE2087" s="111" t="n">
        <v>0</v>
      </c>
      <c r="BF2087" s="111">
        <f>2087</f>
      </c>
      <c r="BH2087" s="111">
        <f>G2087*AO2087</f>
      </c>
      <c r="BI2087" s="111">
        <f>G2087*AP2087</f>
      </c>
      <c r="BJ2087" s="111">
        <f>G2087*H2087</f>
      </c>
      <c r="BK2087" s="111"/>
      <c r="BL2087" s="111" t="n">
        <v>45</v>
      </c>
      <c r="BW2087" s="111" t="n">
        <v>21</v>
      </c>
      <c r="BX2087" s="14" t="s">
        <v>3190</v>
      </c>
    </row>
    <row r="2088">
      <c r="A2088" s="154"/>
      <c r="B2088" s="155"/>
      <c r="C2088" s="155"/>
      <c r="D2088" s="156" t="s">
        <v>3191</v>
      </c>
      <c r="E2088" s="156" t="s">
        <v>3085</v>
      </c>
      <c r="F2088" s="155"/>
      <c r="G2088" s="157" t="n">
        <v>103.85845</v>
      </c>
      <c r="H2088" s="158"/>
      <c r="I2088" s="155"/>
      <c r="J2088" s="155"/>
      <c r="K2088" s="146"/>
    </row>
    <row r="2089">
      <c r="A2089" s="9" t="s">
        <v>3192</v>
      </c>
      <c r="B2089" s="10" t="s">
        <v>87</v>
      </c>
      <c r="C2089" s="10" t="s">
        <v>3193</v>
      </c>
      <c r="D2089" s="14" t="s">
        <v>3194</v>
      </c>
      <c r="E2089" s="10"/>
      <c r="F2089" s="10" t="s">
        <v>159</v>
      </c>
      <c r="G2089" s="111" t="n">
        <v>156.18325</v>
      </c>
      <c r="H2089" s="152" t="n">
        <v>0</v>
      </c>
      <c r="I2089" s="111">
        <f>G2089*H2089</f>
      </c>
      <c r="J2089" s="153" t="s">
        <v>134</v>
      </c>
      <c r="K2089" s="146"/>
      <c r="Z2089" s="111">
        <f>IF(AQ2089="5",BJ2089,0)</f>
      </c>
      <c r="AB2089" s="111">
        <f>IF(AQ2089="1",BH2089,0)</f>
      </c>
      <c r="AC2089" s="111">
        <f>IF(AQ2089="1",BI2089,0)</f>
      </c>
      <c r="AD2089" s="111">
        <f>IF(AQ2089="7",BH2089,0)</f>
      </c>
      <c r="AE2089" s="111">
        <f>IF(AQ2089="7",BI2089,0)</f>
      </c>
      <c r="AF2089" s="111">
        <f>IF(AQ2089="2",BH2089,0)</f>
      </c>
      <c r="AG2089" s="111">
        <f>IF(AQ2089="2",BI2089,0)</f>
      </c>
      <c r="AH2089" s="111">
        <f>IF(AQ2089="0",BJ2089,0)</f>
      </c>
      <c r="AI2089" s="132" t="s">
        <v>87</v>
      </c>
      <c r="AJ2089" s="111">
        <f>IF(AN2089=0,I2089,0)</f>
      </c>
      <c r="AK2089" s="111">
        <f>IF(AN2089=12,I2089,0)</f>
      </c>
      <c r="AL2089" s="111">
        <f>IF(AN2089=21,I2089,0)</f>
      </c>
      <c r="AN2089" s="111" t="n">
        <v>21</v>
      </c>
      <c r="AO2089" s="111">
        <f>H2089*0.857632857</f>
      </c>
      <c r="AP2089" s="111">
        <f>H2089*(1-0.857632857)</f>
      </c>
      <c r="AQ2089" s="153" t="s">
        <v>130</v>
      </c>
      <c r="AV2089" s="111">
        <f>AW2089+AX2089</f>
      </c>
      <c r="AW2089" s="111">
        <f>G2089*AO2089</f>
      </c>
      <c r="AX2089" s="111">
        <f>G2089*AP2089</f>
      </c>
      <c r="AY2089" s="153" t="s">
        <v>3164</v>
      </c>
      <c r="AZ2089" s="153" t="s">
        <v>3165</v>
      </c>
      <c r="BA2089" s="132" t="s">
        <v>2990</v>
      </c>
      <c r="BC2089" s="111">
        <f>AW2089+AX2089</f>
      </c>
      <c r="BD2089" s="111">
        <f>H2089/(100-BE2089)*100</f>
      </c>
      <c r="BE2089" s="111" t="n">
        <v>0</v>
      </c>
      <c r="BF2089" s="111">
        <f>2089</f>
      </c>
      <c r="BH2089" s="111">
        <f>G2089*AO2089</f>
      </c>
      <c r="BI2089" s="111">
        <f>G2089*AP2089</f>
      </c>
      <c r="BJ2089" s="111">
        <f>G2089*H2089</f>
      </c>
      <c r="BK2089" s="111"/>
      <c r="BL2089" s="111" t="n">
        <v>45</v>
      </c>
      <c r="BW2089" s="111" t="n">
        <v>21</v>
      </c>
      <c r="BX2089" s="14" t="s">
        <v>3194</v>
      </c>
    </row>
    <row r="2090" customHeight="true" ht="13.5">
      <c r="A2090" s="159"/>
      <c r="C2090" s="160" t="s">
        <v>146</v>
      </c>
      <c r="D2090" s="161" t="s">
        <v>3166</v>
      </c>
      <c r="E2090" s="156"/>
      <c r="F2090" s="156"/>
      <c r="G2090" s="156"/>
      <c r="H2090" s="162"/>
      <c r="I2090" s="156"/>
      <c r="J2090" s="156"/>
      <c r="K2090" s="163"/>
    </row>
    <row r="2091">
      <c r="A2091" s="154"/>
      <c r="B2091" s="155"/>
      <c r="C2091" s="155"/>
      <c r="D2091" s="156" t="s">
        <v>3195</v>
      </c>
      <c r="E2091" s="156" t="s">
        <v>3085</v>
      </c>
      <c r="F2091" s="155"/>
      <c r="G2091" s="157" t="n">
        <v>156.18325</v>
      </c>
      <c r="H2091" s="158"/>
      <c r="I2091" s="155"/>
      <c r="J2091" s="155"/>
      <c r="K2091" s="146"/>
    </row>
    <row r="2092">
      <c r="A2092" s="147" t="s">
        <v>4</v>
      </c>
      <c r="B2092" s="148" t="s">
        <v>87</v>
      </c>
      <c r="C2092" s="148" t="s">
        <v>525</v>
      </c>
      <c r="D2092" s="149" t="s">
        <v>934</v>
      </c>
      <c r="E2092" s="148"/>
      <c r="F2092" s="150" t="s">
        <v>79</v>
      </c>
      <c r="G2092" s="150" t="s">
        <v>79</v>
      </c>
      <c r="H2092" s="151" t="s">
        <v>79</v>
      </c>
      <c r="I2092" s="117">
        <f>SUM(I2093:I2093)</f>
      </c>
      <c r="J2092" s="132" t="s">
        <v>4</v>
      </c>
      <c r="K2092" s="146"/>
      <c r="AI2092" s="132" t="s">
        <v>87</v>
      </c>
      <c r="AS2092" s="117">
        <f>SUM(AJ2093:AJ2093)</f>
      </c>
      <c r="AT2092" s="117">
        <f>SUM(AK2093:AK2093)</f>
      </c>
      <c r="AU2092" s="117">
        <f>SUM(AL2093:AL2093)</f>
      </c>
    </row>
    <row r="2093">
      <c r="A2093" s="9" t="s">
        <v>3196</v>
      </c>
      <c r="B2093" s="10" t="s">
        <v>87</v>
      </c>
      <c r="C2093" s="10" t="s">
        <v>3197</v>
      </c>
      <c r="D2093" s="14" t="s">
        <v>3198</v>
      </c>
      <c r="E2093" s="10"/>
      <c r="F2093" s="10" t="s">
        <v>145</v>
      </c>
      <c r="G2093" s="111" t="n">
        <v>3</v>
      </c>
      <c r="H2093" s="152" t="n">
        <v>0</v>
      </c>
      <c r="I2093" s="111">
        <f>G2093*H2093</f>
      </c>
      <c r="J2093" s="153" t="s">
        <v>134</v>
      </c>
      <c r="K2093" s="146"/>
      <c r="Z2093" s="111">
        <f>IF(AQ2093="5",BJ2093,0)</f>
      </c>
      <c r="AB2093" s="111">
        <f>IF(AQ2093="1",BH2093,0)</f>
      </c>
      <c r="AC2093" s="111">
        <f>IF(AQ2093="1",BI2093,0)</f>
      </c>
      <c r="AD2093" s="111">
        <f>IF(AQ2093="7",BH2093,0)</f>
      </c>
      <c r="AE2093" s="111">
        <f>IF(AQ2093="7",BI2093,0)</f>
      </c>
      <c r="AF2093" s="111">
        <f>IF(AQ2093="2",BH2093,0)</f>
      </c>
      <c r="AG2093" s="111">
        <f>IF(AQ2093="2",BI2093,0)</f>
      </c>
      <c r="AH2093" s="111">
        <f>IF(AQ2093="0",BJ2093,0)</f>
      </c>
      <c r="AI2093" s="132" t="s">
        <v>87</v>
      </c>
      <c r="AJ2093" s="111">
        <f>IF(AN2093=0,I2093,0)</f>
      </c>
      <c r="AK2093" s="111">
        <f>IF(AN2093=12,I2093,0)</f>
      </c>
      <c r="AL2093" s="111">
        <f>IF(AN2093=21,I2093,0)</f>
      </c>
      <c r="AN2093" s="111" t="n">
        <v>21</v>
      </c>
      <c r="AO2093" s="111">
        <f>H2093*0.334331654</f>
      </c>
      <c r="AP2093" s="111">
        <f>H2093*(1-0.334331654)</f>
      </c>
      <c r="AQ2093" s="153" t="s">
        <v>130</v>
      </c>
      <c r="AV2093" s="111">
        <f>AW2093+AX2093</f>
      </c>
      <c r="AW2093" s="111">
        <f>G2093*AO2093</f>
      </c>
      <c r="AX2093" s="111">
        <f>G2093*AP2093</f>
      </c>
      <c r="AY2093" s="153" t="s">
        <v>938</v>
      </c>
      <c r="AZ2093" s="153" t="s">
        <v>3199</v>
      </c>
      <c r="BA2093" s="132" t="s">
        <v>2990</v>
      </c>
      <c r="BC2093" s="111">
        <f>AW2093+AX2093</f>
      </c>
      <c r="BD2093" s="111">
        <f>H2093/(100-BE2093)*100</f>
      </c>
      <c r="BE2093" s="111" t="n">
        <v>0</v>
      </c>
      <c r="BF2093" s="111">
        <f>2093</f>
      </c>
      <c r="BH2093" s="111">
        <f>G2093*AO2093</f>
      </c>
      <c r="BI2093" s="111">
        <f>G2093*AP2093</f>
      </c>
      <c r="BJ2093" s="111">
        <f>G2093*H2093</f>
      </c>
      <c r="BK2093" s="111"/>
      <c r="BL2093" s="111" t="n">
        <v>59</v>
      </c>
      <c r="BW2093" s="111" t="n">
        <v>21</v>
      </c>
      <c r="BX2093" s="14" t="s">
        <v>3198</v>
      </c>
    </row>
    <row r="2094">
      <c r="A2094" s="154"/>
      <c r="B2094" s="155"/>
      <c r="C2094" s="155"/>
      <c r="D2094" s="156" t="s">
        <v>3200</v>
      </c>
      <c r="E2094" s="156" t="s">
        <v>4</v>
      </c>
      <c r="F2094" s="155"/>
      <c r="G2094" s="157" t="n">
        <v>3</v>
      </c>
      <c r="H2094" s="158"/>
      <c r="I2094" s="155"/>
      <c r="J2094" s="155"/>
      <c r="K2094" s="146"/>
    </row>
    <row r="2095">
      <c r="A2095" s="147" t="s">
        <v>4</v>
      </c>
      <c r="B2095" s="148" t="s">
        <v>87</v>
      </c>
      <c r="C2095" s="148" t="s">
        <v>710</v>
      </c>
      <c r="D2095" s="149" t="s">
        <v>3201</v>
      </c>
      <c r="E2095" s="148"/>
      <c r="F2095" s="150" t="s">
        <v>79</v>
      </c>
      <c r="G2095" s="150" t="s">
        <v>79</v>
      </c>
      <c r="H2095" s="151" t="s">
        <v>79</v>
      </c>
      <c r="I2095" s="117">
        <f>SUM(I2096:I2108)</f>
      </c>
      <c r="J2095" s="132" t="s">
        <v>4</v>
      </c>
      <c r="K2095" s="146"/>
      <c r="AI2095" s="132" t="s">
        <v>87</v>
      </c>
      <c r="AS2095" s="117">
        <f>SUM(AJ2096:AJ2108)</f>
      </c>
      <c r="AT2095" s="117">
        <f>SUM(AK2096:AK2108)</f>
      </c>
      <c r="AU2095" s="117">
        <f>SUM(AL2096:AL2108)</f>
      </c>
    </row>
    <row r="2096">
      <c r="A2096" s="9" t="s">
        <v>3202</v>
      </c>
      <c r="B2096" s="10" t="s">
        <v>87</v>
      </c>
      <c r="C2096" s="10" t="s">
        <v>3203</v>
      </c>
      <c r="D2096" s="14" t="s">
        <v>3204</v>
      </c>
      <c r="E2096" s="10"/>
      <c r="F2096" s="10" t="s">
        <v>282</v>
      </c>
      <c r="G2096" s="111" t="n">
        <v>34</v>
      </c>
      <c r="H2096" s="152" t="n">
        <v>0</v>
      </c>
      <c r="I2096" s="111">
        <f>G2096*H2096</f>
      </c>
      <c r="J2096" s="153" t="s">
        <v>134</v>
      </c>
      <c r="K2096" s="146"/>
      <c r="Z2096" s="111">
        <f>IF(AQ2096="5",BJ2096,0)</f>
      </c>
      <c r="AB2096" s="111">
        <f>IF(AQ2096="1",BH2096,0)</f>
      </c>
      <c r="AC2096" s="111">
        <f>IF(AQ2096="1",BI2096,0)</f>
      </c>
      <c r="AD2096" s="111">
        <f>IF(AQ2096="7",BH2096,0)</f>
      </c>
      <c r="AE2096" s="111">
        <f>IF(AQ2096="7",BI2096,0)</f>
      </c>
      <c r="AF2096" s="111">
        <f>IF(AQ2096="2",BH2096,0)</f>
      </c>
      <c r="AG2096" s="111">
        <f>IF(AQ2096="2",BI2096,0)</f>
      </c>
      <c r="AH2096" s="111">
        <f>IF(AQ2096="0",BJ2096,0)</f>
      </c>
      <c r="AI2096" s="132" t="s">
        <v>87</v>
      </c>
      <c r="AJ2096" s="111">
        <f>IF(AN2096=0,I2096,0)</f>
      </c>
      <c r="AK2096" s="111">
        <f>IF(AN2096=12,I2096,0)</f>
      </c>
      <c r="AL2096" s="111">
        <f>IF(AN2096=21,I2096,0)</f>
      </c>
      <c r="AN2096" s="111" t="n">
        <v>21</v>
      </c>
      <c r="AO2096" s="111">
        <f>H2096*0</f>
      </c>
      <c r="AP2096" s="111">
        <f>H2096*(1-0)</f>
      </c>
      <c r="AQ2096" s="153" t="s">
        <v>130</v>
      </c>
      <c r="AV2096" s="111">
        <f>AW2096+AX2096</f>
      </c>
      <c r="AW2096" s="111">
        <f>G2096*AO2096</f>
      </c>
      <c r="AX2096" s="111">
        <f>G2096*AP2096</f>
      </c>
      <c r="AY2096" s="153" t="s">
        <v>3205</v>
      </c>
      <c r="AZ2096" s="153" t="s">
        <v>3206</v>
      </c>
      <c r="BA2096" s="132" t="s">
        <v>2990</v>
      </c>
      <c r="BC2096" s="111">
        <f>AW2096+AX2096</f>
      </c>
      <c r="BD2096" s="111">
        <f>H2096/(100-BE2096)*100</f>
      </c>
      <c r="BE2096" s="111" t="n">
        <v>0</v>
      </c>
      <c r="BF2096" s="111">
        <f>2096</f>
      </c>
      <c r="BH2096" s="111">
        <f>G2096*AO2096</f>
      </c>
      <c r="BI2096" s="111">
        <f>G2096*AP2096</f>
      </c>
      <c r="BJ2096" s="111">
        <f>G2096*H2096</f>
      </c>
      <c r="BK2096" s="111"/>
      <c r="BL2096" s="111" t="n">
        <v>87</v>
      </c>
      <c r="BW2096" s="111" t="n">
        <v>21</v>
      </c>
      <c r="BX2096" s="14" t="s">
        <v>3204</v>
      </c>
    </row>
    <row r="2097">
      <c r="A2097" s="154"/>
      <c r="B2097" s="155"/>
      <c r="C2097" s="155"/>
      <c r="D2097" s="156" t="s">
        <v>3207</v>
      </c>
      <c r="E2097" s="156" t="s">
        <v>4</v>
      </c>
      <c r="F2097" s="155"/>
      <c r="G2097" s="157" t="n">
        <v>34</v>
      </c>
      <c r="H2097" s="158"/>
      <c r="I2097" s="155"/>
      <c r="J2097" s="155"/>
      <c r="K2097" s="146"/>
    </row>
    <row r="2098">
      <c r="A2098" s="9" t="s">
        <v>3208</v>
      </c>
      <c r="B2098" s="10" t="s">
        <v>87</v>
      </c>
      <c r="C2098" s="10" t="s">
        <v>3209</v>
      </c>
      <c r="D2098" s="14" t="s">
        <v>3210</v>
      </c>
      <c r="E2098" s="10"/>
      <c r="F2098" s="10" t="s">
        <v>282</v>
      </c>
      <c r="G2098" s="111" t="n">
        <v>26</v>
      </c>
      <c r="H2098" s="152" t="n">
        <v>0</v>
      </c>
      <c r="I2098" s="111">
        <f>G2098*H2098</f>
      </c>
      <c r="J2098" s="153" t="s">
        <v>134</v>
      </c>
      <c r="K2098" s="146"/>
      <c r="Z2098" s="111">
        <f>IF(AQ2098="5",BJ2098,0)</f>
      </c>
      <c r="AB2098" s="111">
        <f>IF(AQ2098="1",BH2098,0)</f>
      </c>
      <c r="AC2098" s="111">
        <f>IF(AQ2098="1",BI2098,0)</f>
      </c>
      <c r="AD2098" s="111">
        <f>IF(AQ2098="7",BH2098,0)</f>
      </c>
      <c r="AE2098" s="111">
        <f>IF(AQ2098="7",BI2098,0)</f>
      </c>
      <c r="AF2098" s="111">
        <f>IF(AQ2098="2",BH2098,0)</f>
      </c>
      <c r="AG2098" s="111">
        <f>IF(AQ2098="2",BI2098,0)</f>
      </c>
      <c r="AH2098" s="111">
        <f>IF(AQ2098="0",BJ2098,0)</f>
      </c>
      <c r="AI2098" s="132" t="s">
        <v>87</v>
      </c>
      <c r="AJ2098" s="111">
        <f>IF(AN2098=0,I2098,0)</f>
      </c>
      <c r="AK2098" s="111">
        <f>IF(AN2098=12,I2098,0)</f>
      </c>
      <c r="AL2098" s="111">
        <f>IF(AN2098=21,I2098,0)</f>
      </c>
      <c r="AN2098" s="111" t="n">
        <v>21</v>
      </c>
      <c r="AO2098" s="111">
        <f>H2098*0</f>
      </c>
      <c r="AP2098" s="111">
        <f>H2098*(1-0)</f>
      </c>
      <c r="AQ2098" s="153" t="s">
        <v>130</v>
      </c>
      <c r="AV2098" s="111">
        <f>AW2098+AX2098</f>
      </c>
      <c r="AW2098" s="111">
        <f>G2098*AO2098</f>
      </c>
      <c r="AX2098" s="111">
        <f>G2098*AP2098</f>
      </c>
      <c r="AY2098" s="153" t="s">
        <v>3205</v>
      </c>
      <c r="AZ2098" s="153" t="s">
        <v>3206</v>
      </c>
      <c r="BA2098" s="132" t="s">
        <v>2990</v>
      </c>
      <c r="BC2098" s="111">
        <f>AW2098+AX2098</f>
      </c>
      <c r="BD2098" s="111">
        <f>H2098/(100-BE2098)*100</f>
      </c>
      <c r="BE2098" s="111" t="n">
        <v>0</v>
      </c>
      <c r="BF2098" s="111">
        <f>2098</f>
      </c>
      <c r="BH2098" s="111">
        <f>G2098*AO2098</f>
      </c>
      <c r="BI2098" s="111">
        <f>G2098*AP2098</f>
      </c>
      <c r="BJ2098" s="111">
        <f>G2098*H2098</f>
      </c>
      <c r="BK2098" s="111"/>
      <c r="BL2098" s="111" t="n">
        <v>87</v>
      </c>
      <c r="BW2098" s="111" t="n">
        <v>21</v>
      </c>
      <c r="BX2098" s="14" t="s">
        <v>3210</v>
      </c>
    </row>
    <row r="2099">
      <c r="A2099" s="154"/>
      <c r="B2099" s="155"/>
      <c r="C2099" s="155"/>
      <c r="D2099" s="156" t="s">
        <v>3211</v>
      </c>
      <c r="E2099" s="156" t="s">
        <v>4</v>
      </c>
      <c r="F2099" s="155"/>
      <c r="G2099" s="157" t="n">
        <v>26</v>
      </c>
      <c r="H2099" s="158"/>
      <c r="I2099" s="155"/>
      <c r="J2099" s="155"/>
      <c r="K2099" s="146"/>
    </row>
    <row r="2100">
      <c r="A2100" s="9" t="s">
        <v>3212</v>
      </c>
      <c r="B2100" s="10" t="s">
        <v>87</v>
      </c>
      <c r="C2100" s="10" t="s">
        <v>3213</v>
      </c>
      <c r="D2100" s="14" t="s">
        <v>3214</v>
      </c>
      <c r="E2100" s="10"/>
      <c r="F2100" s="10" t="s">
        <v>282</v>
      </c>
      <c r="G2100" s="111" t="n">
        <v>33</v>
      </c>
      <c r="H2100" s="152" t="n">
        <v>0</v>
      </c>
      <c r="I2100" s="111">
        <f>G2100*H2100</f>
      </c>
      <c r="J2100" s="153" t="s">
        <v>134</v>
      </c>
      <c r="K2100" s="146"/>
      <c r="Z2100" s="111">
        <f>IF(AQ2100="5",BJ2100,0)</f>
      </c>
      <c r="AB2100" s="111">
        <f>IF(AQ2100="1",BH2100,0)</f>
      </c>
      <c r="AC2100" s="111">
        <f>IF(AQ2100="1",BI2100,0)</f>
      </c>
      <c r="AD2100" s="111">
        <f>IF(AQ2100="7",BH2100,0)</f>
      </c>
      <c r="AE2100" s="111">
        <f>IF(AQ2100="7",BI2100,0)</f>
      </c>
      <c r="AF2100" s="111">
        <f>IF(AQ2100="2",BH2100,0)</f>
      </c>
      <c r="AG2100" s="111">
        <f>IF(AQ2100="2",BI2100,0)</f>
      </c>
      <c r="AH2100" s="111">
        <f>IF(AQ2100="0",BJ2100,0)</f>
      </c>
      <c r="AI2100" s="132" t="s">
        <v>87</v>
      </c>
      <c r="AJ2100" s="111">
        <f>IF(AN2100=0,I2100,0)</f>
      </c>
      <c r="AK2100" s="111">
        <f>IF(AN2100=12,I2100,0)</f>
      </c>
      <c r="AL2100" s="111">
        <f>IF(AN2100=21,I2100,0)</f>
      </c>
      <c r="AN2100" s="111" t="n">
        <v>21</v>
      </c>
      <c r="AO2100" s="111">
        <f>H2100*0.004444444</f>
      </c>
      <c r="AP2100" s="111">
        <f>H2100*(1-0.004444444)</f>
      </c>
      <c r="AQ2100" s="153" t="s">
        <v>130</v>
      </c>
      <c r="AV2100" s="111">
        <f>AW2100+AX2100</f>
      </c>
      <c r="AW2100" s="111">
        <f>G2100*AO2100</f>
      </c>
      <c r="AX2100" s="111">
        <f>G2100*AP2100</f>
      </c>
      <c r="AY2100" s="153" t="s">
        <v>3205</v>
      </c>
      <c r="AZ2100" s="153" t="s">
        <v>3206</v>
      </c>
      <c r="BA2100" s="132" t="s">
        <v>2990</v>
      </c>
      <c r="BC2100" s="111">
        <f>AW2100+AX2100</f>
      </c>
      <c r="BD2100" s="111">
        <f>H2100/(100-BE2100)*100</f>
      </c>
      <c r="BE2100" s="111" t="n">
        <v>0</v>
      </c>
      <c r="BF2100" s="111">
        <f>2100</f>
      </c>
      <c r="BH2100" s="111">
        <f>G2100*AO2100</f>
      </c>
      <c r="BI2100" s="111">
        <f>G2100*AP2100</f>
      </c>
      <c r="BJ2100" s="111">
        <f>G2100*H2100</f>
      </c>
      <c r="BK2100" s="111"/>
      <c r="BL2100" s="111" t="n">
        <v>87</v>
      </c>
      <c r="BW2100" s="111" t="n">
        <v>21</v>
      </c>
      <c r="BX2100" s="14" t="s">
        <v>3214</v>
      </c>
    </row>
    <row r="2101">
      <c r="A2101" s="154"/>
      <c r="B2101" s="155"/>
      <c r="C2101" s="155"/>
      <c r="D2101" s="156" t="s">
        <v>3215</v>
      </c>
      <c r="E2101" s="156" t="s">
        <v>4</v>
      </c>
      <c r="F2101" s="155"/>
      <c r="G2101" s="157" t="n">
        <v>33</v>
      </c>
      <c r="H2101" s="158"/>
      <c r="I2101" s="155"/>
      <c r="J2101" s="155"/>
      <c r="K2101" s="146"/>
    </row>
    <row r="2102">
      <c r="A2102" s="9" t="s">
        <v>3216</v>
      </c>
      <c r="B2102" s="10" t="s">
        <v>87</v>
      </c>
      <c r="C2102" s="10" t="s">
        <v>3217</v>
      </c>
      <c r="D2102" s="14" t="s">
        <v>3218</v>
      </c>
      <c r="E2102" s="10"/>
      <c r="F2102" s="10" t="s">
        <v>282</v>
      </c>
      <c r="G2102" s="111" t="n">
        <v>48</v>
      </c>
      <c r="H2102" s="152" t="n">
        <v>0</v>
      </c>
      <c r="I2102" s="111">
        <f>G2102*H2102</f>
      </c>
      <c r="J2102" s="153" t="s">
        <v>134</v>
      </c>
      <c r="K2102" s="146"/>
      <c r="Z2102" s="111">
        <f>IF(AQ2102="5",BJ2102,0)</f>
      </c>
      <c r="AB2102" s="111">
        <f>IF(AQ2102="1",BH2102,0)</f>
      </c>
      <c r="AC2102" s="111">
        <f>IF(AQ2102="1",BI2102,0)</f>
      </c>
      <c r="AD2102" s="111">
        <f>IF(AQ2102="7",BH2102,0)</f>
      </c>
      <c r="AE2102" s="111">
        <f>IF(AQ2102="7",BI2102,0)</f>
      </c>
      <c r="AF2102" s="111">
        <f>IF(AQ2102="2",BH2102,0)</f>
      </c>
      <c r="AG2102" s="111">
        <f>IF(AQ2102="2",BI2102,0)</f>
      </c>
      <c r="AH2102" s="111">
        <f>IF(AQ2102="0",BJ2102,0)</f>
      </c>
      <c r="AI2102" s="132" t="s">
        <v>87</v>
      </c>
      <c r="AJ2102" s="111">
        <f>IF(AN2102=0,I2102,0)</f>
      </c>
      <c r="AK2102" s="111">
        <f>IF(AN2102=12,I2102,0)</f>
      </c>
      <c r="AL2102" s="111">
        <f>IF(AN2102=21,I2102,0)</f>
      </c>
      <c r="AN2102" s="111" t="n">
        <v>21</v>
      </c>
      <c r="AO2102" s="111">
        <f>H2102*0.005034325</f>
      </c>
      <c r="AP2102" s="111">
        <f>H2102*(1-0.005034325)</f>
      </c>
      <c r="AQ2102" s="153" t="s">
        <v>130</v>
      </c>
      <c r="AV2102" s="111">
        <f>AW2102+AX2102</f>
      </c>
      <c r="AW2102" s="111">
        <f>G2102*AO2102</f>
      </c>
      <c r="AX2102" s="111">
        <f>G2102*AP2102</f>
      </c>
      <c r="AY2102" s="153" t="s">
        <v>3205</v>
      </c>
      <c r="AZ2102" s="153" t="s">
        <v>3206</v>
      </c>
      <c r="BA2102" s="132" t="s">
        <v>2990</v>
      </c>
      <c r="BC2102" s="111">
        <f>AW2102+AX2102</f>
      </c>
      <c r="BD2102" s="111">
        <f>H2102/(100-BE2102)*100</f>
      </c>
      <c r="BE2102" s="111" t="n">
        <v>0</v>
      </c>
      <c r="BF2102" s="111">
        <f>2102</f>
      </c>
      <c r="BH2102" s="111">
        <f>G2102*AO2102</f>
      </c>
      <c r="BI2102" s="111">
        <f>G2102*AP2102</f>
      </c>
      <c r="BJ2102" s="111">
        <f>G2102*H2102</f>
      </c>
      <c r="BK2102" s="111"/>
      <c r="BL2102" s="111" t="n">
        <v>87</v>
      </c>
      <c r="BW2102" s="111" t="n">
        <v>21</v>
      </c>
      <c r="BX2102" s="14" t="s">
        <v>3218</v>
      </c>
    </row>
    <row r="2103">
      <c r="A2103" s="154"/>
      <c r="B2103" s="155"/>
      <c r="C2103" s="155"/>
      <c r="D2103" s="156" t="s">
        <v>3219</v>
      </c>
      <c r="E2103" s="156" t="s">
        <v>4</v>
      </c>
      <c r="F2103" s="155"/>
      <c r="G2103" s="157" t="n">
        <v>48</v>
      </c>
      <c r="H2103" s="158"/>
      <c r="I2103" s="155"/>
      <c r="J2103" s="155"/>
      <c r="K2103" s="146"/>
    </row>
    <row r="2104">
      <c r="A2104" s="9" t="s">
        <v>3220</v>
      </c>
      <c r="B2104" s="10" t="s">
        <v>87</v>
      </c>
      <c r="C2104" s="10" t="s">
        <v>3221</v>
      </c>
      <c r="D2104" s="14" t="s">
        <v>3222</v>
      </c>
      <c r="E2104" s="10"/>
      <c r="F2104" s="10" t="s">
        <v>133</v>
      </c>
      <c r="G2104" s="111" t="n">
        <v>6</v>
      </c>
      <c r="H2104" s="152" t="n">
        <v>0</v>
      </c>
      <c r="I2104" s="111">
        <f>G2104*H2104</f>
      </c>
      <c r="J2104" s="153" t="s">
        <v>134</v>
      </c>
      <c r="K2104" s="146"/>
      <c r="Z2104" s="111">
        <f>IF(AQ2104="5",BJ2104,0)</f>
      </c>
      <c r="AB2104" s="111">
        <f>IF(AQ2104="1",BH2104,0)</f>
      </c>
      <c r="AC2104" s="111">
        <f>IF(AQ2104="1",BI2104,0)</f>
      </c>
      <c r="AD2104" s="111">
        <f>IF(AQ2104="7",BH2104,0)</f>
      </c>
      <c r="AE2104" s="111">
        <f>IF(AQ2104="7",BI2104,0)</f>
      </c>
      <c r="AF2104" s="111">
        <f>IF(AQ2104="2",BH2104,0)</f>
      </c>
      <c r="AG2104" s="111">
        <f>IF(AQ2104="2",BI2104,0)</f>
      </c>
      <c r="AH2104" s="111">
        <f>IF(AQ2104="0",BJ2104,0)</f>
      </c>
      <c r="AI2104" s="132" t="s">
        <v>87</v>
      </c>
      <c r="AJ2104" s="111">
        <f>IF(AN2104=0,I2104,0)</f>
      </c>
      <c r="AK2104" s="111">
        <f>IF(AN2104=12,I2104,0)</f>
      </c>
      <c r="AL2104" s="111">
        <f>IF(AN2104=21,I2104,0)</f>
      </c>
      <c r="AN2104" s="111" t="n">
        <v>21</v>
      </c>
      <c r="AO2104" s="111">
        <f>H2104*0</f>
      </c>
      <c r="AP2104" s="111">
        <f>H2104*(1-0)</f>
      </c>
      <c r="AQ2104" s="153" t="s">
        <v>130</v>
      </c>
      <c r="AV2104" s="111">
        <f>AW2104+AX2104</f>
      </c>
      <c r="AW2104" s="111">
        <f>G2104*AO2104</f>
      </c>
      <c r="AX2104" s="111">
        <f>G2104*AP2104</f>
      </c>
      <c r="AY2104" s="153" t="s">
        <v>3205</v>
      </c>
      <c r="AZ2104" s="153" t="s">
        <v>3206</v>
      </c>
      <c r="BA2104" s="132" t="s">
        <v>2990</v>
      </c>
      <c r="BC2104" s="111">
        <f>AW2104+AX2104</f>
      </c>
      <c r="BD2104" s="111">
        <f>H2104/(100-BE2104)*100</f>
      </c>
      <c r="BE2104" s="111" t="n">
        <v>0</v>
      </c>
      <c r="BF2104" s="111">
        <f>2104</f>
      </c>
      <c r="BH2104" s="111">
        <f>G2104*AO2104</f>
      </c>
      <c r="BI2104" s="111">
        <f>G2104*AP2104</f>
      </c>
      <c r="BJ2104" s="111">
        <f>G2104*H2104</f>
      </c>
      <c r="BK2104" s="111"/>
      <c r="BL2104" s="111" t="n">
        <v>87</v>
      </c>
      <c r="BW2104" s="111" t="n">
        <v>21</v>
      </c>
      <c r="BX2104" s="14" t="s">
        <v>3222</v>
      </c>
    </row>
    <row r="2105">
      <c r="A2105" s="154"/>
      <c r="B2105" s="155"/>
      <c r="C2105" s="155"/>
      <c r="D2105" s="156" t="s">
        <v>1535</v>
      </c>
      <c r="E2105" s="156" t="s">
        <v>4</v>
      </c>
      <c r="F2105" s="155"/>
      <c r="G2105" s="157" t="n">
        <v>6</v>
      </c>
      <c r="H2105" s="158"/>
      <c r="I2105" s="155"/>
      <c r="J2105" s="155"/>
      <c r="K2105" s="146"/>
    </row>
    <row r="2106">
      <c r="A2106" s="9" t="s">
        <v>3223</v>
      </c>
      <c r="B2106" s="10" t="s">
        <v>87</v>
      </c>
      <c r="C2106" s="10" t="s">
        <v>3224</v>
      </c>
      <c r="D2106" s="14" t="s">
        <v>3225</v>
      </c>
      <c r="E2106" s="10"/>
      <c r="F2106" s="10" t="s">
        <v>133</v>
      </c>
      <c r="G2106" s="111" t="n">
        <v>6</v>
      </c>
      <c r="H2106" s="152" t="n">
        <v>0</v>
      </c>
      <c r="I2106" s="111">
        <f>G2106*H2106</f>
      </c>
      <c r="J2106" s="153" t="s">
        <v>134</v>
      </c>
      <c r="K2106" s="146"/>
      <c r="Z2106" s="111">
        <f>IF(AQ2106="5",BJ2106,0)</f>
      </c>
      <c r="AB2106" s="111">
        <f>IF(AQ2106="1",BH2106,0)</f>
      </c>
      <c r="AC2106" s="111">
        <f>IF(AQ2106="1",BI2106,0)</f>
      </c>
      <c r="AD2106" s="111">
        <f>IF(AQ2106="7",BH2106,0)</f>
      </c>
      <c r="AE2106" s="111">
        <f>IF(AQ2106="7",BI2106,0)</f>
      </c>
      <c r="AF2106" s="111">
        <f>IF(AQ2106="2",BH2106,0)</f>
      </c>
      <c r="AG2106" s="111">
        <f>IF(AQ2106="2",BI2106,0)</f>
      </c>
      <c r="AH2106" s="111">
        <f>IF(AQ2106="0",BJ2106,0)</f>
      </c>
      <c r="AI2106" s="132" t="s">
        <v>87</v>
      </c>
      <c r="AJ2106" s="111">
        <f>IF(AN2106=0,I2106,0)</f>
      </c>
      <c r="AK2106" s="111">
        <f>IF(AN2106=12,I2106,0)</f>
      </c>
      <c r="AL2106" s="111">
        <f>IF(AN2106=21,I2106,0)</f>
      </c>
      <c r="AN2106" s="111" t="n">
        <v>21</v>
      </c>
      <c r="AO2106" s="111">
        <f>H2106*0.005088266</f>
      </c>
      <c r="AP2106" s="111">
        <f>H2106*(1-0.005088266)</f>
      </c>
      <c r="AQ2106" s="153" t="s">
        <v>130</v>
      </c>
      <c r="AV2106" s="111">
        <f>AW2106+AX2106</f>
      </c>
      <c r="AW2106" s="111">
        <f>G2106*AO2106</f>
      </c>
      <c r="AX2106" s="111">
        <f>G2106*AP2106</f>
      </c>
      <c r="AY2106" s="153" t="s">
        <v>3205</v>
      </c>
      <c r="AZ2106" s="153" t="s">
        <v>3206</v>
      </c>
      <c r="BA2106" s="132" t="s">
        <v>2990</v>
      </c>
      <c r="BC2106" s="111">
        <f>AW2106+AX2106</f>
      </c>
      <c r="BD2106" s="111">
        <f>H2106/(100-BE2106)*100</f>
      </c>
      <c r="BE2106" s="111" t="n">
        <v>0</v>
      </c>
      <c r="BF2106" s="111">
        <f>2106</f>
      </c>
      <c r="BH2106" s="111">
        <f>G2106*AO2106</f>
      </c>
      <c r="BI2106" s="111">
        <f>G2106*AP2106</f>
      </c>
      <c r="BJ2106" s="111">
        <f>G2106*H2106</f>
      </c>
      <c r="BK2106" s="111"/>
      <c r="BL2106" s="111" t="n">
        <v>87</v>
      </c>
      <c r="BW2106" s="111" t="n">
        <v>21</v>
      </c>
      <c r="BX2106" s="14" t="s">
        <v>3225</v>
      </c>
    </row>
    <row r="2107">
      <c r="A2107" s="154"/>
      <c r="B2107" s="155"/>
      <c r="C2107" s="155"/>
      <c r="D2107" s="156" t="s">
        <v>165</v>
      </c>
      <c r="E2107" s="156" t="s">
        <v>4</v>
      </c>
      <c r="F2107" s="155"/>
      <c r="G2107" s="157" t="n">
        <v>6</v>
      </c>
      <c r="H2107" s="158"/>
      <c r="I2107" s="155"/>
      <c r="J2107" s="155"/>
      <c r="K2107" s="146"/>
    </row>
    <row r="2108">
      <c r="A2108" s="9" t="s">
        <v>3226</v>
      </c>
      <c r="B2108" s="10" t="s">
        <v>87</v>
      </c>
      <c r="C2108" s="10" t="s">
        <v>3227</v>
      </c>
      <c r="D2108" s="14" t="s">
        <v>3228</v>
      </c>
      <c r="E2108" s="10"/>
      <c r="F2108" s="10" t="s">
        <v>133</v>
      </c>
      <c r="G2108" s="111" t="n">
        <v>2</v>
      </c>
      <c r="H2108" s="152" t="n">
        <v>0</v>
      </c>
      <c r="I2108" s="111">
        <f>G2108*H2108</f>
      </c>
      <c r="J2108" s="153" t="s">
        <v>134</v>
      </c>
      <c r="K2108" s="146"/>
      <c r="Z2108" s="111">
        <f>IF(AQ2108="5",BJ2108,0)</f>
      </c>
      <c r="AB2108" s="111">
        <f>IF(AQ2108="1",BH2108,0)</f>
      </c>
      <c r="AC2108" s="111">
        <f>IF(AQ2108="1",BI2108,0)</f>
      </c>
      <c r="AD2108" s="111">
        <f>IF(AQ2108="7",BH2108,0)</f>
      </c>
      <c r="AE2108" s="111">
        <f>IF(AQ2108="7",BI2108,0)</f>
      </c>
      <c r="AF2108" s="111">
        <f>IF(AQ2108="2",BH2108,0)</f>
      </c>
      <c r="AG2108" s="111">
        <f>IF(AQ2108="2",BI2108,0)</f>
      </c>
      <c r="AH2108" s="111">
        <f>IF(AQ2108="0",BJ2108,0)</f>
      </c>
      <c r="AI2108" s="132" t="s">
        <v>87</v>
      </c>
      <c r="AJ2108" s="111">
        <f>IF(AN2108=0,I2108,0)</f>
      </c>
      <c r="AK2108" s="111">
        <f>IF(AN2108=12,I2108,0)</f>
      </c>
      <c r="AL2108" s="111">
        <f>IF(AN2108=21,I2108,0)</f>
      </c>
      <c r="AN2108" s="111" t="n">
        <v>21</v>
      </c>
      <c r="AO2108" s="111">
        <f>H2108*0.006574222</f>
      </c>
      <c r="AP2108" s="111">
        <f>H2108*(1-0.006574222)</f>
      </c>
      <c r="AQ2108" s="153" t="s">
        <v>130</v>
      </c>
      <c r="AV2108" s="111">
        <f>AW2108+AX2108</f>
      </c>
      <c r="AW2108" s="111">
        <f>G2108*AO2108</f>
      </c>
      <c r="AX2108" s="111">
        <f>G2108*AP2108</f>
      </c>
      <c r="AY2108" s="153" t="s">
        <v>3205</v>
      </c>
      <c r="AZ2108" s="153" t="s">
        <v>3206</v>
      </c>
      <c r="BA2108" s="132" t="s">
        <v>2990</v>
      </c>
      <c r="BC2108" s="111">
        <f>AW2108+AX2108</f>
      </c>
      <c r="BD2108" s="111">
        <f>H2108/(100-BE2108)*100</f>
      </c>
      <c r="BE2108" s="111" t="n">
        <v>0</v>
      </c>
      <c r="BF2108" s="111">
        <f>2108</f>
      </c>
      <c r="BH2108" s="111">
        <f>G2108*AO2108</f>
      </c>
      <c r="BI2108" s="111">
        <f>G2108*AP2108</f>
      </c>
      <c r="BJ2108" s="111">
        <f>G2108*H2108</f>
      </c>
      <c r="BK2108" s="111"/>
      <c r="BL2108" s="111" t="n">
        <v>87</v>
      </c>
      <c r="BW2108" s="111" t="n">
        <v>21</v>
      </c>
      <c r="BX2108" s="14" t="s">
        <v>3228</v>
      </c>
    </row>
    <row r="2109">
      <c r="A2109" s="154"/>
      <c r="B2109" s="155"/>
      <c r="C2109" s="155"/>
      <c r="D2109" s="156" t="s">
        <v>140</v>
      </c>
      <c r="E2109" s="156" t="s">
        <v>4</v>
      </c>
      <c r="F2109" s="155"/>
      <c r="G2109" s="157" t="n">
        <v>2</v>
      </c>
      <c r="H2109" s="158"/>
      <c r="I2109" s="155"/>
      <c r="J2109" s="155"/>
      <c r="K2109" s="146"/>
    </row>
    <row r="2110">
      <c r="A2110" s="147" t="s">
        <v>4</v>
      </c>
      <c r="B2110" s="148" t="s">
        <v>87</v>
      </c>
      <c r="C2110" s="148" t="s">
        <v>728</v>
      </c>
      <c r="D2110" s="149" t="s">
        <v>3229</v>
      </c>
      <c r="E2110" s="148"/>
      <c r="F2110" s="150" t="s">
        <v>79</v>
      </c>
      <c r="G2110" s="150" t="s">
        <v>79</v>
      </c>
      <c r="H2110" s="151" t="s">
        <v>79</v>
      </c>
      <c r="I2110" s="117">
        <f>SUM(I2111:I2148)</f>
      </c>
      <c r="J2110" s="132" t="s">
        <v>4</v>
      </c>
      <c r="K2110" s="146"/>
      <c r="AI2110" s="132" t="s">
        <v>87</v>
      </c>
      <c r="AS2110" s="117">
        <f>SUM(AJ2111:AJ2148)</f>
      </c>
      <c r="AT2110" s="117">
        <f>SUM(AK2111:AK2148)</f>
      </c>
      <c r="AU2110" s="117">
        <f>SUM(AL2111:AL2148)</f>
      </c>
    </row>
    <row r="2111">
      <c r="A2111" s="9" t="s">
        <v>3230</v>
      </c>
      <c r="B2111" s="10" t="s">
        <v>87</v>
      </c>
      <c r="C2111" s="10" t="s">
        <v>3231</v>
      </c>
      <c r="D2111" s="14" t="s">
        <v>3232</v>
      </c>
      <c r="E2111" s="10"/>
      <c r="F2111" s="10" t="s">
        <v>282</v>
      </c>
      <c r="G2111" s="111" t="n">
        <v>60</v>
      </c>
      <c r="H2111" s="152" t="n">
        <v>0</v>
      </c>
      <c r="I2111" s="111">
        <f>G2111*H2111</f>
      </c>
      <c r="J2111" s="153" t="s">
        <v>134</v>
      </c>
      <c r="K2111" s="146"/>
      <c r="Z2111" s="111">
        <f>IF(AQ2111="5",BJ2111,0)</f>
      </c>
      <c r="AB2111" s="111">
        <f>IF(AQ2111="1",BH2111,0)</f>
      </c>
      <c r="AC2111" s="111">
        <f>IF(AQ2111="1",BI2111,0)</f>
      </c>
      <c r="AD2111" s="111">
        <f>IF(AQ2111="7",BH2111,0)</f>
      </c>
      <c r="AE2111" s="111">
        <f>IF(AQ2111="7",BI2111,0)</f>
      </c>
      <c r="AF2111" s="111">
        <f>IF(AQ2111="2",BH2111,0)</f>
      </c>
      <c r="AG2111" s="111">
        <f>IF(AQ2111="2",BI2111,0)</f>
      </c>
      <c r="AH2111" s="111">
        <f>IF(AQ2111="0",BJ2111,0)</f>
      </c>
      <c r="AI2111" s="132" t="s">
        <v>87</v>
      </c>
      <c r="AJ2111" s="111">
        <f>IF(AN2111=0,I2111,0)</f>
      </c>
      <c r="AK2111" s="111">
        <f>IF(AN2111=12,I2111,0)</f>
      </c>
      <c r="AL2111" s="111">
        <f>IF(AN2111=21,I2111,0)</f>
      </c>
      <c r="AN2111" s="111" t="n">
        <v>21</v>
      </c>
      <c r="AO2111" s="111">
        <f>H2111*0.005820722</f>
      </c>
      <c r="AP2111" s="111">
        <f>H2111*(1-0.005820722)</f>
      </c>
      <c r="AQ2111" s="153" t="s">
        <v>130</v>
      </c>
      <c r="AV2111" s="111">
        <f>AW2111+AX2111</f>
      </c>
      <c r="AW2111" s="111">
        <f>G2111*AO2111</f>
      </c>
      <c r="AX2111" s="111">
        <f>G2111*AP2111</f>
      </c>
      <c r="AY2111" s="153" t="s">
        <v>3233</v>
      </c>
      <c r="AZ2111" s="153" t="s">
        <v>3206</v>
      </c>
      <c r="BA2111" s="132" t="s">
        <v>2990</v>
      </c>
      <c r="BC2111" s="111">
        <f>AW2111+AX2111</f>
      </c>
      <c r="BD2111" s="111">
        <f>H2111/(100-BE2111)*100</f>
      </c>
      <c r="BE2111" s="111" t="n">
        <v>0</v>
      </c>
      <c r="BF2111" s="111">
        <f>2111</f>
      </c>
      <c r="BH2111" s="111">
        <f>G2111*AO2111</f>
      </c>
      <c r="BI2111" s="111">
        <f>G2111*AP2111</f>
      </c>
      <c r="BJ2111" s="111">
        <f>G2111*H2111</f>
      </c>
      <c r="BK2111" s="111"/>
      <c r="BL2111" s="111" t="n">
        <v>89</v>
      </c>
      <c r="BW2111" s="111" t="n">
        <v>21</v>
      </c>
      <c r="BX2111" s="14" t="s">
        <v>3232</v>
      </c>
    </row>
    <row r="2112">
      <c r="A2112" s="154"/>
      <c r="B2112" s="155"/>
      <c r="C2112" s="155"/>
      <c r="D2112" s="156" t="s">
        <v>3234</v>
      </c>
      <c r="E2112" s="156" t="s">
        <v>4</v>
      </c>
      <c r="F2112" s="155"/>
      <c r="G2112" s="157" t="n">
        <v>60</v>
      </c>
      <c r="H2112" s="158"/>
      <c r="I2112" s="155"/>
      <c r="J2112" s="155"/>
      <c r="K2112" s="146"/>
    </row>
    <row r="2113">
      <c r="A2113" s="9" t="s">
        <v>3235</v>
      </c>
      <c r="B2113" s="10" t="s">
        <v>87</v>
      </c>
      <c r="C2113" s="10" t="s">
        <v>3236</v>
      </c>
      <c r="D2113" s="14" t="s">
        <v>3237</v>
      </c>
      <c r="E2113" s="10"/>
      <c r="F2113" s="10" t="s">
        <v>282</v>
      </c>
      <c r="G2113" s="111" t="n">
        <v>60</v>
      </c>
      <c r="H2113" s="152" t="n">
        <v>0</v>
      </c>
      <c r="I2113" s="111">
        <f>G2113*H2113</f>
      </c>
      <c r="J2113" s="153" t="s">
        <v>134</v>
      </c>
      <c r="K2113" s="146"/>
      <c r="Z2113" s="111">
        <f>IF(AQ2113="5",BJ2113,0)</f>
      </c>
      <c r="AB2113" s="111">
        <f>IF(AQ2113="1",BH2113,0)</f>
      </c>
      <c r="AC2113" s="111">
        <f>IF(AQ2113="1",BI2113,0)</f>
      </c>
      <c r="AD2113" s="111">
        <f>IF(AQ2113="7",BH2113,0)</f>
      </c>
      <c r="AE2113" s="111">
        <f>IF(AQ2113="7",BI2113,0)</f>
      </c>
      <c r="AF2113" s="111">
        <f>IF(AQ2113="2",BH2113,0)</f>
      </c>
      <c r="AG2113" s="111">
        <f>IF(AQ2113="2",BI2113,0)</f>
      </c>
      <c r="AH2113" s="111">
        <f>IF(AQ2113="0",BJ2113,0)</f>
      </c>
      <c r="AI2113" s="132" t="s">
        <v>87</v>
      </c>
      <c r="AJ2113" s="111">
        <f>IF(AN2113=0,I2113,0)</f>
      </c>
      <c r="AK2113" s="111">
        <f>IF(AN2113=12,I2113,0)</f>
      </c>
      <c r="AL2113" s="111">
        <f>IF(AN2113=21,I2113,0)</f>
      </c>
      <c r="AN2113" s="111" t="n">
        <v>21</v>
      </c>
      <c r="AO2113" s="111">
        <f>H2113*0.025107885</f>
      </c>
      <c r="AP2113" s="111">
        <f>H2113*(1-0.025107885)</f>
      </c>
      <c r="AQ2113" s="153" t="s">
        <v>130</v>
      </c>
      <c r="AV2113" s="111">
        <f>AW2113+AX2113</f>
      </c>
      <c r="AW2113" s="111">
        <f>G2113*AO2113</f>
      </c>
      <c r="AX2113" s="111">
        <f>G2113*AP2113</f>
      </c>
      <c r="AY2113" s="153" t="s">
        <v>3233</v>
      </c>
      <c r="AZ2113" s="153" t="s">
        <v>3206</v>
      </c>
      <c r="BA2113" s="132" t="s">
        <v>2990</v>
      </c>
      <c r="BC2113" s="111">
        <f>AW2113+AX2113</f>
      </c>
      <c r="BD2113" s="111">
        <f>H2113/(100-BE2113)*100</f>
      </c>
      <c r="BE2113" s="111" t="n">
        <v>0</v>
      </c>
      <c r="BF2113" s="111">
        <f>2113</f>
      </c>
      <c r="BH2113" s="111">
        <f>G2113*AO2113</f>
      </c>
      <c r="BI2113" s="111">
        <f>G2113*AP2113</f>
      </c>
      <c r="BJ2113" s="111">
        <f>G2113*H2113</f>
      </c>
      <c r="BK2113" s="111"/>
      <c r="BL2113" s="111" t="n">
        <v>89</v>
      </c>
      <c r="BW2113" s="111" t="n">
        <v>21</v>
      </c>
      <c r="BX2113" s="14" t="s">
        <v>3237</v>
      </c>
    </row>
    <row r="2114">
      <c r="A2114" s="154"/>
      <c r="B2114" s="155"/>
      <c r="C2114" s="155"/>
      <c r="D2114" s="156" t="s">
        <v>531</v>
      </c>
      <c r="E2114" s="156" t="s">
        <v>4</v>
      </c>
      <c r="F2114" s="155"/>
      <c r="G2114" s="157" t="n">
        <v>60</v>
      </c>
      <c r="H2114" s="158"/>
      <c r="I2114" s="155"/>
      <c r="J2114" s="155"/>
      <c r="K2114" s="146"/>
    </row>
    <row r="2115">
      <c r="A2115" s="9" t="s">
        <v>3238</v>
      </c>
      <c r="B2115" s="10" t="s">
        <v>87</v>
      </c>
      <c r="C2115" s="10" t="s">
        <v>3239</v>
      </c>
      <c r="D2115" s="14" t="s">
        <v>3240</v>
      </c>
      <c r="E2115" s="10"/>
      <c r="F2115" s="10" t="s">
        <v>282</v>
      </c>
      <c r="G2115" s="111" t="n">
        <v>46</v>
      </c>
      <c r="H2115" s="152" t="n">
        <v>0</v>
      </c>
      <c r="I2115" s="111">
        <f>G2115*H2115</f>
      </c>
      <c r="J2115" s="153" t="s">
        <v>134</v>
      </c>
      <c r="K2115" s="146"/>
      <c r="Z2115" s="111">
        <f>IF(AQ2115="5",BJ2115,0)</f>
      </c>
      <c r="AB2115" s="111">
        <f>IF(AQ2115="1",BH2115,0)</f>
      </c>
      <c r="AC2115" s="111">
        <f>IF(AQ2115="1",BI2115,0)</f>
      </c>
      <c r="AD2115" s="111">
        <f>IF(AQ2115="7",BH2115,0)</f>
      </c>
      <c r="AE2115" s="111">
        <f>IF(AQ2115="7",BI2115,0)</f>
      </c>
      <c r="AF2115" s="111">
        <f>IF(AQ2115="2",BH2115,0)</f>
      </c>
      <c r="AG2115" s="111">
        <f>IF(AQ2115="2",BI2115,0)</f>
      </c>
      <c r="AH2115" s="111">
        <f>IF(AQ2115="0",BJ2115,0)</f>
      </c>
      <c r="AI2115" s="132" t="s">
        <v>87</v>
      </c>
      <c r="AJ2115" s="111">
        <f>IF(AN2115=0,I2115,0)</f>
      </c>
      <c r="AK2115" s="111">
        <f>IF(AN2115=12,I2115,0)</f>
      </c>
      <c r="AL2115" s="111">
        <f>IF(AN2115=21,I2115,0)</f>
      </c>
      <c r="AN2115" s="111" t="n">
        <v>21</v>
      </c>
      <c r="AO2115" s="111">
        <f>H2115*0.05694051</f>
      </c>
      <c r="AP2115" s="111">
        <f>H2115*(1-0.05694051)</f>
      </c>
      <c r="AQ2115" s="153" t="s">
        <v>130</v>
      </c>
      <c r="AV2115" s="111">
        <f>AW2115+AX2115</f>
      </c>
      <c r="AW2115" s="111">
        <f>G2115*AO2115</f>
      </c>
      <c r="AX2115" s="111">
        <f>G2115*AP2115</f>
      </c>
      <c r="AY2115" s="153" t="s">
        <v>3233</v>
      </c>
      <c r="AZ2115" s="153" t="s">
        <v>3206</v>
      </c>
      <c r="BA2115" s="132" t="s">
        <v>2990</v>
      </c>
      <c r="BC2115" s="111">
        <f>AW2115+AX2115</f>
      </c>
      <c r="BD2115" s="111">
        <f>H2115/(100-BE2115)*100</f>
      </c>
      <c r="BE2115" s="111" t="n">
        <v>0</v>
      </c>
      <c r="BF2115" s="111">
        <f>2115</f>
      </c>
      <c r="BH2115" s="111">
        <f>G2115*AO2115</f>
      </c>
      <c r="BI2115" s="111">
        <f>G2115*AP2115</f>
      </c>
      <c r="BJ2115" s="111">
        <f>G2115*H2115</f>
      </c>
      <c r="BK2115" s="111"/>
      <c r="BL2115" s="111" t="n">
        <v>89</v>
      </c>
      <c r="BW2115" s="111" t="n">
        <v>21</v>
      </c>
      <c r="BX2115" s="14" t="s">
        <v>3240</v>
      </c>
    </row>
    <row r="2116">
      <c r="A2116" s="154"/>
      <c r="B2116" s="155"/>
      <c r="C2116" s="155"/>
      <c r="D2116" s="156" t="s">
        <v>3241</v>
      </c>
      <c r="E2116" s="156" t="s">
        <v>4</v>
      </c>
      <c r="F2116" s="155"/>
      <c r="G2116" s="157" t="n">
        <v>46</v>
      </c>
      <c r="H2116" s="158"/>
      <c r="I2116" s="155"/>
      <c r="J2116" s="155"/>
      <c r="K2116" s="146"/>
    </row>
    <row r="2117">
      <c r="A2117" s="9" t="s">
        <v>3242</v>
      </c>
      <c r="B2117" s="10" t="s">
        <v>87</v>
      </c>
      <c r="C2117" s="10" t="s">
        <v>3243</v>
      </c>
      <c r="D2117" s="14" t="s">
        <v>3244</v>
      </c>
      <c r="E2117" s="10"/>
      <c r="F2117" s="10" t="s">
        <v>133</v>
      </c>
      <c r="G2117" s="111" t="n">
        <v>1</v>
      </c>
      <c r="H2117" s="152" t="n">
        <v>0</v>
      </c>
      <c r="I2117" s="111">
        <f>G2117*H2117</f>
      </c>
      <c r="J2117" s="153" t="s">
        <v>134</v>
      </c>
      <c r="K2117" s="146"/>
      <c r="Z2117" s="111">
        <f>IF(AQ2117="5",BJ2117,0)</f>
      </c>
      <c r="AB2117" s="111">
        <f>IF(AQ2117="1",BH2117,0)</f>
      </c>
      <c r="AC2117" s="111">
        <f>IF(AQ2117="1",BI2117,0)</f>
      </c>
      <c r="AD2117" s="111">
        <f>IF(AQ2117="7",BH2117,0)</f>
      </c>
      <c r="AE2117" s="111">
        <f>IF(AQ2117="7",BI2117,0)</f>
      </c>
      <c r="AF2117" s="111">
        <f>IF(AQ2117="2",BH2117,0)</f>
      </c>
      <c r="AG2117" s="111">
        <f>IF(AQ2117="2",BI2117,0)</f>
      </c>
      <c r="AH2117" s="111">
        <f>IF(AQ2117="0",BJ2117,0)</f>
      </c>
      <c r="AI2117" s="132" t="s">
        <v>87</v>
      </c>
      <c r="AJ2117" s="111">
        <f>IF(AN2117=0,I2117,0)</f>
      </c>
      <c r="AK2117" s="111">
        <f>IF(AN2117=12,I2117,0)</f>
      </c>
      <c r="AL2117" s="111">
        <f>IF(AN2117=21,I2117,0)</f>
      </c>
      <c r="AN2117" s="111" t="n">
        <v>21</v>
      </c>
      <c r="AO2117" s="111">
        <f>H2117*0.577113635</f>
      </c>
      <c r="AP2117" s="111">
        <f>H2117*(1-0.577113635)</f>
      </c>
      <c r="AQ2117" s="153" t="s">
        <v>130</v>
      </c>
      <c r="AV2117" s="111">
        <f>AW2117+AX2117</f>
      </c>
      <c r="AW2117" s="111">
        <f>G2117*AO2117</f>
      </c>
      <c r="AX2117" s="111">
        <f>G2117*AP2117</f>
      </c>
      <c r="AY2117" s="153" t="s">
        <v>3233</v>
      </c>
      <c r="AZ2117" s="153" t="s">
        <v>3206</v>
      </c>
      <c r="BA2117" s="132" t="s">
        <v>2990</v>
      </c>
      <c r="BC2117" s="111">
        <f>AW2117+AX2117</f>
      </c>
      <c r="BD2117" s="111">
        <f>H2117/(100-BE2117)*100</f>
      </c>
      <c r="BE2117" s="111" t="n">
        <v>0</v>
      </c>
      <c r="BF2117" s="111">
        <f>2117</f>
      </c>
      <c r="BH2117" s="111">
        <f>G2117*AO2117</f>
      </c>
      <c r="BI2117" s="111">
        <f>G2117*AP2117</f>
      </c>
      <c r="BJ2117" s="111">
        <f>G2117*H2117</f>
      </c>
      <c r="BK2117" s="111"/>
      <c r="BL2117" s="111" t="n">
        <v>89</v>
      </c>
      <c r="BW2117" s="111" t="n">
        <v>21</v>
      </c>
      <c r="BX2117" s="14" t="s">
        <v>3244</v>
      </c>
    </row>
    <row r="2118">
      <c r="A2118" s="154"/>
      <c r="B2118" s="155"/>
      <c r="C2118" s="155"/>
      <c r="D2118" s="156" t="s">
        <v>130</v>
      </c>
      <c r="E2118" s="156" t="s">
        <v>4</v>
      </c>
      <c r="F2118" s="155"/>
      <c r="G2118" s="157" t="n">
        <v>1</v>
      </c>
      <c r="H2118" s="158"/>
      <c r="I2118" s="155"/>
      <c r="J2118" s="155"/>
      <c r="K2118" s="146"/>
    </row>
    <row r="2119">
      <c r="A2119" s="9" t="s">
        <v>3245</v>
      </c>
      <c r="B2119" s="10" t="s">
        <v>87</v>
      </c>
      <c r="C2119" s="10" t="s">
        <v>3246</v>
      </c>
      <c r="D2119" s="14" t="s">
        <v>3247</v>
      </c>
      <c r="E2119" s="10"/>
      <c r="F2119" s="10" t="s">
        <v>133</v>
      </c>
      <c r="G2119" s="111" t="n">
        <v>1</v>
      </c>
      <c r="H2119" s="152" t="n">
        <v>0</v>
      </c>
      <c r="I2119" s="111">
        <f>G2119*H2119</f>
      </c>
      <c r="J2119" s="153" t="s">
        <v>134</v>
      </c>
      <c r="K2119" s="146"/>
      <c r="Z2119" s="111">
        <f>IF(AQ2119="5",BJ2119,0)</f>
      </c>
      <c r="AB2119" s="111">
        <f>IF(AQ2119="1",BH2119,0)</f>
      </c>
      <c r="AC2119" s="111">
        <f>IF(AQ2119="1",BI2119,0)</f>
      </c>
      <c r="AD2119" s="111">
        <f>IF(AQ2119="7",BH2119,0)</f>
      </c>
      <c r="AE2119" s="111">
        <f>IF(AQ2119="7",BI2119,0)</f>
      </c>
      <c r="AF2119" s="111">
        <f>IF(AQ2119="2",BH2119,0)</f>
      </c>
      <c r="AG2119" s="111">
        <f>IF(AQ2119="2",BI2119,0)</f>
      </c>
      <c r="AH2119" s="111">
        <f>IF(AQ2119="0",BJ2119,0)</f>
      </c>
      <c r="AI2119" s="132" t="s">
        <v>87</v>
      </c>
      <c r="AJ2119" s="111">
        <f>IF(AN2119=0,I2119,0)</f>
      </c>
      <c r="AK2119" s="111">
        <f>IF(AN2119=12,I2119,0)</f>
      </c>
      <c r="AL2119" s="111">
        <f>IF(AN2119=21,I2119,0)</f>
      </c>
      <c r="AN2119" s="111" t="n">
        <v>21</v>
      </c>
      <c r="AO2119" s="111">
        <f>H2119*0.966440467</f>
      </c>
      <c r="AP2119" s="111">
        <f>H2119*(1-0.966440467)</f>
      </c>
      <c r="AQ2119" s="153" t="s">
        <v>130</v>
      </c>
      <c r="AV2119" s="111">
        <f>AW2119+AX2119</f>
      </c>
      <c r="AW2119" s="111">
        <f>G2119*AO2119</f>
      </c>
      <c r="AX2119" s="111">
        <f>G2119*AP2119</f>
      </c>
      <c r="AY2119" s="153" t="s">
        <v>3233</v>
      </c>
      <c r="AZ2119" s="153" t="s">
        <v>3206</v>
      </c>
      <c r="BA2119" s="132" t="s">
        <v>2990</v>
      </c>
      <c r="BC2119" s="111">
        <f>AW2119+AX2119</f>
      </c>
      <c r="BD2119" s="111">
        <f>H2119/(100-BE2119)*100</f>
      </c>
      <c r="BE2119" s="111" t="n">
        <v>0</v>
      </c>
      <c r="BF2119" s="111">
        <f>2119</f>
      </c>
      <c r="BH2119" s="111">
        <f>G2119*AO2119</f>
      </c>
      <c r="BI2119" s="111">
        <f>G2119*AP2119</f>
      </c>
      <c r="BJ2119" s="111">
        <f>G2119*H2119</f>
      </c>
      <c r="BK2119" s="111"/>
      <c r="BL2119" s="111" t="n">
        <v>89</v>
      </c>
      <c r="BW2119" s="111" t="n">
        <v>21</v>
      </c>
      <c r="BX2119" s="14" t="s">
        <v>3247</v>
      </c>
    </row>
    <row r="2120" customHeight="true" ht="13.5">
      <c r="A2120" s="159"/>
      <c r="C2120" s="160" t="s">
        <v>146</v>
      </c>
      <c r="D2120" s="161" t="s">
        <v>3248</v>
      </c>
      <c r="E2120" s="156"/>
      <c r="F2120" s="156"/>
      <c r="G2120" s="156"/>
      <c r="H2120" s="162"/>
      <c r="I2120" s="156"/>
      <c r="J2120" s="156"/>
      <c r="K2120" s="163"/>
    </row>
    <row r="2121">
      <c r="A2121" s="154"/>
      <c r="B2121" s="155"/>
      <c r="C2121" s="155"/>
      <c r="D2121" s="156" t="s">
        <v>130</v>
      </c>
      <c r="E2121" s="156" t="s">
        <v>4</v>
      </c>
      <c r="F2121" s="155"/>
      <c r="G2121" s="157" t="n">
        <v>1</v>
      </c>
      <c r="H2121" s="158"/>
      <c r="I2121" s="155"/>
      <c r="J2121" s="155"/>
      <c r="K2121" s="146"/>
    </row>
    <row r="2122">
      <c r="A2122" s="9" t="s">
        <v>3249</v>
      </c>
      <c r="B2122" s="10" t="s">
        <v>87</v>
      </c>
      <c r="C2122" s="10" t="s">
        <v>3250</v>
      </c>
      <c r="D2122" s="14" t="s">
        <v>3251</v>
      </c>
      <c r="E2122" s="10"/>
      <c r="F2122" s="10" t="s">
        <v>133</v>
      </c>
      <c r="G2122" s="111" t="n">
        <v>4</v>
      </c>
      <c r="H2122" s="152" t="n">
        <v>0</v>
      </c>
      <c r="I2122" s="111">
        <f>G2122*H2122</f>
      </c>
      <c r="J2122" s="153" t="s">
        <v>134</v>
      </c>
      <c r="K2122" s="146"/>
      <c r="Z2122" s="111">
        <f>IF(AQ2122="5",BJ2122,0)</f>
      </c>
      <c r="AB2122" s="111">
        <f>IF(AQ2122="1",BH2122,0)</f>
      </c>
      <c r="AC2122" s="111">
        <f>IF(AQ2122="1",BI2122,0)</f>
      </c>
      <c r="AD2122" s="111">
        <f>IF(AQ2122="7",BH2122,0)</f>
      </c>
      <c r="AE2122" s="111">
        <f>IF(AQ2122="7",BI2122,0)</f>
      </c>
      <c r="AF2122" s="111">
        <f>IF(AQ2122="2",BH2122,0)</f>
      </c>
      <c r="AG2122" s="111">
        <f>IF(AQ2122="2",BI2122,0)</f>
      </c>
      <c r="AH2122" s="111">
        <f>IF(AQ2122="0",BJ2122,0)</f>
      </c>
      <c r="AI2122" s="132" t="s">
        <v>87</v>
      </c>
      <c r="AJ2122" s="111">
        <f>IF(AN2122=0,I2122,0)</f>
      </c>
      <c r="AK2122" s="111">
        <f>IF(AN2122=12,I2122,0)</f>
      </c>
      <c r="AL2122" s="111">
        <f>IF(AN2122=21,I2122,0)</f>
      </c>
      <c r="AN2122" s="111" t="n">
        <v>21</v>
      </c>
      <c r="AO2122" s="111">
        <f>H2122*0.612464286</f>
      </c>
      <c r="AP2122" s="111">
        <f>H2122*(1-0.612464286)</f>
      </c>
      <c r="AQ2122" s="153" t="s">
        <v>130</v>
      </c>
      <c r="AV2122" s="111">
        <f>AW2122+AX2122</f>
      </c>
      <c r="AW2122" s="111">
        <f>G2122*AO2122</f>
      </c>
      <c r="AX2122" s="111">
        <f>G2122*AP2122</f>
      </c>
      <c r="AY2122" s="153" t="s">
        <v>3233</v>
      </c>
      <c r="AZ2122" s="153" t="s">
        <v>3206</v>
      </c>
      <c r="BA2122" s="132" t="s">
        <v>2990</v>
      </c>
      <c r="BC2122" s="111">
        <f>AW2122+AX2122</f>
      </c>
      <c r="BD2122" s="111">
        <f>H2122/(100-BE2122)*100</f>
      </c>
      <c r="BE2122" s="111" t="n">
        <v>0</v>
      </c>
      <c r="BF2122" s="111">
        <f>2122</f>
      </c>
      <c r="BH2122" s="111">
        <f>G2122*AO2122</f>
      </c>
      <c r="BI2122" s="111">
        <f>G2122*AP2122</f>
      </c>
      <c r="BJ2122" s="111">
        <f>G2122*H2122</f>
      </c>
      <c r="BK2122" s="111"/>
      <c r="BL2122" s="111" t="n">
        <v>89</v>
      </c>
      <c r="BW2122" s="111" t="n">
        <v>21</v>
      </c>
      <c r="BX2122" s="14" t="s">
        <v>3251</v>
      </c>
    </row>
    <row r="2123" customHeight="true" ht="13.5">
      <c r="A2123" s="159"/>
      <c r="C2123" s="160" t="s">
        <v>146</v>
      </c>
      <c r="D2123" s="161" t="s">
        <v>3252</v>
      </c>
      <c r="E2123" s="156"/>
      <c r="F2123" s="156"/>
      <c r="G2123" s="156"/>
      <c r="H2123" s="162"/>
      <c r="I2123" s="156"/>
      <c r="J2123" s="156"/>
      <c r="K2123" s="163"/>
    </row>
    <row r="2124">
      <c r="A2124" s="154"/>
      <c r="B2124" s="155"/>
      <c r="C2124" s="155"/>
      <c r="D2124" s="156" t="s">
        <v>149</v>
      </c>
      <c r="E2124" s="156" t="s">
        <v>4</v>
      </c>
      <c r="F2124" s="155"/>
      <c r="G2124" s="157" t="n">
        <v>4</v>
      </c>
      <c r="H2124" s="158"/>
      <c r="I2124" s="155"/>
      <c r="J2124" s="155"/>
      <c r="K2124" s="146"/>
    </row>
    <row r="2125">
      <c r="A2125" s="9" t="s">
        <v>3253</v>
      </c>
      <c r="B2125" s="10" t="s">
        <v>87</v>
      </c>
      <c r="C2125" s="10" t="s">
        <v>3254</v>
      </c>
      <c r="D2125" s="14" t="s">
        <v>3255</v>
      </c>
      <c r="E2125" s="10"/>
      <c r="F2125" s="10" t="s">
        <v>133</v>
      </c>
      <c r="G2125" s="111" t="n">
        <v>1</v>
      </c>
      <c r="H2125" s="152" t="n">
        <v>0</v>
      </c>
      <c r="I2125" s="111">
        <f>G2125*H2125</f>
      </c>
      <c r="J2125" s="153" t="s">
        <v>134</v>
      </c>
      <c r="K2125" s="146"/>
      <c r="Z2125" s="111">
        <f>IF(AQ2125="5",BJ2125,0)</f>
      </c>
      <c r="AB2125" s="111">
        <f>IF(AQ2125="1",BH2125,0)</f>
      </c>
      <c r="AC2125" s="111">
        <f>IF(AQ2125="1",BI2125,0)</f>
      </c>
      <c r="AD2125" s="111">
        <f>IF(AQ2125="7",BH2125,0)</f>
      </c>
      <c r="AE2125" s="111">
        <f>IF(AQ2125="7",BI2125,0)</f>
      </c>
      <c r="AF2125" s="111">
        <f>IF(AQ2125="2",BH2125,0)</f>
      </c>
      <c r="AG2125" s="111">
        <f>IF(AQ2125="2",BI2125,0)</f>
      </c>
      <c r="AH2125" s="111">
        <f>IF(AQ2125="0",BJ2125,0)</f>
      </c>
      <c r="AI2125" s="132" t="s">
        <v>87</v>
      </c>
      <c r="AJ2125" s="111">
        <f>IF(AN2125=0,I2125,0)</f>
      </c>
      <c r="AK2125" s="111">
        <f>IF(AN2125=12,I2125,0)</f>
      </c>
      <c r="AL2125" s="111">
        <f>IF(AN2125=21,I2125,0)</f>
      </c>
      <c r="AN2125" s="111" t="n">
        <v>21</v>
      </c>
      <c r="AO2125" s="111">
        <f>H2125*0.180960771</f>
      </c>
      <c r="AP2125" s="111">
        <f>H2125*(1-0.180960771)</f>
      </c>
      <c r="AQ2125" s="153" t="s">
        <v>130</v>
      </c>
      <c r="AV2125" s="111">
        <f>AW2125+AX2125</f>
      </c>
      <c r="AW2125" s="111">
        <f>G2125*AO2125</f>
      </c>
      <c r="AX2125" s="111">
        <f>G2125*AP2125</f>
      </c>
      <c r="AY2125" s="153" t="s">
        <v>3233</v>
      </c>
      <c r="AZ2125" s="153" t="s">
        <v>3206</v>
      </c>
      <c r="BA2125" s="132" t="s">
        <v>2990</v>
      </c>
      <c r="BC2125" s="111">
        <f>AW2125+AX2125</f>
      </c>
      <c r="BD2125" s="111">
        <f>H2125/(100-BE2125)*100</f>
      </c>
      <c r="BE2125" s="111" t="n">
        <v>0</v>
      </c>
      <c r="BF2125" s="111">
        <f>2125</f>
      </c>
      <c r="BH2125" s="111">
        <f>G2125*AO2125</f>
      </c>
      <c r="BI2125" s="111">
        <f>G2125*AP2125</f>
      </c>
      <c r="BJ2125" s="111">
        <f>G2125*H2125</f>
      </c>
      <c r="BK2125" s="111"/>
      <c r="BL2125" s="111" t="n">
        <v>89</v>
      </c>
      <c r="BW2125" s="111" t="n">
        <v>21</v>
      </c>
      <c r="BX2125" s="14" t="s">
        <v>3255</v>
      </c>
    </row>
    <row r="2126">
      <c r="A2126" s="154"/>
      <c r="B2126" s="155"/>
      <c r="C2126" s="155"/>
      <c r="D2126" s="156" t="s">
        <v>130</v>
      </c>
      <c r="E2126" s="156" t="s">
        <v>4</v>
      </c>
      <c r="F2126" s="155"/>
      <c r="G2126" s="157" t="n">
        <v>1</v>
      </c>
      <c r="H2126" s="158"/>
      <c r="I2126" s="155"/>
      <c r="J2126" s="155"/>
      <c r="K2126" s="146"/>
    </row>
    <row r="2127">
      <c r="A2127" s="9" t="s">
        <v>3256</v>
      </c>
      <c r="B2127" s="10" t="s">
        <v>87</v>
      </c>
      <c r="C2127" s="10" t="s">
        <v>3257</v>
      </c>
      <c r="D2127" s="14" t="s">
        <v>3258</v>
      </c>
      <c r="E2127" s="10"/>
      <c r="F2127" s="10" t="s">
        <v>133</v>
      </c>
      <c r="G2127" s="111" t="n">
        <v>1</v>
      </c>
      <c r="H2127" s="152" t="n">
        <v>0</v>
      </c>
      <c r="I2127" s="111">
        <f>G2127*H2127</f>
      </c>
      <c r="J2127" s="153" t="s">
        <v>134</v>
      </c>
      <c r="K2127" s="146"/>
      <c r="Z2127" s="111">
        <f>IF(AQ2127="5",BJ2127,0)</f>
      </c>
      <c r="AB2127" s="111">
        <f>IF(AQ2127="1",BH2127,0)</f>
      </c>
      <c r="AC2127" s="111">
        <f>IF(AQ2127="1",BI2127,0)</f>
      </c>
      <c r="AD2127" s="111">
        <f>IF(AQ2127="7",BH2127,0)</f>
      </c>
      <c r="AE2127" s="111">
        <f>IF(AQ2127="7",BI2127,0)</f>
      </c>
      <c r="AF2127" s="111">
        <f>IF(AQ2127="2",BH2127,0)</f>
      </c>
      <c r="AG2127" s="111">
        <f>IF(AQ2127="2",BI2127,0)</f>
      </c>
      <c r="AH2127" s="111">
        <f>IF(AQ2127="0",BJ2127,0)</f>
      </c>
      <c r="AI2127" s="132" t="s">
        <v>87</v>
      </c>
      <c r="AJ2127" s="111">
        <f>IF(AN2127=0,I2127,0)</f>
      </c>
      <c r="AK2127" s="111">
        <f>IF(AN2127=12,I2127,0)</f>
      </c>
      <c r="AL2127" s="111">
        <f>IF(AN2127=21,I2127,0)</f>
      </c>
      <c r="AN2127" s="111" t="n">
        <v>21</v>
      </c>
      <c r="AO2127" s="111">
        <f>H2127*0.644190538</f>
      </c>
      <c r="AP2127" s="111">
        <f>H2127*(1-0.644190538)</f>
      </c>
      <c r="AQ2127" s="153" t="s">
        <v>130</v>
      </c>
      <c r="AV2127" s="111">
        <f>AW2127+AX2127</f>
      </c>
      <c r="AW2127" s="111">
        <f>G2127*AO2127</f>
      </c>
      <c r="AX2127" s="111">
        <f>G2127*AP2127</f>
      </c>
      <c r="AY2127" s="153" t="s">
        <v>3233</v>
      </c>
      <c r="AZ2127" s="153" t="s">
        <v>3206</v>
      </c>
      <c r="BA2127" s="132" t="s">
        <v>2990</v>
      </c>
      <c r="BC2127" s="111">
        <f>AW2127+AX2127</f>
      </c>
      <c r="BD2127" s="111">
        <f>H2127/(100-BE2127)*100</f>
      </c>
      <c r="BE2127" s="111" t="n">
        <v>0</v>
      </c>
      <c r="BF2127" s="111">
        <f>2127</f>
      </c>
      <c r="BH2127" s="111">
        <f>G2127*AO2127</f>
      </c>
      <c r="BI2127" s="111">
        <f>G2127*AP2127</f>
      </c>
      <c r="BJ2127" s="111">
        <f>G2127*H2127</f>
      </c>
      <c r="BK2127" s="111"/>
      <c r="BL2127" s="111" t="n">
        <v>89</v>
      </c>
      <c r="BW2127" s="111" t="n">
        <v>21</v>
      </c>
      <c r="BX2127" s="14" t="s">
        <v>3258</v>
      </c>
    </row>
    <row r="2128">
      <c r="A2128" s="154"/>
      <c r="B2128" s="155"/>
      <c r="C2128" s="155"/>
      <c r="D2128" s="156" t="s">
        <v>130</v>
      </c>
      <c r="E2128" s="156" t="s">
        <v>3015</v>
      </c>
      <c r="F2128" s="155"/>
      <c r="G2128" s="157" t="n">
        <v>1</v>
      </c>
      <c r="H2128" s="158"/>
      <c r="I2128" s="155"/>
      <c r="J2128" s="155"/>
      <c r="K2128" s="146"/>
    </row>
    <row r="2129">
      <c r="A2129" s="9" t="s">
        <v>3259</v>
      </c>
      <c r="B2129" s="10" t="s">
        <v>87</v>
      </c>
      <c r="C2129" s="10" t="s">
        <v>3260</v>
      </c>
      <c r="D2129" s="14" t="s">
        <v>3261</v>
      </c>
      <c r="E2129" s="10"/>
      <c r="F2129" s="10" t="s">
        <v>133</v>
      </c>
      <c r="G2129" s="111" t="n">
        <v>6</v>
      </c>
      <c r="H2129" s="152" t="n">
        <v>0</v>
      </c>
      <c r="I2129" s="111">
        <f>G2129*H2129</f>
      </c>
      <c r="J2129" s="153" t="s">
        <v>134</v>
      </c>
      <c r="K2129" s="146"/>
      <c r="Z2129" s="111">
        <f>IF(AQ2129="5",BJ2129,0)</f>
      </c>
      <c r="AB2129" s="111">
        <f>IF(AQ2129="1",BH2129,0)</f>
      </c>
      <c r="AC2129" s="111">
        <f>IF(AQ2129="1",BI2129,0)</f>
      </c>
      <c r="AD2129" s="111">
        <f>IF(AQ2129="7",BH2129,0)</f>
      </c>
      <c r="AE2129" s="111">
        <f>IF(AQ2129="7",BI2129,0)</f>
      </c>
      <c r="AF2129" s="111">
        <f>IF(AQ2129="2",BH2129,0)</f>
      </c>
      <c r="AG2129" s="111">
        <f>IF(AQ2129="2",BI2129,0)</f>
      </c>
      <c r="AH2129" s="111">
        <f>IF(AQ2129="0",BJ2129,0)</f>
      </c>
      <c r="AI2129" s="132" t="s">
        <v>87</v>
      </c>
      <c r="AJ2129" s="111">
        <f>IF(AN2129=0,I2129,0)</f>
      </c>
      <c r="AK2129" s="111">
        <f>IF(AN2129=12,I2129,0)</f>
      </c>
      <c r="AL2129" s="111">
        <f>IF(AN2129=21,I2129,0)</f>
      </c>
      <c r="AN2129" s="111" t="n">
        <v>21</v>
      </c>
      <c r="AO2129" s="111">
        <f>H2129*0.631520468</f>
      </c>
      <c r="AP2129" s="111">
        <f>H2129*(1-0.631520468)</f>
      </c>
      <c r="AQ2129" s="153" t="s">
        <v>130</v>
      </c>
      <c r="AV2129" s="111">
        <f>AW2129+AX2129</f>
      </c>
      <c r="AW2129" s="111">
        <f>G2129*AO2129</f>
      </c>
      <c r="AX2129" s="111">
        <f>G2129*AP2129</f>
      </c>
      <c r="AY2129" s="153" t="s">
        <v>3233</v>
      </c>
      <c r="AZ2129" s="153" t="s">
        <v>3206</v>
      </c>
      <c r="BA2129" s="132" t="s">
        <v>2990</v>
      </c>
      <c r="BC2129" s="111">
        <f>AW2129+AX2129</f>
      </c>
      <c r="BD2129" s="111">
        <f>H2129/(100-BE2129)*100</f>
      </c>
      <c r="BE2129" s="111" t="n">
        <v>0</v>
      </c>
      <c r="BF2129" s="111">
        <f>2129</f>
      </c>
      <c r="BH2129" s="111">
        <f>G2129*AO2129</f>
      </c>
      <c r="BI2129" s="111">
        <f>G2129*AP2129</f>
      </c>
      <c r="BJ2129" s="111">
        <f>G2129*H2129</f>
      </c>
      <c r="BK2129" s="111"/>
      <c r="BL2129" s="111" t="n">
        <v>89</v>
      </c>
      <c r="BW2129" s="111" t="n">
        <v>21</v>
      </c>
      <c r="BX2129" s="14" t="s">
        <v>3261</v>
      </c>
    </row>
    <row r="2130" customHeight="true" ht="13.5">
      <c r="A2130" s="159"/>
      <c r="C2130" s="160" t="s">
        <v>146</v>
      </c>
      <c r="D2130" s="161" t="s">
        <v>3262</v>
      </c>
      <c r="E2130" s="156"/>
      <c r="F2130" s="156"/>
      <c r="G2130" s="156"/>
      <c r="H2130" s="162"/>
      <c r="I2130" s="156"/>
      <c r="J2130" s="156"/>
      <c r="K2130" s="163"/>
    </row>
    <row r="2131">
      <c r="A2131" s="154"/>
      <c r="B2131" s="155"/>
      <c r="C2131" s="155"/>
      <c r="D2131" s="156" t="s">
        <v>165</v>
      </c>
      <c r="E2131" s="156" t="s">
        <v>3143</v>
      </c>
      <c r="F2131" s="155"/>
      <c r="G2131" s="157" t="n">
        <v>6</v>
      </c>
      <c r="H2131" s="158"/>
      <c r="I2131" s="155"/>
      <c r="J2131" s="155"/>
      <c r="K2131" s="146"/>
    </row>
    <row r="2132">
      <c r="A2132" s="9" t="s">
        <v>3263</v>
      </c>
      <c r="B2132" s="10" t="s">
        <v>87</v>
      </c>
      <c r="C2132" s="10" t="s">
        <v>3264</v>
      </c>
      <c r="D2132" s="14" t="s">
        <v>3265</v>
      </c>
      <c r="E2132" s="10"/>
      <c r="F2132" s="10" t="s">
        <v>133</v>
      </c>
      <c r="G2132" s="111" t="n">
        <v>1</v>
      </c>
      <c r="H2132" s="152" t="n">
        <v>0</v>
      </c>
      <c r="I2132" s="111">
        <f>G2132*H2132</f>
      </c>
      <c r="J2132" s="153" t="s">
        <v>134</v>
      </c>
      <c r="K2132" s="146"/>
      <c r="Z2132" s="111">
        <f>IF(AQ2132="5",BJ2132,0)</f>
      </c>
      <c r="AB2132" s="111">
        <f>IF(AQ2132="1",BH2132,0)</f>
      </c>
      <c r="AC2132" s="111">
        <f>IF(AQ2132="1",BI2132,0)</f>
      </c>
      <c r="AD2132" s="111">
        <f>IF(AQ2132="7",BH2132,0)</f>
      </c>
      <c r="AE2132" s="111">
        <f>IF(AQ2132="7",BI2132,0)</f>
      </c>
      <c r="AF2132" s="111">
        <f>IF(AQ2132="2",BH2132,0)</f>
      </c>
      <c r="AG2132" s="111">
        <f>IF(AQ2132="2",BI2132,0)</f>
      </c>
      <c r="AH2132" s="111">
        <f>IF(AQ2132="0",BJ2132,0)</f>
      </c>
      <c r="AI2132" s="132" t="s">
        <v>87</v>
      </c>
      <c r="AJ2132" s="111">
        <f>IF(AN2132=0,I2132,0)</f>
      </c>
      <c r="AK2132" s="111">
        <f>IF(AN2132=12,I2132,0)</f>
      </c>
      <c r="AL2132" s="111">
        <f>IF(AN2132=21,I2132,0)</f>
      </c>
      <c r="AN2132" s="111" t="n">
        <v>21</v>
      </c>
      <c r="AO2132" s="111">
        <f>H2132*0.678520408</f>
      </c>
      <c r="AP2132" s="111">
        <f>H2132*(1-0.678520408)</f>
      </c>
      <c r="AQ2132" s="153" t="s">
        <v>130</v>
      </c>
      <c r="AV2132" s="111">
        <f>AW2132+AX2132</f>
      </c>
      <c r="AW2132" s="111">
        <f>G2132*AO2132</f>
      </c>
      <c r="AX2132" s="111">
        <f>G2132*AP2132</f>
      </c>
      <c r="AY2132" s="153" t="s">
        <v>3233</v>
      </c>
      <c r="AZ2132" s="153" t="s">
        <v>3206</v>
      </c>
      <c r="BA2132" s="132" t="s">
        <v>2990</v>
      </c>
      <c r="BC2132" s="111">
        <f>AW2132+AX2132</f>
      </c>
      <c r="BD2132" s="111">
        <f>H2132/(100-BE2132)*100</f>
      </c>
      <c r="BE2132" s="111" t="n">
        <v>0</v>
      </c>
      <c r="BF2132" s="111">
        <f>2132</f>
      </c>
      <c r="BH2132" s="111">
        <f>G2132*AO2132</f>
      </c>
      <c r="BI2132" s="111">
        <f>G2132*AP2132</f>
      </c>
      <c r="BJ2132" s="111">
        <f>G2132*H2132</f>
      </c>
      <c r="BK2132" s="111"/>
      <c r="BL2132" s="111" t="n">
        <v>89</v>
      </c>
      <c r="BW2132" s="111" t="n">
        <v>21</v>
      </c>
      <c r="BX2132" s="14" t="s">
        <v>3265</v>
      </c>
    </row>
    <row r="2133" customHeight="true" ht="13.5">
      <c r="A2133" s="159"/>
      <c r="C2133" s="160" t="s">
        <v>146</v>
      </c>
      <c r="D2133" s="161" t="s">
        <v>3266</v>
      </c>
      <c r="E2133" s="156"/>
      <c r="F2133" s="156"/>
      <c r="G2133" s="156"/>
      <c r="H2133" s="162"/>
      <c r="I2133" s="156"/>
      <c r="J2133" s="156"/>
      <c r="K2133" s="163"/>
    </row>
    <row r="2134">
      <c r="A2134" s="154"/>
      <c r="B2134" s="155"/>
      <c r="C2134" s="155"/>
      <c r="D2134" s="156" t="s">
        <v>130</v>
      </c>
      <c r="E2134" s="156" t="s">
        <v>3143</v>
      </c>
      <c r="F2134" s="155"/>
      <c r="G2134" s="157" t="n">
        <v>1</v>
      </c>
      <c r="H2134" s="158"/>
      <c r="I2134" s="155"/>
      <c r="J2134" s="155"/>
      <c r="K2134" s="146"/>
    </row>
    <row r="2135">
      <c r="A2135" s="9" t="s">
        <v>3267</v>
      </c>
      <c r="B2135" s="10" t="s">
        <v>87</v>
      </c>
      <c r="C2135" s="10" t="s">
        <v>3268</v>
      </c>
      <c r="D2135" s="14" t="s">
        <v>3269</v>
      </c>
      <c r="E2135" s="10"/>
      <c r="F2135" s="10" t="s">
        <v>133</v>
      </c>
      <c r="G2135" s="111" t="n">
        <v>1</v>
      </c>
      <c r="H2135" s="152" t="n">
        <v>0</v>
      </c>
      <c r="I2135" s="111">
        <f>G2135*H2135</f>
      </c>
      <c r="J2135" s="153" t="s">
        <v>134</v>
      </c>
      <c r="K2135" s="146"/>
      <c r="Z2135" s="111">
        <f>IF(AQ2135="5",BJ2135,0)</f>
      </c>
      <c r="AB2135" s="111">
        <f>IF(AQ2135="1",BH2135,0)</f>
      </c>
      <c r="AC2135" s="111">
        <f>IF(AQ2135="1",BI2135,0)</f>
      </c>
      <c r="AD2135" s="111">
        <f>IF(AQ2135="7",BH2135,0)</f>
      </c>
      <c r="AE2135" s="111">
        <f>IF(AQ2135="7",BI2135,0)</f>
      </c>
      <c r="AF2135" s="111">
        <f>IF(AQ2135="2",BH2135,0)</f>
      </c>
      <c r="AG2135" s="111">
        <f>IF(AQ2135="2",BI2135,0)</f>
      </c>
      <c r="AH2135" s="111">
        <f>IF(AQ2135="0",BJ2135,0)</f>
      </c>
      <c r="AI2135" s="132" t="s">
        <v>87</v>
      </c>
      <c r="AJ2135" s="111">
        <f>IF(AN2135=0,I2135,0)</f>
      </c>
      <c r="AK2135" s="111">
        <f>IF(AN2135=12,I2135,0)</f>
      </c>
      <c r="AL2135" s="111">
        <f>IF(AN2135=21,I2135,0)</f>
      </c>
      <c r="AN2135" s="111" t="n">
        <v>21</v>
      </c>
      <c r="AO2135" s="111">
        <f>H2135*0.890857455</f>
      </c>
      <c r="AP2135" s="111">
        <f>H2135*(1-0.890857455)</f>
      </c>
      <c r="AQ2135" s="153" t="s">
        <v>130</v>
      </c>
      <c r="AV2135" s="111">
        <f>AW2135+AX2135</f>
      </c>
      <c r="AW2135" s="111">
        <f>G2135*AO2135</f>
      </c>
      <c r="AX2135" s="111">
        <f>G2135*AP2135</f>
      </c>
      <c r="AY2135" s="153" t="s">
        <v>3233</v>
      </c>
      <c r="AZ2135" s="153" t="s">
        <v>3206</v>
      </c>
      <c r="BA2135" s="132" t="s">
        <v>2990</v>
      </c>
      <c r="BC2135" s="111">
        <f>AW2135+AX2135</f>
      </c>
      <c r="BD2135" s="111">
        <f>H2135/(100-BE2135)*100</f>
      </c>
      <c r="BE2135" s="111" t="n">
        <v>0</v>
      </c>
      <c r="BF2135" s="111">
        <f>2135</f>
      </c>
      <c r="BH2135" s="111">
        <f>G2135*AO2135</f>
      </c>
      <c r="BI2135" s="111">
        <f>G2135*AP2135</f>
      </c>
      <c r="BJ2135" s="111">
        <f>G2135*H2135</f>
      </c>
      <c r="BK2135" s="111"/>
      <c r="BL2135" s="111" t="n">
        <v>89</v>
      </c>
      <c r="BW2135" s="111" t="n">
        <v>21</v>
      </c>
      <c r="BX2135" s="14" t="s">
        <v>3269</v>
      </c>
    </row>
    <row r="2136" customHeight="true" ht="13.5">
      <c r="A2136" s="159"/>
      <c r="C2136" s="160" t="s">
        <v>146</v>
      </c>
      <c r="D2136" s="161" t="s">
        <v>3270</v>
      </c>
      <c r="E2136" s="156"/>
      <c r="F2136" s="156"/>
      <c r="G2136" s="156"/>
      <c r="H2136" s="162"/>
      <c r="I2136" s="156"/>
      <c r="J2136" s="156"/>
      <c r="K2136" s="163"/>
    </row>
    <row r="2137">
      <c r="A2137" s="154"/>
      <c r="B2137" s="155"/>
      <c r="C2137" s="155"/>
      <c r="D2137" s="156" t="s">
        <v>130</v>
      </c>
      <c r="E2137" s="156" t="s">
        <v>4</v>
      </c>
      <c r="F2137" s="155"/>
      <c r="G2137" s="157" t="n">
        <v>1</v>
      </c>
      <c r="H2137" s="158"/>
      <c r="I2137" s="155"/>
      <c r="J2137" s="155"/>
      <c r="K2137" s="146"/>
    </row>
    <row r="2138">
      <c r="A2138" s="9" t="s">
        <v>3271</v>
      </c>
      <c r="B2138" s="10" t="s">
        <v>87</v>
      </c>
      <c r="C2138" s="10" t="s">
        <v>3272</v>
      </c>
      <c r="D2138" s="14" t="s">
        <v>3273</v>
      </c>
      <c r="E2138" s="10"/>
      <c r="F2138" s="10" t="s">
        <v>133</v>
      </c>
      <c r="G2138" s="111" t="n">
        <v>1</v>
      </c>
      <c r="H2138" s="152" t="n">
        <v>0</v>
      </c>
      <c r="I2138" s="111">
        <f>G2138*H2138</f>
      </c>
      <c r="J2138" s="153" t="s">
        <v>134</v>
      </c>
      <c r="K2138" s="146"/>
      <c r="Z2138" s="111">
        <f>IF(AQ2138="5",BJ2138,0)</f>
      </c>
      <c r="AB2138" s="111">
        <f>IF(AQ2138="1",BH2138,0)</f>
      </c>
      <c r="AC2138" s="111">
        <f>IF(AQ2138="1",BI2138,0)</f>
      </c>
      <c r="AD2138" s="111">
        <f>IF(AQ2138="7",BH2138,0)</f>
      </c>
      <c r="AE2138" s="111">
        <f>IF(AQ2138="7",BI2138,0)</f>
      </c>
      <c r="AF2138" s="111">
        <f>IF(AQ2138="2",BH2138,0)</f>
      </c>
      <c r="AG2138" s="111">
        <f>IF(AQ2138="2",BI2138,0)</f>
      </c>
      <c r="AH2138" s="111">
        <f>IF(AQ2138="0",BJ2138,0)</f>
      </c>
      <c r="AI2138" s="132" t="s">
        <v>87</v>
      </c>
      <c r="AJ2138" s="111">
        <f>IF(AN2138=0,I2138,0)</f>
      </c>
      <c r="AK2138" s="111">
        <f>IF(AN2138=12,I2138,0)</f>
      </c>
      <c r="AL2138" s="111">
        <f>IF(AN2138=21,I2138,0)</f>
      </c>
      <c r="AN2138" s="111" t="n">
        <v>21</v>
      </c>
      <c r="AO2138" s="111">
        <f>H2138*0.93515772</f>
      </c>
      <c r="AP2138" s="111">
        <f>H2138*(1-0.93515772)</f>
      </c>
      <c r="AQ2138" s="153" t="s">
        <v>130</v>
      </c>
      <c r="AV2138" s="111">
        <f>AW2138+AX2138</f>
      </c>
      <c r="AW2138" s="111">
        <f>G2138*AO2138</f>
      </c>
      <c r="AX2138" s="111">
        <f>G2138*AP2138</f>
      </c>
      <c r="AY2138" s="153" t="s">
        <v>3233</v>
      </c>
      <c r="AZ2138" s="153" t="s">
        <v>3206</v>
      </c>
      <c r="BA2138" s="132" t="s">
        <v>2990</v>
      </c>
      <c r="BC2138" s="111">
        <f>AW2138+AX2138</f>
      </c>
      <c r="BD2138" s="111">
        <f>H2138/(100-BE2138)*100</f>
      </c>
      <c r="BE2138" s="111" t="n">
        <v>0</v>
      </c>
      <c r="BF2138" s="111">
        <f>2138</f>
      </c>
      <c r="BH2138" s="111">
        <f>G2138*AO2138</f>
      </c>
      <c r="BI2138" s="111">
        <f>G2138*AP2138</f>
      </c>
      <c r="BJ2138" s="111">
        <f>G2138*H2138</f>
      </c>
      <c r="BK2138" s="111"/>
      <c r="BL2138" s="111" t="n">
        <v>89</v>
      </c>
      <c r="BW2138" s="111" t="n">
        <v>21</v>
      </c>
      <c r="BX2138" s="14" t="s">
        <v>3273</v>
      </c>
    </row>
    <row r="2139" customHeight="true" ht="13.5">
      <c r="A2139" s="159"/>
      <c r="C2139" s="160" t="s">
        <v>146</v>
      </c>
      <c r="D2139" s="161" t="s">
        <v>3274</v>
      </c>
      <c r="E2139" s="156"/>
      <c r="F2139" s="156"/>
      <c r="G2139" s="156"/>
      <c r="H2139" s="162"/>
      <c r="I2139" s="156"/>
      <c r="J2139" s="156"/>
      <c r="K2139" s="163"/>
    </row>
    <row r="2140">
      <c r="A2140" s="154"/>
      <c r="B2140" s="155"/>
      <c r="C2140" s="155"/>
      <c r="D2140" s="156" t="s">
        <v>130</v>
      </c>
      <c r="E2140" s="156" t="s">
        <v>4</v>
      </c>
      <c r="F2140" s="155"/>
      <c r="G2140" s="157" t="n">
        <v>1</v>
      </c>
      <c r="H2140" s="158"/>
      <c r="I2140" s="155"/>
      <c r="J2140" s="155"/>
      <c r="K2140" s="146"/>
    </row>
    <row r="2141">
      <c r="A2141" s="9" t="s">
        <v>3275</v>
      </c>
      <c r="B2141" s="10" t="s">
        <v>87</v>
      </c>
      <c r="C2141" s="10" t="s">
        <v>3276</v>
      </c>
      <c r="D2141" s="14" t="s">
        <v>3277</v>
      </c>
      <c r="E2141" s="10"/>
      <c r="F2141" s="10" t="s">
        <v>133</v>
      </c>
      <c r="G2141" s="111" t="n">
        <v>2</v>
      </c>
      <c r="H2141" s="152" t="n">
        <v>0</v>
      </c>
      <c r="I2141" s="111">
        <f>G2141*H2141</f>
      </c>
      <c r="J2141" s="153" t="s">
        <v>134</v>
      </c>
      <c r="K2141" s="146"/>
      <c r="Z2141" s="111">
        <f>IF(AQ2141="5",BJ2141,0)</f>
      </c>
      <c r="AB2141" s="111">
        <f>IF(AQ2141="1",BH2141,0)</f>
      </c>
      <c r="AC2141" s="111">
        <f>IF(AQ2141="1",BI2141,0)</f>
      </c>
      <c r="AD2141" s="111">
        <f>IF(AQ2141="7",BH2141,0)</f>
      </c>
      <c r="AE2141" s="111">
        <f>IF(AQ2141="7",BI2141,0)</f>
      </c>
      <c r="AF2141" s="111">
        <f>IF(AQ2141="2",BH2141,0)</f>
      </c>
      <c r="AG2141" s="111">
        <f>IF(AQ2141="2",BI2141,0)</f>
      </c>
      <c r="AH2141" s="111">
        <f>IF(AQ2141="0",BJ2141,0)</f>
      </c>
      <c r="AI2141" s="132" t="s">
        <v>87</v>
      </c>
      <c r="AJ2141" s="111">
        <f>IF(AN2141=0,I2141,0)</f>
      </c>
      <c r="AK2141" s="111">
        <f>IF(AN2141=12,I2141,0)</f>
      </c>
      <c r="AL2141" s="111">
        <f>IF(AN2141=21,I2141,0)</f>
      </c>
      <c r="AN2141" s="111" t="n">
        <v>21</v>
      </c>
      <c r="AO2141" s="111">
        <f>H2141*0.908157283</f>
      </c>
      <c r="AP2141" s="111">
        <f>H2141*(1-0.908157283)</f>
      </c>
      <c r="AQ2141" s="153" t="s">
        <v>130</v>
      </c>
      <c r="AV2141" s="111">
        <f>AW2141+AX2141</f>
      </c>
      <c r="AW2141" s="111">
        <f>G2141*AO2141</f>
      </c>
      <c r="AX2141" s="111">
        <f>G2141*AP2141</f>
      </c>
      <c r="AY2141" s="153" t="s">
        <v>3233</v>
      </c>
      <c r="AZ2141" s="153" t="s">
        <v>3206</v>
      </c>
      <c r="BA2141" s="132" t="s">
        <v>2990</v>
      </c>
      <c r="BC2141" s="111">
        <f>AW2141+AX2141</f>
      </c>
      <c r="BD2141" s="111">
        <f>H2141/(100-BE2141)*100</f>
      </c>
      <c r="BE2141" s="111" t="n">
        <v>0</v>
      </c>
      <c r="BF2141" s="111">
        <f>2141</f>
      </c>
      <c r="BH2141" s="111">
        <f>G2141*AO2141</f>
      </c>
      <c r="BI2141" s="111">
        <f>G2141*AP2141</f>
      </c>
      <c r="BJ2141" s="111">
        <f>G2141*H2141</f>
      </c>
      <c r="BK2141" s="111"/>
      <c r="BL2141" s="111" t="n">
        <v>89</v>
      </c>
      <c r="BW2141" s="111" t="n">
        <v>21</v>
      </c>
      <c r="BX2141" s="14" t="s">
        <v>3277</v>
      </c>
    </row>
    <row r="2142" customHeight="true" ht="13.5">
      <c r="A2142" s="159"/>
      <c r="C2142" s="160" t="s">
        <v>146</v>
      </c>
      <c r="D2142" s="161" t="s">
        <v>3270</v>
      </c>
      <c r="E2142" s="156"/>
      <c r="F2142" s="156"/>
      <c r="G2142" s="156"/>
      <c r="H2142" s="162"/>
      <c r="I2142" s="156"/>
      <c r="J2142" s="156"/>
      <c r="K2142" s="163"/>
    </row>
    <row r="2143">
      <c r="A2143" s="154"/>
      <c r="B2143" s="155"/>
      <c r="C2143" s="155"/>
      <c r="D2143" s="156" t="s">
        <v>140</v>
      </c>
      <c r="E2143" s="156" t="s">
        <v>4</v>
      </c>
      <c r="F2143" s="155"/>
      <c r="G2143" s="157" t="n">
        <v>2</v>
      </c>
      <c r="H2143" s="158"/>
      <c r="I2143" s="155"/>
      <c r="J2143" s="155"/>
      <c r="K2143" s="146"/>
    </row>
    <row r="2144">
      <c r="A2144" s="9" t="s">
        <v>3278</v>
      </c>
      <c r="B2144" s="10" t="s">
        <v>87</v>
      </c>
      <c r="C2144" s="10" t="s">
        <v>3279</v>
      </c>
      <c r="D2144" s="14" t="s">
        <v>3280</v>
      </c>
      <c r="E2144" s="10"/>
      <c r="F2144" s="10" t="s">
        <v>133</v>
      </c>
      <c r="G2144" s="111" t="n">
        <v>2</v>
      </c>
      <c r="H2144" s="152" t="n">
        <v>0</v>
      </c>
      <c r="I2144" s="111">
        <f>G2144*H2144</f>
      </c>
      <c r="J2144" s="153" t="s">
        <v>134</v>
      </c>
      <c r="K2144" s="146"/>
      <c r="Z2144" s="111">
        <f>IF(AQ2144="5",BJ2144,0)</f>
      </c>
      <c r="AB2144" s="111">
        <f>IF(AQ2144="1",BH2144,0)</f>
      </c>
      <c r="AC2144" s="111">
        <f>IF(AQ2144="1",BI2144,0)</f>
      </c>
      <c r="AD2144" s="111">
        <f>IF(AQ2144="7",BH2144,0)</f>
      </c>
      <c r="AE2144" s="111">
        <f>IF(AQ2144="7",BI2144,0)</f>
      </c>
      <c r="AF2144" s="111">
        <f>IF(AQ2144="2",BH2144,0)</f>
      </c>
      <c r="AG2144" s="111">
        <f>IF(AQ2144="2",BI2144,0)</f>
      </c>
      <c r="AH2144" s="111">
        <f>IF(AQ2144="0",BJ2144,0)</f>
      </c>
      <c r="AI2144" s="132" t="s">
        <v>87</v>
      </c>
      <c r="AJ2144" s="111">
        <f>IF(AN2144=0,I2144,0)</f>
      </c>
      <c r="AK2144" s="111">
        <f>IF(AN2144=12,I2144,0)</f>
      </c>
      <c r="AL2144" s="111">
        <f>IF(AN2144=21,I2144,0)</f>
      </c>
      <c r="AN2144" s="111" t="n">
        <v>21</v>
      </c>
      <c r="AO2144" s="111">
        <f>H2144*0.825555556</f>
      </c>
      <c r="AP2144" s="111">
        <f>H2144*(1-0.825555556)</f>
      </c>
      <c r="AQ2144" s="153" t="s">
        <v>130</v>
      </c>
      <c r="AV2144" s="111">
        <f>AW2144+AX2144</f>
      </c>
      <c r="AW2144" s="111">
        <f>G2144*AO2144</f>
      </c>
      <c r="AX2144" s="111">
        <f>G2144*AP2144</f>
      </c>
      <c r="AY2144" s="153" t="s">
        <v>3233</v>
      </c>
      <c r="AZ2144" s="153" t="s">
        <v>3206</v>
      </c>
      <c r="BA2144" s="132" t="s">
        <v>2990</v>
      </c>
      <c r="BC2144" s="111">
        <f>AW2144+AX2144</f>
      </c>
      <c r="BD2144" s="111">
        <f>H2144/(100-BE2144)*100</f>
      </c>
      <c r="BE2144" s="111" t="n">
        <v>0</v>
      </c>
      <c r="BF2144" s="111">
        <f>2144</f>
      </c>
      <c r="BH2144" s="111">
        <f>G2144*AO2144</f>
      </c>
      <c r="BI2144" s="111">
        <f>G2144*AP2144</f>
      </c>
      <c r="BJ2144" s="111">
        <f>G2144*H2144</f>
      </c>
      <c r="BK2144" s="111"/>
      <c r="BL2144" s="111" t="n">
        <v>89</v>
      </c>
      <c r="BW2144" s="111" t="n">
        <v>21</v>
      </c>
      <c r="BX2144" s="14" t="s">
        <v>3280</v>
      </c>
    </row>
    <row r="2145" customHeight="true" ht="13.5">
      <c r="A2145" s="159"/>
      <c r="C2145" s="160" t="s">
        <v>146</v>
      </c>
      <c r="D2145" s="161" t="s">
        <v>3281</v>
      </c>
      <c r="E2145" s="156"/>
      <c r="F2145" s="156"/>
      <c r="G2145" s="156"/>
      <c r="H2145" s="162"/>
      <c r="I2145" s="156"/>
      <c r="J2145" s="156"/>
      <c r="K2145" s="163"/>
    </row>
    <row r="2146">
      <c r="A2146" s="154"/>
      <c r="B2146" s="155"/>
      <c r="C2146" s="155"/>
      <c r="D2146" s="156" t="s">
        <v>130</v>
      </c>
      <c r="E2146" s="156" t="s">
        <v>3145</v>
      </c>
      <c r="F2146" s="155"/>
      <c r="G2146" s="157" t="n">
        <v>1</v>
      </c>
      <c r="H2146" s="158"/>
      <c r="I2146" s="155"/>
      <c r="J2146" s="155"/>
      <c r="K2146" s="146"/>
    </row>
    <row r="2147">
      <c r="A2147" s="154"/>
      <c r="B2147" s="155"/>
      <c r="C2147" s="155"/>
      <c r="D2147" s="156" t="s">
        <v>130</v>
      </c>
      <c r="E2147" s="156" t="s">
        <v>3143</v>
      </c>
      <c r="F2147" s="155"/>
      <c r="G2147" s="157" t="n">
        <v>1</v>
      </c>
      <c r="H2147" s="158"/>
      <c r="I2147" s="155"/>
      <c r="J2147" s="155"/>
      <c r="K2147" s="146"/>
    </row>
    <row r="2148">
      <c r="A2148" s="9" t="s">
        <v>3282</v>
      </c>
      <c r="B2148" s="10" t="s">
        <v>87</v>
      </c>
      <c r="C2148" s="10" t="s">
        <v>3283</v>
      </c>
      <c r="D2148" s="14" t="s">
        <v>3284</v>
      </c>
      <c r="E2148" s="10"/>
      <c r="F2148" s="10" t="s">
        <v>133</v>
      </c>
      <c r="G2148" s="111" t="n">
        <v>2</v>
      </c>
      <c r="H2148" s="152" t="n">
        <v>0</v>
      </c>
      <c r="I2148" s="111">
        <f>G2148*H2148</f>
      </c>
      <c r="J2148" s="153" t="s">
        <v>134</v>
      </c>
      <c r="K2148" s="146"/>
      <c r="Z2148" s="111">
        <f>IF(AQ2148="5",BJ2148,0)</f>
      </c>
      <c r="AB2148" s="111">
        <f>IF(AQ2148="1",BH2148,0)</f>
      </c>
      <c r="AC2148" s="111">
        <f>IF(AQ2148="1",BI2148,0)</f>
      </c>
      <c r="AD2148" s="111">
        <f>IF(AQ2148="7",BH2148,0)</f>
      </c>
      <c r="AE2148" s="111">
        <f>IF(AQ2148="7",BI2148,0)</f>
      </c>
      <c r="AF2148" s="111">
        <f>IF(AQ2148="2",BH2148,0)</f>
      </c>
      <c r="AG2148" s="111">
        <f>IF(AQ2148="2",BI2148,0)</f>
      </c>
      <c r="AH2148" s="111">
        <f>IF(AQ2148="0",BJ2148,0)</f>
      </c>
      <c r="AI2148" s="132" t="s">
        <v>87</v>
      </c>
      <c r="AJ2148" s="111">
        <f>IF(AN2148=0,I2148,0)</f>
      </c>
      <c r="AK2148" s="111">
        <f>IF(AN2148=12,I2148,0)</f>
      </c>
      <c r="AL2148" s="111">
        <f>IF(AN2148=21,I2148,0)</f>
      </c>
      <c r="AN2148" s="111" t="n">
        <v>21</v>
      </c>
      <c r="AO2148" s="111">
        <f>H2148*0.329748673</f>
      </c>
      <c r="AP2148" s="111">
        <f>H2148*(1-0.329748673)</f>
      </c>
      <c r="AQ2148" s="153" t="s">
        <v>130</v>
      </c>
      <c r="AV2148" s="111">
        <f>AW2148+AX2148</f>
      </c>
      <c r="AW2148" s="111">
        <f>G2148*AO2148</f>
      </c>
      <c r="AX2148" s="111">
        <f>G2148*AP2148</f>
      </c>
      <c r="AY2148" s="153" t="s">
        <v>3233</v>
      </c>
      <c r="AZ2148" s="153" t="s">
        <v>3206</v>
      </c>
      <c r="BA2148" s="132" t="s">
        <v>2990</v>
      </c>
      <c r="BC2148" s="111">
        <f>AW2148+AX2148</f>
      </c>
      <c r="BD2148" s="111">
        <f>H2148/(100-BE2148)*100</f>
      </c>
      <c r="BE2148" s="111" t="n">
        <v>0</v>
      </c>
      <c r="BF2148" s="111">
        <f>2148</f>
      </c>
      <c r="BH2148" s="111">
        <f>G2148*AO2148</f>
      </c>
      <c r="BI2148" s="111">
        <f>G2148*AP2148</f>
      </c>
      <c r="BJ2148" s="111">
        <f>G2148*H2148</f>
      </c>
      <c r="BK2148" s="111"/>
      <c r="BL2148" s="111" t="n">
        <v>89</v>
      </c>
      <c r="BW2148" s="111" t="n">
        <v>21</v>
      </c>
      <c r="BX2148" s="14" t="s">
        <v>3284</v>
      </c>
    </row>
    <row r="2149">
      <c r="A2149" s="154"/>
      <c r="B2149" s="155"/>
      <c r="C2149" s="155"/>
      <c r="D2149" s="156" t="s">
        <v>140</v>
      </c>
      <c r="E2149" s="156" t="s">
        <v>4</v>
      </c>
      <c r="F2149" s="155"/>
      <c r="G2149" s="157" t="n">
        <v>2</v>
      </c>
      <c r="H2149" s="158"/>
      <c r="I2149" s="155"/>
      <c r="J2149" s="155"/>
      <c r="K2149" s="146"/>
    </row>
    <row r="2150">
      <c r="A2150" s="147" t="s">
        <v>4</v>
      </c>
      <c r="B2150" s="148" t="s">
        <v>87</v>
      </c>
      <c r="C2150" s="148" t="s">
        <v>737</v>
      </c>
      <c r="D2150" s="149" t="s">
        <v>1320</v>
      </c>
      <c r="E2150" s="148"/>
      <c r="F2150" s="150" t="s">
        <v>79</v>
      </c>
      <c r="G2150" s="150" t="s">
        <v>79</v>
      </c>
      <c r="H2150" s="151" t="s">
        <v>79</v>
      </c>
      <c r="I2150" s="117">
        <f>SUM(I2151:I2151)</f>
      </c>
      <c r="J2150" s="132" t="s">
        <v>4</v>
      </c>
      <c r="K2150" s="146"/>
      <c r="AI2150" s="132" t="s">
        <v>87</v>
      </c>
      <c r="AS2150" s="117">
        <f>SUM(AJ2151:AJ2151)</f>
      </c>
      <c r="AT2150" s="117">
        <f>SUM(AK2151:AK2151)</f>
      </c>
      <c r="AU2150" s="117">
        <f>SUM(AL2151:AL2151)</f>
      </c>
    </row>
    <row r="2151">
      <c r="A2151" s="9" t="s">
        <v>3285</v>
      </c>
      <c r="B2151" s="10" t="s">
        <v>87</v>
      </c>
      <c r="C2151" s="10" t="s">
        <v>1331</v>
      </c>
      <c r="D2151" s="14" t="s">
        <v>1332</v>
      </c>
      <c r="E2151" s="10"/>
      <c r="F2151" s="10" t="s">
        <v>1324</v>
      </c>
      <c r="G2151" s="111" t="n">
        <v>35</v>
      </c>
      <c r="H2151" s="152" t="n">
        <v>0</v>
      </c>
      <c r="I2151" s="111">
        <f>G2151*H2151</f>
      </c>
      <c r="J2151" s="153" t="s">
        <v>134</v>
      </c>
      <c r="K2151" s="146"/>
      <c r="Z2151" s="111">
        <f>IF(AQ2151="5",BJ2151,0)</f>
      </c>
      <c r="AB2151" s="111">
        <f>IF(AQ2151="1",BH2151,0)</f>
      </c>
      <c r="AC2151" s="111">
        <f>IF(AQ2151="1",BI2151,0)</f>
      </c>
      <c r="AD2151" s="111">
        <f>IF(AQ2151="7",BH2151,0)</f>
      </c>
      <c r="AE2151" s="111">
        <f>IF(AQ2151="7",BI2151,0)</f>
      </c>
      <c r="AF2151" s="111">
        <f>IF(AQ2151="2",BH2151,0)</f>
      </c>
      <c r="AG2151" s="111">
        <f>IF(AQ2151="2",BI2151,0)</f>
      </c>
      <c r="AH2151" s="111">
        <f>IF(AQ2151="0",BJ2151,0)</f>
      </c>
      <c r="AI2151" s="132" t="s">
        <v>87</v>
      </c>
      <c r="AJ2151" s="111">
        <f>IF(AN2151=0,I2151,0)</f>
      </c>
      <c r="AK2151" s="111">
        <f>IF(AN2151=12,I2151,0)</f>
      </c>
      <c r="AL2151" s="111">
        <f>IF(AN2151=21,I2151,0)</f>
      </c>
      <c r="AN2151" s="111" t="n">
        <v>21</v>
      </c>
      <c r="AO2151" s="111">
        <f>H2151*0</f>
      </c>
      <c r="AP2151" s="111">
        <f>H2151*(1-0)</f>
      </c>
      <c r="AQ2151" s="153" t="s">
        <v>130</v>
      </c>
      <c r="AV2151" s="111">
        <f>AW2151+AX2151</f>
      </c>
      <c r="AW2151" s="111">
        <f>G2151*AO2151</f>
      </c>
      <c r="AX2151" s="111">
        <f>G2151*AP2151</f>
      </c>
      <c r="AY2151" s="153" t="s">
        <v>1325</v>
      </c>
      <c r="AZ2151" s="153" t="s">
        <v>3286</v>
      </c>
      <c r="BA2151" s="132" t="s">
        <v>2990</v>
      </c>
      <c r="BC2151" s="111">
        <f>AW2151+AX2151</f>
      </c>
      <c r="BD2151" s="111">
        <f>H2151/(100-BE2151)*100</f>
      </c>
      <c r="BE2151" s="111" t="n">
        <v>0</v>
      </c>
      <c r="BF2151" s="111">
        <f>2151</f>
      </c>
      <c r="BH2151" s="111">
        <f>G2151*AO2151</f>
      </c>
      <c r="BI2151" s="111">
        <f>G2151*AP2151</f>
      </c>
      <c r="BJ2151" s="111">
        <f>G2151*H2151</f>
      </c>
      <c r="BK2151" s="111"/>
      <c r="BL2151" s="111" t="n">
        <v>90</v>
      </c>
      <c r="BW2151" s="111" t="n">
        <v>21</v>
      </c>
      <c r="BX2151" s="14" t="s">
        <v>1332</v>
      </c>
    </row>
    <row r="2152">
      <c r="A2152" s="154"/>
      <c r="B2152" s="155"/>
      <c r="C2152" s="155"/>
      <c r="D2152" s="156" t="s">
        <v>374</v>
      </c>
      <c r="E2152" s="156" t="s">
        <v>3287</v>
      </c>
      <c r="F2152" s="155"/>
      <c r="G2152" s="157" t="n">
        <v>35</v>
      </c>
      <c r="H2152" s="158"/>
      <c r="I2152" s="155"/>
      <c r="J2152" s="155"/>
      <c r="K2152" s="146"/>
    </row>
    <row r="2153">
      <c r="A2153" s="147" t="s">
        <v>4</v>
      </c>
      <c r="B2153" s="148" t="s">
        <v>87</v>
      </c>
      <c r="C2153" s="148" t="s">
        <v>756</v>
      </c>
      <c r="D2153" s="149" t="s">
        <v>1350</v>
      </c>
      <c r="E2153" s="148"/>
      <c r="F2153" s="150" t="s">
        <v>79</v>
      </c>
      <c r="G2153" s="150" t="s">
        <v>79</v>
      </c>
      <c r="H2153" s="151" t="s">
        <v>79</v>
      </c>
      <c r="I2153" s="117">
        <f>SUM(I2154:I2154)</f>
      </c>
      <c r="J2153" s="132" t="s">
        <v>4</v>
      </c>
      <c r="K2153" s="146"/>
      <c r="AI2153" s="132" t="s">
        <v>87</v>
      </c>
      <c r="AS2153" s="117">
        <f>SUM(AJ2154:AJ2154)</f>
      </c>
      <c r="AT2153" s="117">
        <f>SUM(AK2154:AK2154)</f>
      </c>
      <c r="AU2153" s="117">
        <f>SUM(AL2154:AL2154)</f>
      </c>
    </row>
    <row r="2154">
      <c r="A2154" s="9" t="s">
        <v>3288</v>
      </c>
      <c r="B2154" s="10" t="s">
        <v>87</v>
      </c>
      <c r="C2154" s="10" t="s">
        <v>3289</v>
      </c>
      <c r="D2154" s="14" t="s">
        <v>3290</v>
      </c>
      <c r="E2154" s="10"/>
      <c r="F2154" s="10" t="s">
        <v>282</v>
      </c>
      <c r="G2154" s="111" t="n">
        <v>3</v>
      </c>
      <c r="H2154" s="152" t="n">
        <v>0</v>
      </c>
      <c r="I2154" s="111">
        <f>G2154*H2154</f>
      </c>
      <c r="J2154" s="153" t="s">
        <v>134</v>
      </c>
      <c r="K2154" s="146"/>
      <c r="Z2154" s="111">
        <f>IF(AQ2154="5",BJ2154,0)</f>
      </c>
      <c r="AB2154" s="111">
        <f>IF(AQ2154="1",BH2154,0)</f>
      </c>
      <c r="AC2154" s="111">
        <f>IF(AQ2154="1",BI2154,0)</f>
      </c>
      <c r="AD2154" s="111">
        <f>IF(AQ2154="7",BH2154,0)</f>
      </c>
      <c r="AE2154" s="111">
        <f>IF(AQ2154="7",BI2154,0)</f>
      </c>
      <c r="AF2154" s="111">
        <f>IF(AQ2154="2",BH2154,0)</f>
      </c>
      <c r="AG2154" s="111">
        <f>IF(AQ2154="2",BI2154,0)</f>
      </c>
      <c r="AH2154" s="111">
        <f>IF(AQ2154="0",BJ2154,0)</f>
      </c>
      <c r="AI2154" s="132" t="s">
        <v>87</v>
      </c>
      <c r="AJ2154" s="111">
        <f>IF(AN2154=0,I2154,0)</f>
      </c>
      <c r="AK2154" s="111">
        <f>IF(AN2154=12,I2154,0)</f>
      </c>
      <c r="AL2154" s="111">
        <f>IF(AN2154=21,I2154,0)</f>
      </c>
      <c r="AN2154" s="111" t="n">
        <v>21</v>
      </c>
      <c r="AO2154" s="111">
        <f>H2154*0.82992687</f>
      </c>
      <c r="AP2154" s="111">
        <f>H2154*(1-0.82992687)</f>
      </c>
      <c r="AQ2154" s="153" t="s">
        <v>130</v>
      </c>
      <c r="AV2154" s="111">
        <f>AW2154+AX2154</f>
      </c>
      <c r="AW2154" s="111">
        <f>G2154*AO2154</f>
      </c>
      <c r="AX2154" s="111">
        <f>G2154*AP2154</f>
      </c>
      <c r="AY2154" s="153" t="s">
        <v>1354</v>
      </c>
      <c r="AZ2154" s="153" t="s">
        <v>3286</v>
      </c>
      <c r="BA2154" s="132" t="s">
        <v>2990</v>
      </c>
      <c r="BC2154" s="111">
        <f>AW2154+AX2154</f>
      </c>
      <c r="BD2154" s="111">
        <f>H2154/(100-BE2154)*100</f>
      </c>
      <c r="BE2154" s="111" t="n">
        <v>0</v>
      </c>
      <c r="BF2154" s="111">
        <f>2154</f>
      </c>
      <c r="BH2154" s="111">
        <f>G2154*AO2154</f>
      </c>
      <c r="BI2154" s="111">
        <f>G2154*AP2154</f>
      </c>
      <c r="BJ2154" s="111">
        <f>G2154*H2154</f>
      </c>
      <c r="BK2154" s="111"/>
      <c r="BL2154" s="111" t="n">
        <v>93</v>
      </c>
      <c r="BW2154" s="111" t="n">
        <v>21</v>
      </c>
      <c r="BX2154" s="14" t="s">
        <v>3290</v>
      </c>
    </row>
    <row r="2155">
      <c r="A2155" s="154"/>
      <c r="B2155" s="155"/>
      <c r="C2155" s="155"/>
      <c r="D2155" s="156" t="s">
        <v>138</v>
      </c>
      <c r="E2155" s="156" t="s">
        <v>4</v>
      </c>
      <c r="F2155" s="155"/>
      <c r="G2155" s="157" t="n">
        <v>3</v>
      </c>
      <c r="H2155" s="158"/>
      <c r="I2155" s="155"/>
      <c r="J2155" s="155"/>
      <c r="K2155" s="146"/>
    </row>
    <row r="2156">
      <c r="A2156" s="147" t="s">
        <v>4</v>
      </c>
      <c r="B2156" s="148" t="s">
        <v>87</v>
      </c>
      <c r="C2156" s="148" t="s">
        <v>783</v>
      </c>
      <c r="D2156" s="149" t="s">
        <v>1526</v>
      </c>
      <c r="E2156" s="148"/>
      <c r="F2156" s="150" t="s">
        <v>79</v>
      </c>
      <c r="G2156" s="150" t="s">
        <v>79</v>
      </c>
      <c r="H2156" s="151" t="s">
        <v>79</v>
      </c>
      <c r="I2156" s="117">
        <f>SUM(I2157:I2161)</f>
      </c>
      <c r="J2156" s="132" t="s">
        <v>4</v>
      </c>
      <c r="K2156" s="146"/>
      <c r="AI2156" s="132" t="s">
        <v>87</v>
      </c>
      <c r="AS2156" s="117">
        <f>SUM(AJ2157:AJ2161)</f>
      </c>
      <c r="AT2156" s="117">
        <f>SUM(AK2157:AK2161)</f>
      </c>
      <c r="AU2156" s="117">
        <f>SUM(AL2157:AL2161)</f>
      </c>
    </row>
    <row r="2157">
      <c r="A2157" s="9" t="s">
        <v>3291</v>
      </c>
      <c r="B2157" s="10" t="s">
        <v>87</v>
      </c>
      <c r="C2157" s="10" t="s">
        <v>3292</v>
      </c>
      <c r="D2157" s="14" t="s">
        <v>3293</v>
      </c>
      <c r="E2157" s="10"/>
      <c r="F2157" s="10" t="s">
        <v>282</v>
      </c>
      <c r="G2157" s="111" t="n">
        <v>0.6</v>
      </c>
      <c r="H2157" s="152" t="n">
        <v>0</v>
      </c>
      <c r="I2157" s="111">
        <f>G2157*H2157</f>
      </c>
      <c r="J2157" s="153" t="s">
        <v>134</v>
      </c>
      <c r="K2157" s="146"/>
      <c r="Z2157" s="111">
        <f>IF(AQ2157="5",BJ2157,0)</f>
      </c>
      <c r="AB2157" s="111">
        <f>IF(AQ2157="1",BH2157,0)</f>
      </c>
      <c r="AC2157" s="111">
        <f>IF(AQ2157="1",BI2157,0)</f>
      </c>
      <c r="AD2157" s="111">
        <f>IF(AQ2157="7",BH2157,0)</f>
      </c>
      <c r="AE2157" s="111">
        <f>IF(AQ2157="7",BI2157,0)</f>
      </c>
      <c r="AF2157" s="111">
        <f>IF(AQ2157="2",BH2157,0)</f>
      </c>
      <c r="AG2157" s="111">
        <f>IF(AQ2157="2",BI2157,0)</f>
      </c>
      <c r="AH2157" s="111">
        <f>IF(AQ2157="0",BJ2157,0)</f>
      </c>
      <c r="AI2157" s="132" t="s">
        <v>87</v>
      </c>
      <c r="AJ2157" s="111">
        <f>IF(AN2157=0,I2157,0)</f>
      </c>
      <c r="AK2157" s="111">
        <f>IF(AN2157=12,I2157,0)</f>
      </c>
      <c r="AL2157" s="111">
        <f>IF(AN2157=21,I2157,0)</f>
      </c>
      <c r="AN2157" s="111" t="n">
        <v>21</v>
      </c>
      <c r="AO2157" s="111">
        <f>H2157*0.322593103</f>
      </c>
      <c r="AP2157" s="111">
        <f>H2157*(1-0.322593103)</f>
      </c>
      <c r="AQ2157" s="153" t="s">
        <v>130</v>
      </c>
      <c r="AV2157" s="111">
        <f>AW2157+AX2157</f>
      </c>
      <c r="AW2157" s="111">
        <f>G2157*AO2157</f>
      </c>
      <c r="AX2157" s="111">
        <f>G2157*AP2157</f>
      </c>
      <c r="AY2157" s="153" t="s">
        <v>1530</v>
      </c>
      <c r="AZ2157" s="153" t="s">
        <v>3286</v>
      </c>
      <c r="BA2157" s="132" t="s">
        <v>2990</v>
      </c>
      <c r="BC2157" s="111">
        <f>AW2157+AX2157</f>
      </c>
      <c r="BD2157" s="111">
        <f>H2157/(100-BE2157)*100</f>
      </c>
      <c r="BE2157" s="111" t="n">
        <v>0</v>
      </c>
      <c r="BF2157" s="111">
        <f>2157</f>
      </c>
      <c r="BH2157" s="111">
        <f>G2157*AO2157</f>
      </c>
      <c r="BI2157" s="111">
        <f>G2157*AP2157</f>
      </c>
      <c r="BJ2157" s="111">
        <f>G2157*H2157</f>
      </c>
      <c r="BK2157" s="111"/>
      <c r="BL2157" s="111" t="n">
        <v>97</v>
      </c>
      <c r="BW2157" s="111" t="n">
        <v>21</v>
      </c>
      <c r="BX2157" s="14" t="s">
        <v>3293</v>
      </c>
    </row>
    <row r="2158">
      <c r="A2158" s="154"/>
      <c r="B2158" s="155"/>
      <c r="C2158" s="155"/>
      <c r="D2158" s="156" t="s">
        <v>3294</v>
      </c>
      <c r="E2158" s="156" t="s">
        <v>3295</v>
      </c>
      <c r="F2158" s="155"/>
      <c r="G2158" s="157" t="n">
        <v>0.6</v>
      </c>
      <c r="H2158" s="158"/>
      <c r="I2158" s="155"/>
      <c r="J2158" s="155"/>
      <c r="K2158" s="146"/>
    </row>
    <row r="2159">
      <c r="A2159" s="9" t="s">
        <v>3296</v>
      </c>
      <c r="B2159" s="10" t="s">
        <v>87</v>
      </c>
      <c r="C2159" s="10" t="s">
        <v>3297</v>
      </c>
      <c r="D2159" s="14" t="s">
        <v>3298</v>
      </c>
      <c r="E2159" s="10"/>
      <c r="F2159" s="10" t="s">
        <v>282</v>
      </c>
      <c r="G2159" s="111" t="n">
        <v>0.2</v>
      </c>
      <c r="H2159" s="152" t="n">
        <v>0</v>
      </c>
      <c r="I2159" s="111">
        <f>G2159*H2159</f>
      </c>
      <c r="J2159" s="153" t="s">
        <v>134</v>
      </c>
      <c r="K2159" s="146"/>
      <c r="Z2159" s="111">
        <f>IF(AQ2159="5",BJ2159,0)</f>
      </c>
      <c r="AB2159" s="111">
        <f>IF(AQ2159="1",BH2159,0)</f>
      </c>
      <c r="AC2159" s="111">
        <f>IF(AQ2159="1",BI2159,0)</f>
      </c>
      <c r="AD2159" s="111">
        <f>IF(AQ2159="7",BH2159,0)</f>
      </c>
      <c r="AE2159" s="111">
        <f>IF(AQ2159="7",BI2159,0)</f>
      </c>
      <c r="AF2159" s="111">
        <f>IF(AQ2159="2",BH2159,0)</f>
      </c>
      <c r="AG2159" s="111">
        <f>IF(AQ2159="2",BI2159,0)</f>
      </c>
      <c r="AH2159" s="111">
        <f>IF(AQ2159="0",BJ2159,0)</f>
      </c>
      <c r="AI2159" s="132" t="s">
        <v>87</v>
      </c>
      <c r="AJ2159" s="111">
        <f>IF(AN2159=0,I2159,0)</f>
      </c>
      <c r="AK2159" s="111">
        <f>IF(AN2159=12,I2159,0)</f>
      </c>
      <c r="AL2159" s="111">
        <f>IF(AN2159=21,I2159,0)</f>
      </c>
      <c r="AN2159" s="111" t="n">
        <v>21</v>
      </c>
      <c r="AO2159" s="111">
        <f>H2159*0.28979703</f>
      </c>
      <c r="AP2159" s="111">
        <f>H2159*(1-0.28979703)</f>
      </c>
      <c r="AQ2159" s="153" t="s">
        <v>130</v>
      </c>
      <c r="AV2159" s="111">
        <f>AW2159+AX2159</f>
      </c>
      <c r="AW2159" s="111">
        <f>G2159*AO2159</f>
      </c>
      <c r="AX2159" s="111">
        <f>G2159*AP2159</f>
      </c>
      <c r="AY2159" s="153" t="s">
        <v>1530</v>
      </c>
      <c r="AZ2159" s="153" t="s">
        <v>3286</v>
      </c>
      <c r="BA2159" s="132" t="s">
        <v>2990</v>
      </c>
      <c r="BC2159" s="111">
        <f>AW2159+AX2159</f>
      </c>
      <c r="BD2159" s="111">
        <f>H2159/(100-BE2159)*100</f>
      </c>
      <c r="BE2159" s="111" t="n">
        <v>0</v>
      </c>
      <c r="BF2159" s="111">
        <f>2159</f>
      </c>
      <c r="BH2159" s="111">
        <f>G2159*AO2159</f>
      </c>
      <c r="BI2159" s="111">
        <f>G2159*AP2159</f>
      </c>
      <c r="BJ2159" s="111">
        <f>G2159*H2159</f>
      </c>
      <c r="BK2159" s="111"/>
      <c r="BL2159" s="111" t="n">
        <v>97</v>
      </c>
      <c r="BW2159" s="111" t="n">
        <v>21</v>
      </c>
      <c r="BX2159" s="14" t="s">
        <v>3298</v>
      </c>
    </row>
    <row r="2160">
      <c r="A2160" s="154"/>
      <c r="B2160" s="155"/>
      <c r="C2160" s="155"/>
      <c r="D2160" s="156" t="s">
        <v>3299</v>
      </c>
      <c r="E2160" s="156" t="s">
        <v>3300</v>
      </c>
      <c r="F2160" s="155"/>
      <c r="G2160" s="157" t="n">
        <v>0.2</v>
      </c>
      <c r="H2160" s="158"/>
      <c r="I2160" s="155"/>
      <c r="J2160" s="155"/>
      <c r="K2160" s="146"/>
    </row>
    <row r="2161">
      <c r="A2161" s="9" t="s">
        <v>3301</v>
      </c>
      <c r="B2161" s="10" t="s">
        <v>87</v>
      </c>
      <c r="C2161" s="10" t="s">
        <v>3302</v>
      </c>
      <c r="D2161" s="14" t="s">
        <v>3303</v>
      </c>
      <c r="E2161" s="10"/>
      <c r="F2161" s="10" t="s">
        <v>229</v>
      </c>
      <c r="G2161" s="111" t="n">
        <v>0.03631</v>
      </c>
      <c r="H2161" s="152" t="n">
        <v>0</v>
      </c>
      <c r="I2161" s="111">
        <f>G2161*H2161</f>
      </c>
      <c r="J2161" s="153" t="s">
        <v>134</v>
      </c>
      <c r="K2161" s="146"/>
      <c r="Z2161" s="111">
        <f>IF(AQ2161="5",BJ2161,0)</f>
      </c>
      <c r="AB2161" s="111">
        <f>IF(AQ2161="1",BH2161,0)</f>
      </c>
      <c r="AC2161" s="111">
        <f>IF(AQ2161="1",BI2161,0)</f>
      </c>
      <c r="AD2161" s="111">
        <f>IF(AQ2161="7",BH2161,0)</f>
      </c>
      <c r="AE2161" s="111">
        <f>IF(AQ2161="7",BI2161,0)</f>
      </c>
      <c r="AF2161" s="111">
        <f>IF(AQ2161="2",BH2161,0)</f>
      </c>
      <c r="AG2161" s="111">
        <f>IF(AQ2161="2",BI2161,0)</f>
      </c>
      <c r="AH2161" s="111">
        <f>IF(AQ2161="0",BJ2161,0)</f>
      </c>
      <c r="AI2161" s="132" t="s">
        <v>87</v>
      </c>
      <c r="AJ2161" s="111">
        <f>IF(AN2161=0,I2161,0)</f>
      </c>
      <c r="AK2161" s="111">
        <f>IF(AN2161=12,I2161,0)</f>
      </c>
      <c r="AL2161" s="111">
        <f>IF(AN2161=21,I2161,0)</f>
      </c>
      <c r="AN2161" s="111" t="n">
        <v>21</v>
      </c>
      <c r="AO2161" s="111">
        <f>H2161*0</f>
      </c>
      <c r="AP2161" s="111">
        <f>H2161*(1-0)</f>
      </c>
      <c r="AQ2161" s="153" t="s">
        <v>130</v>
      </c>
      <c r="AV2161" s="111">
        <f>AW2161+AX2161</f>
      </c>
      <c r="AW2161" s="111">
        <f>G2161*AO2161</f>
      </c>
      <c r="AX2161" s="111">
        <f>G2161*AP2161</f>
      </c>
      <c r="AY2161" s="153" t="s">
        <v>1530</v>
      </c>
      <c r="AZ2161" s="153" t="s">
        <v>3286</v>
      </c>
      <c r="BA2161" s="132" t="s">
        <v>2990</v>
      </c>
      <c r="BC2161" s="111">
        <f>AW2161+AX2161</f>
      </c>
      <c r="BD2161" s="111">
        <f>H2161/(100-BE2161)*100</f>
      </c>
      <c r="BE2161" s="111" t="n">
        <v>0</v>
      </c>
      <c r="BF2161" s="111">
        <f>2161</f>
      </c>
      <c r="BH2161" s="111">
        <f>G2161*AO2161</f>
      </c>
      <c r="BI2161" s="111">
        <f>G2161*AP2161</f>
      </c>
      <c r="BJ2161" s="111">
        <f>G2161*H2161</f>
      </c>
      <c r="BK2161" s="111"/>
      <c r="BL2161" s="111" t="n">
        <v>97</v>
      </c>
      <c r="BW2161" s="111" t="n">
        <v>21</v>
      </c>
      <c r="BX2161" s="14" t="s">
        <v>3303</v>
      </c>
    </row>
    <row r="2162">
      <c r="A2162" s="154"/>
      <c r="B2162" s="155"/>
      <c r="C2162" s="155"/>
      <c r="D2162" s="156" t="s">
        <v>3304</v>
      </c>
      <c r="E2162" s="156" t="s">
        <v>4</v>
      </c>
      <c r="F2162" s="155"/>
      <c r="G2162" s="157" t="n">
        <v>0.03631</v>
      </c>
      <c r="H2162" s="158"/>
      <c r="I2162" s="155"/>
      <c r="J2162" s="155"/>
      <c r="K2162" s="146"/>
    </row>
    <row r="2163">
      <c r="A2163" s="147" t="s">
        <v>4</v>
      </c>
      <c r="B2163" s="148" t="s">
        <v>87</v>
      </c>
      <c r="C2163" s="148" t="s">
        <v>1566</v>
      </c>
      <c r="D2163" s="149" t="s">
        <v>1567</v>
      </c>
      <c r="E2163" s="148"/>
      <c r="F2163" s="150" t="s">
        <v>79</v>
      </c>
      <c r="G2163" s="150" t="s">
        <v>79</v>
      </c>
      <c r="H2163" s="151" t="s">
        <v>79</v>
      </c>
      <c r="I2163" s="117">
        <f>SUM(I2164:I2164)</f>
      </c>
      <c r="J2163" s="132" t="s">
        <v>4</v>
      </c>
      <c r="K2163" s="146"/>
      <c r="AI2163" s="132" t="s">
        <v>87</v>
      </c>
      <c r="AS2163" s="117">
        <f>SUM(AJ2164:AJ2164)</f>
      </c>
      <c r="AT2163" s="117">
        <f>SUM(AK2164:AK2164)</f>
      </c>
      <c r="AU2163" s="117">
        <f>SUM(AL2164:AL2164)</f>
      </c>
    </row>
    <row r="2164">
      <c r="A2164" s="9" t="s">
        <v>3305</v>
      </c>
      <c r="B2164" s="10" t="s">
        <v>87</v>
      </c>
      <c r="C2164" s="10" t="s">
        <v>3306</v>
      </c>
      <c r="D2164" s="14" t="s">
        <v>3307</v>
      </c>
      <c r="E2164" s="10"/>
      <c r="F2164" s="10" t="s">
        <v>229</v>
      </c>
      <c r="G2164" s="111" t="n">
        <v>0.03631</v>
      </c>
      <c r="H2164" s="152" t="n">
        <v>0</v>
      </c>
      <c r="I2164" s="111">
        <f>G2164*H2164</f>
      </c>
      <c r="J2164" s="153" t="s">
        <v>134</v>
      </c>
      <c r="K2164" s="146"/>
      <c r="Z2164" s="111">
        <f>IF(AQ2164="5",BJ2164,0)</f>
      </c>
      <c r="AB2164" s="111">
        <f>IF(AQ2164="1",BH2164,0)</f>
      </c>
      <c r="AC2164" s="111">
        <f>IF(AQ2164="1",BI2164,0)</f>
      </c>
      <c r="AD2164" s="111">
        <f>IF(AQ2164="7",BH2164,0)</f>
      </c>
      <c r="AE2164" s="111">
        <f>IF(AQ2164="7",BI2164,0)</f>
      </c>
      <c r="AF2164" s="111">
        <f>IF(AQ2164="2",BH2164,0)</f>
      </c>
      <c r="AG2164" s="111">
        <f>IF(AQ2164="2",BI2164,0)</f>
      </c>
      <c r="AH2164" s="111">
        <f>IF(AQ2164="0",BJ2164,0)</f>
      </c>
      <c r="AI2164" s="132" t="s">
        <v>87</v>
      </c>
      <c r="AJ2164" s="111">
        <f>IF(AN2164=0,I2164,0)</f>
      </c>
      <c r="AK2164" s="111">
        <f>IF(AN2164=12,I2164,0)</f>
      </c>
      <c r="AL2164" s="111">
        <f>IF(AN2164=21,I2164,0)</f>
      </c>
      <c r="AN2164" s="111" t="n">
        <v>21</v>
      </c>
      <c r="AO2164" s="111">
        <f>H2164*0</f>
      </c>
      <c r="AP2164" s="111">
        <f>H2164*(1-0)</f>
      </c>
      <c r="AQ2164" s="153" t="s">
        <v>156</v>
      </c>
      <c r="AV2164" s="111">
        <f>AW2164+AX2164</f>
      </c>
      <c r="AW2164" s="111">
        <f>G2164*AO2164</f>
      </c>
      <c r="AX2164" s="111">
        <f>G2164*AP2164</f>
      </c>
      <c r="AY2164" s="153" t="s">
        <v>1571</v>
      </c>
      <c r="AZ2164" s="153" t="s">
        <v>3286</v>
      </c>
      <c r="BA2164" s="132" t="s">
        <v>2990</v>
      </c>
      <c r="BC2164" s="111">
        <f>AW2164+AX2164</f>
      </c>
      <c r="BD2164" s="111">
        <f>H2164/(100-BE2164)*100</f>
      </c>
      <c r="BE2164" s="111" t="n">
        <v>0</v>
      </c>
      <c r="BF2164" s="111">
        <f>2164</f>
      </c>
      <c r="BH2164" s="111">
        <f>G2164*AO2164</f>
      </c>
      <c r="BI2164" s="111">
        <f>G2164*AP2164</f>
      </c>
      <c r="BJ2164" s="111">
        <f>G2164*H2164</f>
      </c>
      <c r="BK2164" s="111"/>
      <c r="BL2164" s="111"/>
      <c r="BW2164" s="111" t="n">
        <v>21</v>
      </c>
      <c r="BX2164" s="14" t="s">
        <v>3307</v>
      </c>
    </row>
    <row r="2165">
      <c r="A2165" s="154"/>
      <c r="B2165" s="155"/>
      <c r="C2165" s="155"/>
      <c r="D2165" s="156" t="s">
        <v>3304</v>
      </c>
      <c r="E2165" s="156" t="s">
        <v>4</v>
      </c>
      <c r="F2165" s="155"/>
      <c r="G2165" s="157" t="n">
        <v>0.03631</v>
      </c>
      <c r="H2165" s="158"/>
      <c r="I2165" s="155"/>
      <c r="J2165" s="155"/>
      <c r="K2165" s="146"/>
    </row>
    <row r="2166">
      <c r="A2166" s="147" t="s">
        <v>4</v>
      </c>
      <c r="B2166" s="148" t="s">
        <v>87</v>
      </c>
      <c r="C2166" s="148" t="s">
        <v>1614</v>
      </c>
      <c r="D2166" s="149" t="s">
        <v>1615</v>
      </c>
      <c r="E2166" s="148"/>
      <c r="F2166" s="150" t="s">
        <v>79</v>
      </c>
      <c r="G2166" s="150" t="s">
        <v>79</v>
      </c>
      <c r="H2166" s="151" t="s">
        <v>79</v>
      </c>
      <c r="I2166" s="117">
        <f>SUM(I2167:I2173)</f>
      </c>
      <c r="J2166" s="132" t="s">
        <v>4</v>
      </c>
      <c r="K2166" s="146"/>
      <c r="AI2166" s="132" t="s">
        <v>87</v>
      </c>
      <c r="AS2166" s="117">
        <f>SUM(AJ2167:AJ2173)</f>
      </c>
      <c r="AT2166" s="117">
        <f>SUM(AK2167:AK2173)</f>
      </c>
      <c r="AU2166" s="117">
        <f>SUM(AL2167:AL2173)</f>
      </c>
    </row>
    <row r="2167">
      <c r="A2167" s="9" t="s">
        <v>3308</v>
      </c>
      <c r="B2167" s="10" t="s">
        <v>87</v>
      </c>
      <c r="C2167" s="10" t="s">
        <v>3309</v>
      </c>
      <c r="D2167" s="14" t="s">
        <v>1625</v>
      </c>
      <c r="E2167" s="10"/>
      <c r="F2167" s="10" t="s">
        <v>145</v>
      </c>
      <c r="G2167" s="111" t="n">
        <v>4</v>
      </c>
      <c r="H2167" s="152" t="n">
        <v>0</v>
      </c>
      <c r="I2167" s="111">
        <f>G2167*H2167</f>
      </c>
      <c r="J2167" s="153" t="s">
        <v>134</v>
      </c>
      <c r="K2167" s="146"/>
      <c r="Z2167" s="111">
        <f>IF(AQ2167="5",BJ2167,0)</f>
      </c>
      <c r="AB2167" s="111">
        <f>IF(AQ2167="1",BH2167,0)</f>
      </c>
      <c r="AC2167" s="111">
        <f>IF(AQ2167="1",BI2167,0)</f>
      </c>
      <c r="AD2167" s="111">
        <f>IF(AQ2167="7",BH2167,0)</f>
      </c>
      <c r="AE2167" s="111">
        <f>IF(AQ2167="7",BI2167,0)</f>
      </c>
      <c r="AF2167" s="111">
        <f>IF(AQ2167="2",BH2167,0)</f>
      </c>
      <c r="AG2167" s="111">
        <f>IF(AQ2167="2",BI2167,0)</f>
      </c>
      <c r="AH2167" s="111">
        <f>IF(AQ2167="0",BJ2167,0)</f>
      </c>
      <c r="AI2167" s="132" t="s">
        <v>87</v>
      </c>
      <c r="AJ2167" s="111">
        <f>IF(AN2167=0,I2167,0)</f>
      </c>
      <c r="AK2167" s="111">
        <f>IF(AN2167=12,I2167,0)</f>
      </c>
      <c r="AL2167" s="111">
        <f>IF(AN2167=21,I2167,0)</f>
      </c>
      <c r="AN2167" s="111" t="n">
        <v>21</v>
      </c>
      <c r="AO2167" s="111">
        <f>H2167*0.512022834</f>
      </c>
      <c r="AP2167" s="111">
        <f>H2167*(1-0.512022834)</f>
      </c>
      <c r="AQ2167" s="153" t="s">
        <v>173</v>
      </c>
      <c r="AV2167" s="111">
        <f>AW2167+AX2167</f>
      </c>
      <c r="AW2167" s="111">
        <f>G2167*AO2167</f>
      </c>
      <c r="AX2167" s="111">
        <f>G2167*AP2167</f>
      </c>
      <c r="AY2167" s="153" t="s">
        <v>1619</v>
      </c>
      <c r="AZ2167" s="153" t="s">
        <v>3310</v>
      </c>
      <c r="BA2167" s="132" t="s">
        <v>2990</v>
      </c>
      <c r="BC2167" s="111">
        <f>AW2167+AX2167</f>
      </c>
      <c r="BD2167" s="111">
        <f>H2167/(100-BE2167)*100</f>
      </c>
      <c r="BE2167" s="111" t="n">
        <v>0</v>
      </c>
      <c r="BF2167" s="111">
        <f>2167</f>
      </c>
      <c r="BH2167" s="111">
        <f>G2167*AO2167</f>
      </c>
      <c r="BI2167" s="111">
        <f>G2167*AP2167</f>
      </c>
      <c r="BJ2167" s="111">
        <f>G2167*H2167</f>
      </c>
      <c r="BK2167" s="111"/>
      <c r="BL2167" s="111" t="n">
        <v>711</v>
      </c>
      <c r="BW2167" s="111" t="n">
        <v>21</v>
      </c>
      <c r="BX2167" s="14" t="s">
        <v>1625</v>
      </c>
    </row>
    <row r="2168" customHeight="true" ht="13.5">
      <c r="A2168" s="159"/>
      <c r="C2168" s="160" t="s">
        <v>146</v>
      </c>
      <c r="D2168" s="161" t="s">
        <v>3311</v>
      </c>
      <c r="E2168" s="156"/>
      <c r="F2168" s="156"/>
      <c r="G2168" s="156"/>
      <c r="H2168" s="162"/>
      <c r="I2168" s="156"/>
      <c r="J2168" s="156"/>
      <c r="K2168" s="163"/>
    </row>
    <row r="2169">
      <c r="A2169" s="154"/>
      <c r="B2169" s="155"/>
      <c r="C2169" s="155"/>
      <c r="D2169" s="156" t="s">
        <v>149</v>
      </c>
      <c r="E2169" s="156" t="s">
        <v>3143</v>
      </c>
      <c r="F2169" s="155"/>
      <c r="G2169" s="157" t="n">
        <v>4</v>
      </c>
      <c r="H2169" s="158"/>
      <c r="I2169" s="155"/>
      <c r="J2169" s="155"/>
      <c r="K2169" s="146"/>
    </row>
    <row r="2170">
      <c r="A2170" s="9" t="s">
        <v>3312</v>
      </c>
      <c r="B2170" s="10" t="s">
        <v>87</v>
      </c>
      <c r="C2170" s="10" t="s">
        <v>3313</v>
      </c>
      <c r="D2170" s="14" t="s">
        <v>3314</v>
      </c>
      <c r="E2170" s="10"/>
      <c r="F2170" s="10" t="s">
        <v>145</v>
      </c>
      <c r="G2170" s="111" t="n">
        <v>1.5</v>
      </c>
      <c r="H2170" s="152" t="n">
        <v>0</v>
      </c>
      <c r="I2170" s="111">
        <f>G2170*H2170</f>
      </c>
      <c r="J2170" s="153" t="s">
        <v>134</v>
      </c>
      <c r="K2170" s="146"/>
      <c r="Z2170" s="111">
        <f>IF(AQ2170="5",BJ2170,0)</f>
      </c>
      <c r="AB2170" s="111">
        <f>IF(AQ2170="1",BH2170,0)</f>
      </c>
      <c r="AC2170" s="111">
        <f>IF(AQ2170="1",BI2170,0)</f>
      </c>
      <c r="AD2170" s="111">
        <f>IF(AQ2170="7",BH2170,0)</f>
      </c>
      <c r="AE2170" s="111">
        <f>IF(AQ2170="7",BI2170,0)</f>
      </c>
      <c r="AF2170" s="111">
        <f>IF(AQ2170="2",BH2170,0)</f>
      </c>
      <c r="AG2170" s="111">
        <f>IF(AQ2170="2",BI2170,0)</f>
      </c>
      <c r="AH2170" s="111">
        <f>IF(AQ2170="0",BJ2170,0)</f>
      </c>
      <c r="AI2170" s="132" t="s">
        <v>87</v>
      </c>
      <c r="AJ2170" s="111">
        <f>IF(AN2170=0,I2170,0)</f>
      </c>
      <c r="AK2170" s="111">
        <f>IF(AN2170=12,I2170,0)</f>
      </c>
      <c r="AL2170" s="111">
        <f>IF(AN2170=21,I2170,0)</f>
      </c>
      <c r="AN2170" s="111" t="n">
        <v>21</v>
      </c>
      <c r="AO2170" s="111">
        <f>H2170*0.773004967</f>
      </c>
      <c r="AP2170" s="111">
        <f>H2170*(1-0.773004967)</f>
      </c>
      <c r="AQ2170" s="153" t="s">
        <v>173</v>
      </c>
      <c r="AV2170" s="111">
        <f>AW2170+AX2170</f>
      </c>
      <c r="AW2170" s="111">
        <f>G2170*AO2170</f>
      </c>
      <c r="AX2170" s="111">
        <f>G2170*AP2170</f>
      </c>
      <c r="AY2170" s="153" t="s">
        <v>1619</v>
      </c>
      <c r="AZ2170" s="153" t="s">
        <v>3310</v>
      </c>
      <c r="BA2170" s="132" t="s">
        <v>2990</v>
      </c>
      <c r="BC2170" s="111">
        <f>AW2170+AX2170</f>
      </c>
      <c r="BD2170" s="111">
        <f>H2170/(100-BE2170)*100</f>
      </c>
      <c r="BE2170" s="111" t="n">
        <v>0</v>
      </c>
      <c r="BF2170" s="111">
        <f>2170</f>
      </c>
      <c r="BH2170" s="111">
        <f>G2170*AO2170</f>
      </c>
      <c r="BI2170" s="111">
        <f>G2170*AP2170</f>
      </c>
      <c r="BJ2170" s="111">
        <f>G2170*H2170</f>
      </c>
      <c r="BK2170" s="111"/>
      <c r="BL2170" s="111" t="n">
        <v>711</v>
      </c>
      <c r="BW2170" s="111" t="n">
        <v>21</v>
      </c>
      <c r="BX2170" s="14" t="s">
        <v>3314</v>
      </c>
    </row>
    <row r="2171" customHeight="true" ht="13.5">
      <c r="A2171" s="159"/>
      <c r="C2171" s="160" t="s">
        <v>146</v>
      </c>
      <c r="D2171" s="161" t="s">
        <v>3315</v>
      </c>
      <c r="E2171" s="156"/>
      <c r="F2171" s="156"/>
      <c r="G2171" s="156"/>
      <c r="H2171" s="162"/>
      <c r="I2171" s="156"/>
      <c r="J2171" s="156"/>
      <c r="K2171" s="163"/>
    </row>
    <row r="2172">
      <c r="A2172" s="154"/>
      <c r="B2172" s="155"/>
      <c r="C2172" s="155"/>
      <c r="D2172" s="156" t="s">
        <v>3316</v>
      </c>
      <c r="E2172" s="156" t="s">
        <v>3143</v>
      </c>
      <c r="F2172" s="155"/>
      <c r="G2172" s="157" t="n">
        <v>1.5</v>
      </c>
      <c r="H2172" s="158"/>
      <c r="I2172" s="155"/>
      <c r="J2172" s="155"/>
      <c r="K2172" s="146"/>
    </row>
    <row r="2173">
      <c r="A2173" s="9" t="s">
        <v>3317</v>
      </c>
      <c r="B2173" s="10" t="s">
        <v>87</v>
      </c>
      <c r="C2173" s="10" t="s">
        <v>3318</v>
      </c>
      <c r="D2173" s="14" t="s">
        <v>3319</v>
      </c>
      <c r="E2173" s="10"/>
      <c r="F2173" s="10" t="s">
        <v>145</v>
      </c>
      <c r="G2173" s="111" t="n">
        <v>5.5</v>
      </c>
      <c r="H2173" s="152" t="n">
        <v>0</v>
      </c>
      <c r="I2173" s="111">
        <f>G2173*H2173</f>
      </c>
      <c r="J2173" s="153" t="s">
        <v>134</v>
      </c>
      <c r="K2173" s="146"/>
      <c r="Z2173" s="111">
        <f>IF(AQ2173="5",BJ2173,0)</f>
      </c>
      <c r="AB2173" s="111">
        <f>IF(AQ2173="1",BH2173,0)</f>
      </c>
      <c r="AC2173" s="111">
        <f>IF(AQ2173="1",BI2173,0)</f>
      </c>
      <c r="AD2173" s="111">
        <f>IF(AQ2173="7",BH2173,0)</f>
      </c>
      <c r="AE2173" s="111">
        <f>IF(AQ2173="7",BI2173,0)</f>
      </c>
      <c r="AF2173" s="111">
        <f>IF(AQ2173="2",BH2173,0)</f>
      </c>
      <c r="AG2173" s="111">
        <f>IF(AQ2173="2",BI2173,0)</f>
      </c>
      <c r="AH2173" s="111">
        <f>IF(AQ2173="0",BJ2173,0)</f>
      </c>
      <c r="AI2173" s="132" t="s">
        <v>87</v>
      </c>
      <c r="AJ2173" s="111">
        <f>IF(AN2173=0,I2173,0)</f>
      </c>
      <c r="AK2173" s="111">
        <f>IF(AN2173=12,I2173,0)</f>
      </c>
      <c r="AL2173" s="111">
        <f>IF(AN2173=21,I2173,0)</f>
      </c>
      <c r="AN2173" s="111" t="n">
        <v>21</v>
      </c>
      <c r="AO2173" s="111">
        <f>H2173*0</f>
      </c>
      <c r="AP2173" s="111">
        <f>H2173*(1-0)</f>
      </c>
      <c r="AQ2173" s="153" t="s">
        <v>173</v>
      </c>
      <c r="AV2173" s="111">
        <f>AW2173+AX2173</f>
      </c>
      <c r="AW2173" s="111">
        <f>G2173*AO2173</f>
      </c>
      <c r="AX2173" s="111">
        <f>G2173*AP2173</f>
      </c>
      <c r="AY2173" s="153" t="s">
        <v>1619</v>
      </c>
      <c r="AZ2173" s="153" t="s">
        <v>3310</v>
      </c>
      <c r="BA2173" s="132" t="s">
        <v>2990</v>
      </c>
      <c r="BC2173" s="111">
        <f>AW2173+AX2173</f>
      </c>
      <c r="BD2173" s="111">
        <f>H2173/(100-BE2173)*100</f>
      </c>
      <c r="BE2173" s="111" t="n">
        <v>0</v>
      </c>
      <c r="BF2173" s="111">
        <f>2173</f>
      </c>
      <c r="BH2173" s="111">
        <f>G2173*AO2173</f>
      </c>
      <c r="BI2173" s="111">
        <f>G2173*AP2173</f>
      </c>
      <c r="BJ2173" s="111">
        <f>G2173*H2173</f>
      </c>
      <c r="BK2173" s="111"/>
      <c r="BL2173" s="111" t="n">
        <v>711</v>
      </c>
      <c r="BW2173" s="111" t="n">
        <v>21</v>
      </c>
      <c r="BX2173" s="14" t="s">
        <v>3319</v>
      </c>
    </row>
    <row r="2174">
      <c r="A2174" s="154"/>
      <c r="B2174" s="155"/>
      <c r="C2174" s="155"/>
      <c r="D2174" s="156" t="s">
        <v>3320</v>
      </c>
      <c r="E2174" s="156" t="s">
        <v>4</v>
      </c>
      <c r="F2174" s="155"/>
      <c r="G2174" s="157" t="n">
        <v>5.5</v>
      </c>
      <c r="H2174" s="158"/>
      <c r="I2174" s="155"/>
      <c r="J2174" s="155"/>
      <c r="K2174" s="146"/>
    </row>
    <row r="2175">
      <c r="A2175" s="147" t="s">
        <v>4</v>
      </c>
      <c r="B2175" s="148" t="s">
        <v>87</v>
      </c>
      <c r="C2175" s="148" t="s">
        <v>1850</v>
      </c>
      <c r="D2175" s="149" t="s">
        <v>1851</v>
      </c>
      <c r="E2175" s="148"/>
      <c r="F2175" s="150" t="s">
        <v>79</v>
      </c>
      <c r="G2175" s="150" t="s">
        <v>79</v>
      </c>
      <c r="H2175" s="151" t="s">
        <v>79</v>
      </c>
      <c r="I2175" s="117">
        <f>SUM(I2176:I2178)</f>
      </c>
      <c r="J2175" s="132" t="s">
        <v>4</v>
      </c>
      <c r="K2175" s="146"/>
      <c r="AI2175" s="132" t="s">
        <v>87</v>
      </c>
      <c r="AS2175" s="117">
        <f>SUM(AJ2176:AJ2178)</f>
      </c>
      <c r="AT2175" s="117">
        <f>SUM(AK2176:AK2178)</f>
      </c>
      <c r="AU2175" s="117">
        <f>SUM(AL2176:AL2178)</f>
      </c>
    </row>
    <row r="2176">
      <c r="A2176" s="9" t="s">
        <v>3321</v>
      </c>
      <c r="B2176" s="10" t="s">
        <v>87</v>
      </c>
      <c r="C2176" s="10" t="s">
        <v>3322</v>
      </c>
      <c r="D2176" s="14" t="s">
        <v>3323</v>
      </c>
      <c r="E2176" s="10"/>
      <c r="F2176" s="10" t="s">
        <v>133</v>
      </c>
      <c r="G2176" s="111" t="n">
        <v>1</v>
      </c>
      <c r="H2176" s="152" t="n">
        <v>0</v>
      </c>
      <c r="I2176" s="111">
        <f>G2176*H2176</f>
      </c>
      <c r="J2176" s="153" t="s">
        <v>134</v>
      </c>
      <c r="K2176" s="146"/>
      <c r="Z2176" s="111">
        <f>IF(AQ2176="5",BJ2176,0)</f>
      </c>
      <c r="AB2176" s="111">
        <f>IF(AQ2176="1",BH2176,0)</f>
      </c>
      <c r="AC2176" s="111">
        <f>IF(AQ2176="1",BI2176,0)</f>
      </c>
      <c r="AD2176" s="111">
        <f>IF(AQ2176="7",BH2176,0)</f>
      </c>
      <c r="AE2176" s="111">
        <f>IF(AQ2176="7",BI2176,0)</f>
      </c>
      <c r="AF2176" s="111">
        <f>IF(AQ2176="2",BH2176,0)</f>
      </c>
      <c r="AG2176" s="111">
        <f>IF(AQ2176="2",BI2176,0)</f>
      </c>
      <c r="AH2176" s="111">
        <f>IF(AQ2176="0",BJ2176,0)</f>
      </c>
      <c r="AI2176" s="132" t="s">
        <v>87</v>
      </c>
      <c r="AJ2176" s="111">
        <f>IF(AN2176=0,I2176,0)</f>
      </c>
      <c r="AK2176" s="111">
        <f>IF(AN2176=12,I2176,0)</f>
      </c>
      <c r="AL2176" s="111">
        <f>IF(AN2176=21,I2176,0)</f>
      </c>
      <c r="AN2176" s="111" t="n">
        <v>21</v>
      </c>
      <c r="AO2176" s="111">
        <f>H2176*0.786590909</f>
      </c>
      <c r="AP2176" s="111">
        <f>H2176*(1-0.786590909)</f>
      </c>
      <c r="AQ2176" s="153" t="s">
        <v>173</v>
      </c>
      <c r="AV2176" s="111">
        <f>AW2176+AX2176</f>
      </c>
      <c r="AW2176" s="111">
        <f>G2176*AO2176</f>
      </c>
      <c r="AX2176" s="111">
        <f>G2176*AP2176</f>
      </c>
      <c r="AY2176" s="153" t="s">
        <v>1855</v>
      </c>
      <c r="AZ2176" s="153" t="s">
        <v>3310</v>
      </c>
      <c r="BA2176" s="132" t="s">
        <v>2990</v>
      </c>
      <c r="BC2176" s="111">
        <f>AW2176+AX2176</f>
      </c>
      <c r="BD2176" s="111">
        <f>H2176/(100-BE2176)*100</f>
      </c>
      <c r="BE2176" s="111" t="n">
        <v>0</v>
      </c>
      <c r="BF2176" s="111">
        <f>2176</f>
      </c>
      <c r="BH2176" s="111">
        <f>G2176*AO2176</f>
      </c>
      <c r="BI2176" s="111">
        <f>G2176*AP2176</f>
      </c>
      <c r="BJ2176" s="111">
        <f>G2176*H2176</f>
      </c>
      <c r="BK2176" s="111"/>
      <c r="BL2176" s="111" t="n">
        <v>713</v>
      </c>
      <c r="BW2176" s="111" t="n">
        <v>21</v>
      </c>
      <c r="BX2176" s="14" t="s">
        <v>3323</v>
      </c>
    </row>
    <row r="2177">
      <c r="A2177" s="154"/>
      <c r="B2177" s="155"/>
      <c r="C2177" s="155"/>
      <c r="D2177" s="156" t="s">
        <v>130</v>
      </c>
      <c r="E2177" s="156" t="s">
        <v>4</v>
      </c>
      <c r="F2177" s="155"/>
      <c r="G2177" s="157" t="n">
        <v>1</v>
      </c>
      <c r="H2177" s="158"/>
      <c r="I2177" s="155"/>
      <c r="J2177" s="155"/>
      <c r="K2177" s="146"/>
    </row>
    <row r="2178">
      <c r="A2178" s="9" t="s">
        <v>3324</v>
      </c>
      <c r="B2178" s="10" t="s">
        <v>87</v>
      </c>
      <c r="C2178" s="10" t="s">
        <v>3325</v>
      </c>
      <c r="D2178" s="14" t="s">
        <v>3326</v>
      </c>
      <c r="E2178" s="10"/>
      <c r="F2178" s="10" t="s">
        <v>133</v>
      </c>
      <c r="G2178" s="111" t="n">
        <v>1</v>
      </c>
      <c r="H2178" s="152" t="n">
        <v>0</v>
      </c>
      <c r="I2178" s="111">
        <f>G2178*H2178</f>
      </c>
      <c r="J2178" s="153" t="s">
        <v>134</v>
      </c>
      <c r="K2178" s="146"/>
      <c r="Z2178" s="111">
        <f>IF(AQ2178="5",BJ2178,0)</f>
      </c>
      <c r="AB2178" s="111">
        <f>IF(AQ2178="1",BH2178,0)</f>
      </c>
      <c r="AC2178" s="111">
        <f>IF(AQ2178="1",BI2178,0)</f>
      </c>
      <c r="AD2178" s="111">
        <f>IF(AQ2178="7",BH2178,0)</f>
      </c>
      <c r="AE2178" s="111">
        <f>IF(AQ2178="7",BI2178,0)</f>
      </c>
      <c r="AF2178" s="111">
        <f>IF(AQ2178="2",BH2178,0)</f>
      </c>
      <c r="AG2178" s="111">
        <f>IF(AQ2178="2",BI2178,0)</f>
      </c>
      <c r="AH2178" s="111">
        <f>IF(AQ2178="0",BJ2178,0)</f>
      </c>
      <c r="AI2178" s="132" t="s">
        <v>87</v>
      </c>
      <c r="AJ2178" s="111">
        <f>IF(AN2178=0,I2178,0)</f>
      </c>
      <c r="AK2178" s="111">
        <f>IF(AN2178=12,I2178,0)</f>
      </c>
      <c r="AL2178" s="111">
        <f>IF(AN2178=21,I2178,0)</f>
      </c>
      <c r="AN2178" s="111" t="n">
        <v>21</v>
      </c>
      <c r="AO2178" s="111">
        <f>H2178*0.807294776</f>
      </c>
      <c r="AP2178" s="111">
        <f>H2178*(1-0.807294776)</f>
      </c>
      <c r="AQ2178" s="153" t="s">
        <v>173</v>
      </c>
      <c r="AV2178" s="111">
        <f>AW2178+AX2178</f>
      </c>
      <c r="AW2178" s="111">
        <f>G2178*AO2178</f>
      </c>
      <c r="AX2178" s="111">
        <f>G2178*AP2178</f>
      </c>
      <c r="AY2178" s="153" t="s">
        <v>1855</v>
      </c>
      <c r="AZ2178" s="153" t="s">
        <v>3310</v>
      </c>
      <c r="BA2178" s="132" t="s">
        <v>2990</v>
      </c>
      <c r="BC2178" s="111">
        <f>AW2178+AX2178</f>
      </c>
      <c r="BD2178" s="111">
        <f>H2178/(100-BE2178)*100</f>
      </c>
      <c r="BE2178" s="111" t="n">
        <v>0</v>
      </c>
      <c r="BF2178" s="111">
        <f>2178</f>
      </c>
      <c r="BH2178" s="111">
        <f>G2178*AO2178</f>
      </c>
      <c r="BI2178" s="111">
        <f>G2178*AP2178</f>
      </c>
      <c r="BJ2178" s="111">
        <f>G2178*H2178</f>
      </c>
      <c r="BK2178" s="111"/>
      <c r="BL2178" s="111" t="n">
        <v>713</v>
      </c>
      <c r="BW2178" s="111" t="n">
        <v>21</v>
      </c>
      <c r="BX2178" s="14" t="s">
        <v>3326</v>
      </c>
    </row>
    <row r="2179">
      <c r="A2179" s="154"/>
      <c r="B2179" s="155"/>
      <c r="C2179" s="155"/>
      <c r="D2179" s="156" t="s">
        <v>130</v>
      </c>
      <c r="E2179" s="156" t="s">
        <v>4</v>
      </c>
      <c r="F2179" s="155"/>
      <c r="G2179" s="157" t="n">
        <v>1</v>
      </c>
      <c r="H2179" s="158"/>
      <c r="I2179" s="155"/>
      <c r="J2179" s="155"/>
      <c r="K2179" s="146"/>
    </row>
    <row r="2180">
      <c r="A2180" s="147" t="s">
        <v>4</v>
      </c>
      <c r="B2180" s="148" t="s">
        <v>87</v>
      </c>
      <c r="C2180" s="148" t="s">
        <v>3327</v>
      </c>
      <c r="D2180" s="149" t="s">
        <v>3328</v>
      </c>
      <c r="E2180" s="148"/>
      <c r="F2180" s="150" t="s">
        <v>79</v>
      </c>
      <c r="G2180" s="150" t="s">
        <v>79</v>
      </c>
      <c r="H2180" s="151" t="s">
        <v>79</v>
      </c>
      <c r="I2180" s="117">
        <f>SUM(I2181:I2255)</f>
      </c>
      <c r="J2180" s="132" t="s">
        <v>4</v>
      </c>
      <c r="K2180" s="146"/>
      <c r="AI2180" s="132" t="s">
        <v>87</v>
      </c>
      <c r="AS2180" s="117">
        <f>SUM(AJ2181:AJ2255)</f>
      </c>
      <c r="AT2180" s="117">
        <f>SUM(AK2181:AK2255)</f>
      </c>
      <c r="AU2180" s="117">
        <f>SUM(AL2181:AL2255)</f>
      </c>
    </row>
    <row r="2181">
      <c r="A2181" s="9" t="s">
        <v>3329</v>
      </c>
      <c r="B2181" s="10" t="s">
        <v>87</v>
      </c>
      <c r="C2181" s="10" t="s">
        <v>3330</v>
      </c>
      <c r="D2181" s="14" t="s">
        <v>3331</v>
      </c>
      <c r="E2181" s="10"/>
      <c r="F2181" s="10" t="s">
        <v>282</v>
      </c>
      <c r="G2181" s="111" t="n">
        <v>15</v>
      </c>
      <c r="H2181" s="152" t="n">
        <v>0</v>
      </c>
      <c r="I2181" s="111">
        <f>G2181*H2181</f>
      </c>
      <c r="J2181" s="153" t="s">
        <v>134</v>
      </c>
      <c r="K2181" s="146"/>
      <c r="Z2181" s="111">
        <f>IF(AQ2181="5",BJ2181,0)</f>
      </c>
      <c r="AB2181" s="111">
        <f>IF(AQ2181="1",BH2181,0)</f>
      </c>
      <c r="AC2181" s="111">
        <f>IF(AQ2181="1",BI2181,0)</f>
      </c>
      <c r="AD2181" s="111">
        <f>IF(AQ2181="7",BH2181,0)</f>
      </c>
      <c r="AE2181" s="111">
        <f>IF(AQ2181="7",BI2181,0)</f>
      </c>
      <c r="AF2181" s="111">
        <f>IF(AQ2181="2",BH2181,0)</f>
      </c>
      <c r="AG2181" s="111">
        <f>IF(AQ2181="2",BI2181,0)</f>
      </c>
      <c r="AH2181" s="111">
        <f>IF(AQ2181="0",BJ2181,0)</f>
      </c>
      <c r="AI2181" s="132" t="s">
        <v>87</v>
      </c>
      <c r="AJ2181" s="111">
        <f>IF(AN2181=0,I2181,0)</f>
      </c>
      <c r="AK2181" s="111">
        <f>IF(AN2181=12,I2181,0)</f>
      </c>
      <c r="AL2181" s="111">
        <f>IF(AN2181=21,I2181,0)</f>
      </c>
      <c r="AN2181" s="111" t="n">
        <v>21</v>
      </c>
      <c r="AO2181" s="111">
        <f>H2181*0.815592998</f>
      </c>
      <c r="AP2181" s="111">
        <f>H2181*(1-0.815592998)</f>
      </c>
      <c r="AQ2181" s="153" t="s">
        <v>173</v>
      </c>
      <c r="AV2181" s="111">
        <f>AW2181+AX2181</f>
      </c>
      <c r="AW2181" s="111">
        <f>G2181*AO2181</f>
      </c>
      <c r="AX2181" s="111">
        <f>G2181*AP2181</f>
      </c>
      <c r="AY2181" s="153" t="s">
        <v>3332</v>
      </c>
      <c r="AZ2181" s="153" t="s">
        <v>3333</v>
      </c>
      <c r="BA2181" s="132" t="s">
        <v>2990</v>
      </c>
      <c r="BC2181" s="111">
        <f>AW2181+AX2181</f>
      </c>
      <c r="BD2181" s="111">
        <f>H2181/(100-BE2181)*100</f>
      </c>
      <c r="BE2181" s="111" t="n">
        <v>0</v>
      </c>
      <c r="BF2181" s="111">
        <f>2181</f>
      </c>
      <c r="BH2181" s="111">
        <f>G2181*AO2181</f>
      </c>
      <c r="BI2181" s="111">
        <f>G2181*AP2181</f>
      </c>
      <c r="BJ2181" s="111">
        <f>G2181*H2181</f>
      </c>
      <c r="BK2181" s="111"/>
      <c r="BL2181" s="111" t="n">
        <v>721</v>
      </c>
      <c r="BW2181" s="111" t="n">
        <v>21</v>
      </c>
      <c r="BX2181" s="14" t="s">
        <v>3331</v>
      </c>
    </row>
    <row r="2182">
      <c r="A2182" s="154"/>
      <c r="B2182" s="155"/>
      <c r="C2182" s="155"/>
      <c r="D2182" s="156" t="s">
        <v>224</v>
      </c>
      <c r="E2182" s="156" t="s">
        <v>4</v>
      </c>
      <c r="F2182" s="155"/>
      <c r="G2182" s="157" t="n">
        <v>15</v>
      </c>
      <c r="H2182" s="158"/>
      <c r="I2182" s="155"/>
      <c r="J2182" s="155"/>
      <c r="K2182" s="146"/>
    </row>
    <row r="2183">
      <c r="A2183" s="9" t="s">
        <v>3334</v>
      </c>
      <c r="B2183" s="10" t="s">
        <v>87</v>
      </c>
      <c r="C2183" s="10" t="s">
        <v>3335</v>
      </c>
      <c r="D2183" s="14" t="s">
        <v>3336</v>
      </c>
      <c r="E2183" s="10"/>
      <c r="F2183" s="10" t="s">
        <v>133</v>
      </c>
      <c r="G2183" s="111" t="n">
        <v>2</v>
      </c>
      <c r="H2183" s="152" t="n">
        <v>0</v>
      </c>
      <c r="I2183" s="111">
        <f>G2183*H2183</f>
      </c>
      <c r="J2183" s="153" t="s">
        <v>134</v>
      </c>
      <c r="K2183" s="146"/>
      <c r="Z2183" s="111">
        <f>IF(AQ2183="5",BJ2183,0)</f>
      </c>
      <c r="AB2183" s="111">
        <f>IF(AQ2183="1",BH2183,0)</f>
      </c>
      <c r="AC2183" s="111">
        <f>IF(AQ2183="1",BI2183,0)</f>
      </c>
      <c r="AD2183" s="111">
        <f>IF(AQ2183="7",BH2183,0)</f>
      </c>
      <c r="AE2183" s="111">
        <f>IF(AQ2183="7",BI2183,0)</f>
      </c>
      <c r="AF2183" s="111">
        <f>IF(AQ2183="2",BH2183,0)</f>
      </c>
      <c r="AG2183" s="111">
        <f>IF(AQ2183="2",BI2183,0)</f>
      </c>
      <c r="AH2183" s="111">
        <f>IF(AQ2183="0",BJ2183,0)</f>
      </c>
      <c r="AI2183" s="132" t="s">
        <v>87</v>
      </c>
      <c r="AJ2183" s="111">
        <f>IF(AN2183=0,I2183,0)</f>
      </c>
      <c r="AK2183" s="111">
        <f>IF(AN2183=12,I2183,0)</f>
      </c>
      <c r="AL2183" s="111">
        <f>IF(AN2183=21,I2183,0)</f>
      </c>
      <c r="AN2183" s="111" t="n">
        <v>21</v>
      </c>
      <c r="AO2183" s="111">
        <f>H2183*0.877108384</f>
      </c>
      <c r="AP2183" s="111">
        <f>H2183*(1-0.877108384)</f>
      </c>
      <c r="AQ2183" s="153" t="s">
        <v>173</v>
      </c>
      <c r="AV2183" s="111">
        <f>AW2183+AX2183</f>
      </c>
      <c r="AW2183" s="111">
        <f>G2183*AO2183</f>
      </c>
      <c r="AX2183" s="111">
        <f>G2183*AP2183</f>
      </c>
      <c r="AY2183" s="153" t="s">
        <v>3332</v>
      </c>
      <c r="AZ2183" s="153" t="s">
        <v>3333</v>
      </c>
      <c r="BA2183" s="132" t="s">
        <v>2990</v>
      </c>
      <c r="BC2183" s="111">
        <f>AW2183+AX2183</f>
      </c>
      <c r="BD2183" s="111">
        <f>H2183/(100-BE2183)*100</f>
      </c>
      <c r="BE2183" s="111" t="n">
        <v>0</v>
      </c>
      <c r="BF2183" s="111">
        <f>2183</f>
      </c>
      <c r="BH2183" s="111">
        <f>G2183*AO2183</f>
      </c>
      <c r="BI2183" s="111">
        <f>G2183*AP2183</f>
      </c>
      <c r="BJ2183" s="111">
        <f>G2183*H2183</f>
      </c>
      <c r="BK2183" s="111"/>
      <c r="BL2183" s="111" t="n">
        <v>721</v>
      </c>
      <c r="BW2183" s="111" t="n">
        <v>21</v>
      </c>
      <c r="BX2183" s="14" t="s">
        <v>3336</v>
      </c>
    </row>
    <row r="2184">
      <c r="A2184" s="154"/>
      <c r="B2184" s="155"/>
      <c r="C2184" s="155"/>
      <c r="D2184" s="156" t="s">
        <v>140</v>
      </c>
      <c r="E2184" s="156" t="s">
        <v>4</v>
      </c>
      <c r="F2184" s="155"/>
      <c r="G2184" s="157" t="n">
        <v>2</v>
      </c>
      <c r="H2184" s="158"/>
      <c r="I2184" s="155"/>
      <c r="J2184" s="155"/>
      <c r="K2184" s="146"/>
    </row>
    <row r="2185">
      <c r="A2185" s="9" t="s">
        <v>3337</v>
      </c>
      <c r="B2185" s="10" t="s">
        <v>87</v>
      </c>
      <c r="C2185" s="10" t="s">
        <v>3338</v>
      </c>
      <c r="D2185" s="14" t="s">
        <v>3339</v>
      </c>
      <c r="E2185" s="10"/>
      <c r="F2185" s="10" t="s">
        <v>282</v>
      </c>
      <c r="G2185" s="111" t="n">
        <v>30</v>
      </c>
      <c r="H2185" s="152" t="n">
        <v>0</v>
      </c>
      <c r="I2185" s="111">
        <f>G2185*H2185</f>
      </c>
      <c r="J2185" s="153" t="s">
        <v>134</v>
      </c>
      <c r="K2185" s="146"/>
      <c r="Z2185" s="111">
        <f>IF(AQ2185="5",BJ2185,0)</f>
      </c>
      <c r="AB2185" s="111">
        <f>IF(AQ2185="1",BH2185,0)</f>
      </c>
      <c r="AC2185" s="111">
        <f>IF(AQ2185="1",BI2185,0)</f>
      </c>
      <c r="AD2185" s="111">
        <f>IF(AQ2185="7",BH2185,0)</f>
      </c>
      <c r="AE2185" s="111">
        <f>IF(AQ2185="7",BI2185,0)</f>
      </c>
      <c r="AF2185" s="111">
        <f>IF(AQ2185="2",BH2185,0)</f>
      </c>
      <c r="AG2185" s="111">
        <f>IF(AQ2185="2",BI2185,0)</f>
      </c>
      <c r="AH2185" s="111">
        <f>IF(AQ2185="0",BJ2185,0)</f>
      </c>
      <c r="AI2185" s="132" t="s">
        <v>87</v>
      </c>
      <c r="AJ2185" s="111">
        <f>IF(AN2185=0,I2185,0)</f>
      </c>
      <c r="AK2185" s="111">
        <f>IF(AN2185=12,I2185,0)</f>
      </c>
      <c r="AL2185" s="111">
        <f>IF(AN2185=21,I2185,0)</f>
      </c>
      <c r="AN2185" s="111" t="n">
        <v>21</v>
      </c>
      <c r="AO2185" s="111">
        <f>H2185*0.642695357</f>
      </c>
      <c r="AP2185" s="111">
        <f>H2185*(1-0.642695357)</f>
      </c>
      <c r="AQ2185" s="153" t="s">
        <v>173</v>
      </c>
      <c r="AV2185" s="111">
        <f>AW2185+AX2185</f>
      </c>
      <c r="AW2185" s="111">
        <f>G2185*AO2185</f>
      </c>
      <c r="AX2185" s="111">
        <f>G2185*AP2185</f>
      </c>
      <c r="AY2185" s="153" t="s">
        <v>3332</v>
      </c>
      <c r="AZ2185" s="153" t="s">
        <v>3333</v>
      </c>
      <c r="BA2185" s="132" t="s">
        <v>2990</v>
      </c>
      <c r="BC2185" s="111">
        <f>AW2185+AX2185</f>
      </c>
      <c r="BD2185" s="111">
        <f>H2185/(100-BE2185)*100</f>
      </c>
      <c r="BE2185" s="111" t="n">
        <v>0</v>
      </c>
      <c r="BF2185" s="111">
        <f>2185</f>
      </c>
      <c r="BH2185" s="111">
        <f>G2185*AO2185</f>
      </c>
      <c r="BI2185" s="111">
        <f>G2185*AP2185</f>
      </c>
      <c r="BJ2185" s="111">
        <f>G2185*H2185</f>
      </c>
      <c r="BK2185" s="111"/>
      <c r="BL2185" s="111" t="n">
        <v>721</v>
      </c>
      <c r="BW2185" s="111" t="n">
        <v>21</v>
      </c>
      <c r="BX2185" s="14" t="s">
        <v>3339</v>
      </c>
    </row>
    <row r="2186">
      <c r="A2186" s="154"/>
      <c r="B2186" s="155"/>
      <c r="C2186" s="155"/>
      <c r="D2186" s="156" t="s">
        <v>342</v>
      </c>
      <c r="E2186" s="156" t="s">
        <v>4</v>
      </c>
      <c r="F2186" s="155"/>
      <c r="G2186" s="157" t="n">
        <v>30</v>
      </c>
      <c r="H2186" s="158"/>
      <c r="I2186" s="155"/>
      <c r="J2186" s="155"/>
      <c r="K2186" s="146"/>
    </row>
    <row r="2187">
      <c r="A2187" s="9" t="s">
        <v>3340</v>
      </c>
      <c r="B2187" s="10" t="s">
        <v>87</v>
      </c>
      <c r="C2187" s="10" t="s">
        <v>3341</v>
      </c>
      <c r="D2187" s="14" t="s">
        <v>3342</v>
      </c>
      <c r="E2187" s="10"/>
      <c r="F2187" s="10" t="s">
        <v>282</v>
      </c>
      <c r="G2187" s="111" t="n">
        <v>33</v>
      </c>
      <c r="H2187" s="152" t="n">
        <v>0</v>
      </c>
      <c r="I2187" s="111">
        <f>G2187*H2187</f>
      </c>
      <c r="J2187" s="153" t="s">
        <v>134</v>
      </c>
      <c r="K2187" s="146"/>
      <c r="Z2187" s="111">
        <f>IF(AQ2187="5",BJ2187,0)</f>
      </c>
      <c r="AB2187" s="111">
        <f>IF(AQ2187="1",BH2187,0)</f>
      </c>
      <c r="AC2187" s="111">
        <f>IF(AQ2187="1",BI2187,0)</f>
      </c>
      <c r="AD2187" s="111">
        <f>IF(AQ2187="7",BH2187,0)</f>
      </c>
      <c r="AE2187" s="111">
        <f>IF(AQ2187="7",BI2187,0)</f>
      </c>
      <c r="AF2187" s="111">
        <f>IF(AQ2187="2",BH2187,0)</f>
      </c>
      <c r="AG2187" s="111">
        <f>IF(AQ2187="2",BI2187,0)</f>
      </c>
      <c r="AH2187" s="111">
        <f>IF(AQ2187="0",BJ2187,0)</f>
      </c>
      <c r="AI2187" s="132" t="s">
        <v>87</v>
      </c>
      <c r="AJ2187" s="111">
        <f>IF(AN2187=0,I2187,0)</f>
      </c>
      <c r="AK2187" s="111">
        <f>IF(AN2187=12,I2187,0)</f>
      </c>
      <c r="AL2187" s="111">
        <f>IF(AN2187=21,I2187,0)</f>
      </c>
      <c r="AN2187" s="111" t="n">
        <v>21</v>
      </c>
      <c r="AO2187" s="111">
        <f>H2187*0.793751724</f>
      </c>
      <c r="AP2187" s="111">
        <f>H2187*(1-0.793751724)</f>
      </c>
      <c r="AQ2187" s="153" t="s">
        <v>173</v>
      </c>
      <c r="AV2187" s="111">
        <f>AW2187+AX2187</f>
      </c>
      <c r="AW2187" s="111">
        <f>G2187*AO2187</f>
      </c>
      <c r="AX2187" s="111">
        <f>G2187*AP2187</f>
      </c>
      <c r="AY2187" s="153" t="s">
        <v>3332</v>
      </c>
      <c r="AZ2187" s="153" t="s">
        <v>3333</v>
      </c>
      <c r="BA2187" s="132" t="s">
        <v>2990</v>
      </c>
      <c r="BC2187" s="111">
        <f>AW2187+AX2187</f>
      </c>
      <c r="BD2187" s="111">
        <f>H2187/(100-BE2187)*100</f>
      </c>
      <c r="BE2187" s="111" t="n">
        <v>0</v>
      </c>
      <c r="BF2187" s="111">
        <f>2187</f>
      </c>
      <c r="BH2187" s="111">
        <f>G2187*AO2187</f>
      </c>
      <c r="BI2187" s="111">
        <f>G2187*AP2187</f>
      </c>
      <c r="BJ2187" s="111">
        <f>G2187*H2187</f>
      </c>
      <c r="BK2187" s="111"/>
      <c r="BL2187" s="111" t="n">
        <v>721</v>
      </c>
      <c r="BW2187" s="111" t="n">
        <v>21</v>
      </c>
      <c r="BX2187" s="14" t="s">
        <v>3342</v>
      </c>
    </row>
    <row r="2188">
      <c r="A2188" s="154"/>
      <c r="B2188" s="155"/>
      <c r="C2188" s="155"/>
      <c r="D2188" s="156" t="s">
        <v>360</v>
      </c>
      <c r="E2188" s="156" t="s">
        <v>4</v>
      </c>
      <c r="F2188" s="155"/>
      <c r="G2188" s="157" t="n">
        <v>33</v>
      </c>
      <c r="H2188" s="158"/>
      <c r="I2188" s="155"/>
      <c r="J2188" s="155"/>
      <c r="K2188" s="146"/>
    </row>
    <row r="2189">
      <c r="A2189" s="9" t="s">
        <v>3343</v>
      </c>
      <c r="B2189" s="10" t="s">
        <v>87</v>
      </c>
      <c r="C2189" s="10" t="s">
        <v>3344</v>
      </c>
      <c r="D2189" s="14" t="s">
        <v>3345</v>
      </c>
      <c r="E2189" s="10"/>
      <c r="F2189" s="10" t="s">
        <v>282</v>
      </c>
      <c r="G2189" s="111" t="n">
        <v>18</v>
      </c>
      <c r="H2189" s="152" t="n">
        <v>0</v>
      </c>
      <c r="I2189" s="111">
        <f>G2189*H2189</f>
      </c>
      <c r="J2189" s="153" t="s">
        <v>134</v>
      </c>
      <c r="K2189" s="146"/>
      <c r="Z2189" s="111">
        <f>IF(AQ2189="5",BJ2189,0)</f>
      </c>
      <c r="AB2189" s="111">
        <f>IF(AQ2189="1",BH2189,0)</f>
      </c>
      <c r="AC2189" s="111">
        <f>IF(AQ2189="1",BI2189,0)</f>
      </c>
      <c r="AD2189" s="111">
        <f>IF(AQ2189="7",BH2189,0)</f>
      </c>
      <c r="AE2189" s="111">
        <f>IF(AQ2189="7",BI2189,0)</f>
      </c>
      <c r="AF2189" s="111">
        <f>IF(AQ2189="2",BH2189,0)</f>
      </c>
      <c r="AG2189" s="111">
        <f>IF(AQ2189="2",BI2189,0)</f>
      </c>
      <c r="AH2189" s="111">
        <f>IF(AQ2189="0",BJ2189,0)</f>
      </c>
      <c r="AI2189" s="132" t="s">
        <v>87</v>
      </c>
      <c r="AJ2189" s="111">
        <f>IF(AN2189=0,I2189,0)</f>
      </c>
      <c r="AK2189" s="111">
        <f>IF(AN2189=12,I2189,0)</f>
      </c>
      <c r="AL2189" s="111">
        <f>IF(AN2189=21,I2189,0)</f>
      </c>
      <c r="AN2189" s="111" t="n">
        <v>21</v>
      </c>
      <c r="AO2189" s="111">
        <f>H2189*0.831643241</f>
      </c>
      <c r="AP2189" s="111">
        <f>H2189*(1-0.831643241)</f>
      </c>
      <c r="AQ2189" s="153" t="s">
        <v>173</v>
      </c>
      <c r="AV2189" s="111">
        <f>AW2189+AX2189</f>
      </c>
      <c r="AW2189" s="111">
        <f>G2189*AO2189</f>
      </c>
      <c r="AX2189" s="111">
        <f>G2189*AP2189</f>
      </c>
      <c r="AY2189" s="153" t="s">
        <v>3332</v>
      </c>
      <c r="AZ2189" s="153" t="s">
        <v>3333</v>
      </c>
      <c r="BA2189" s="132" t="s">
        <v>2990</v>
      </c>
      <c r="BC2189" s="111">
        <f>AW2189+AX2189</f>
      </c>
      <c r="BD2189" s="111">
        <f>H2189/(100-BE2189)*100</f>
      </c>
      <c r="BE2189" s="111" t="n">
        <v>0</v>
      </c>
      <c r="BF2189" s="111">
        <f>2189</f>
      </c>
      <c r="BH2189" s="111">
        <f>G2189*AO2189</f>
      </c>
      <c r="BI2189" s="111">
        <f>G2189*AP2189</f>
      </c>
      <c r="BJ2189" s="111">
        <f>G2189*H2189</f>
      </c>
      <c r="BK2189" s="111"/>
      <c r="BL2189" s="111" t="n">
        <v>721</v>
      </c>
      <c r="BW2189" s="111" t="n">
        <v>21</v>
      </c>
      <c r="BX2189" s="14" t="s">
        <v>3345</v>
      </c>
    </row>
    <row r="2190">
      <c r="A2190" s="154"/>
      <c r="B2190" s="155"/>
      <c r="C2190" s="155"/>
      <c r="D2190" s="156" t="s">
        <v>235</v>
      </c>
      <c r="E2190" s="156" t="s">
        <v>4</v>
      </c>
      <c r="F2190" s="155"/>
      <c r="G2190" s="157" t="n">
        <v>18</v>
      </c>
      <c r="H2190" s="158"/>
      <c r="I2190" s="155"/>
      <c r="J2190" s="155"/>
      <c r="K2190" s="146"/>
    </row>
    <row r="2191">
      <c r="A2191" s="9" t="s">
        <v>3346</v>
      </c>
      <c r="B2191" s="10" t="s">
        <v>87</v>
      </c>
      <c r="C2191" s="10" t="s">
        <v>3347</v>
      </c>
      <c r="D2191" s="14" t="s">
        <v>3348</v>
      </c>
      <c r="E2191" s="10"/>
      <c r="F2191" s="10" t="s">
        <v>133</v>
      </c>
      <c r="G2191" s="111" t="n">
        <v>6</v>
      </c>
      <c r="H2191" s="152" t="n">
        <v>0</v>
      </c>
      <c r="I2191" s="111">
        <f>G2191*H2191</f>
      </c>
      <c r="J2191" s="153" t="s">
        <v>134</v>
      </c>
      <c r="K2191" s="146"/>
      <c r="Z2191" s="111">
        <f>IF(AQ2191="5",BJ2191,0)</f>
      </c>
      <c r="AB2191" s="111">
        <f>IF(AQ2191="1",BH2191,0)</f>
      </c>
      <c r="AC2191" s="111">
        <f>IF(AQ2191="1",BI2191,0)</f>
      </c>
      <c r="AD2191" s="111">
        <f>IF(AQ2191="7",BH2191,0)</f>
      </c>
      <c r="AE2191" s="111">
        <f>IF(AQ2191="7",BI2191,0)</f>
      </c>
      <c r="AF2191" s="111">
        <f>IF(AQ2191="2",BH2191,0)</f>
      </c>
      <c r="AG2191" s="111">
        <f>IF(AQ2191="2",BI2191,0)</f>
      </c>
      <c r="AH2191" s="111">
        <f>IF(AQ2191="0",BJ2191,0)</f>
      </c>
      <c r="AI2191" s="132" t="s">
        <v>87</v>
      </c>
      <c r="AJ2191" s="111">
        <f>IF(AN2191=0,I2191,0)</f>
      </c>
      <c r="AK2191" s="111">
        <f>IF(AN2191=12,I2191,0)</f>
      </c>
      <c r="AL2191" s="111">
        <f>IF(AN2191=21,I2191,0)</f>
      </c>
      <c r="AN2191" s="111" t="n">
        <v>21</v>
      </c>
      <c r="AO2191" s="111">
        <f>H2191*0.80527804</f>
      </c>
      <c r="AP2191" s="111">
        <f>H2191*(1-0.80527804)</f>
      </c>
      <c r="AQ2191" s="153" t="s">
        <v>173</v>
      </c>
      <c r="AV2191" s="111">
        <f>AW2191+AX2191</f>
      </c>
      <c r="AW2191" s="111">
        <f>G2191*AO2191</f>
      </c>
      <c r="AX2191" s="111">
        <f>G2191*AP2191</f>
      </c>
      <c r="AY2191" s="153" t="s">
        <v>3332</v>
      </c>
      <c r="AZ2191" s="153" t="s">
        <v>3333</v>
      </c>
      <c r="BA2191" s="132" t="s">
        <v>2990</v>
      </c>
      <c r="BC2191" s="111">
        <f>AW2191+AX2191</f>
      </c>
      <c r="BD2191" s="111">
        <f>H2191/(100-BE2191)*100</f>
      </c>
      <c r="BE2191" s="111" t="n">
        <v>0</v>
      </c>
      <c r="BF2191" s="111">
        <f>2191</f>
      </c>
      <c r="BH2191" s="111">
        <f>G2191*AO2191</f>
      </c>
      <c r="BI2191" s="111">
        <f>G2191*AP2191</f>
      </c>
      <c r="BJ2191" s="111">
        <f>G2191*H2191</f>
      </c>
      <c r="BK2191" s="111"/>
      <c r="BL2191" s="111" t="n">
        <v>721</v>
      </c>
      <c r="BW2191" s="111" t="n">
        <v>21</v>
      </c>
      <c r="BX2191" s="14" t="s">
        <v>3348</v>
      </c>
    </row>
    <row r="2192">
      <c r="A2192" s="154"/>
      <c r="B2192" s="155"/>
      <c r="C2192" s="155"/>
      <c r="D2192" s="156" t="s">
        <v>165</v>
      </c>
      <c r="E2192" s="156" t="s">
        <v>4</v>
      </c>
      <c r="F2192" s="155"/>
      <c r="G2192" s="157" t="n">
        <v>6</v>
      </c>
      <c r="H2192" s="158"/>
      <c r="I2192" s="155"/>
      <c r="J2192" s="155"/>
      <c r="K2192" s="146"/>
    </row>
    <row r="2193">
      <c r="A2193" s="9" t="s">
        <v>3349</v>
      </c>
      <c r="B2193" s="10" t="s">
        <v>87</v>
      </c>
      <c r="C2193" s="10" t="s">
        <v>3350</v>
      </c>
      <c r="D2193" s="14" t="s">
        <v>3351</v>
      </c>
      <c r="E2193" s="10"/>
      <c r="F2193" s="10" t="s">
        <v>133</v>
      </c>
      <c r="G2193" s="111" t="n">
        <v>1</v>
      </c>
      <c r="H2193" s="152" t="n">
        <v>0</v>
      </c>
      <c r="I2193" s="111">
        <f>G2193*H2193</f>
      </c>
      <c r="J2193" s="153" t="s">
        <v>134</v>
      </c>
      <c r="K2193" s="146"/>
      <c r="Z2193" s="111">
        <f>IF(AQ2193="5",BJ2193,0)</f>
      </c>
      <c r="AB2193" s="111">
        <f>IF(AQ2193="1",BH2193,0)</f>
      </c>
      <c r="AC2193" s="111">
        <f>IF(AQ2193="1",BI2193,0)</f>
      </c>
      <c r="AD2193" s="111">
        <f>IF(AQ2193="7",BH2193,0)</f>
      </c>
      <c r="AE2193" s="111">
        <f>IF(AQ2193="7",BI2193,0)</f>
      </c>
      <c r="AF2193" s="111">
        <f>IF(AQ2193="2",BH2193,0)</f>
      </c>
      <c r="AG2193" s="111">
        <f>IF(AQ2193="2",BI2193,0)</f>
      </c>
      <c r="AH2193" s="111">
        <f>IF(AQ2193="0",BJ2193,0)</f>
      </c>
      <c r="AI2193" s="132" t="s">
        <v>87</v>
      </c>
      <c r="AJ2193" s="111">
        <f>IF(AN2193=0,I2193,0)</f>
      </c>
      <c r="AK2193" s="111">
        <f>IF(AN2193=12,I2193,0)</f>
      </c>
      <c r="AL2193" s="111">
        <f>IF(AN2193=21,I2193,0)</f>
      </c>
      <c r="AN2193" s="111" t="n">
        <v>21</v>
      </c>
      <c r="AO2193" s="111">
        <f>H2193*0.881970246</f>
      </c>
      <c r="AP2193" s="111">
        <f>H2193*(1-0.881970246)</f>
      </c>
      <c r="AQ2193" s="153" t="s">
        <v>173</v>
      </c>
      <c r="AV2193" s="111">
        <f>AW2193+AX2193</f>
      </c>
      <c r="AW2193" s="111">
        <f>G2193*AO2193</f>
      </c>
      <c r="AX2193" s="111">
        <f>G2193*AP2193</f>
      </c>
      <c r="AY2193" s="153" t="s">
        <v>3332</v>
      </c>
      <c r="AZ2193" s="153" t="s">
        <v>3333</v>
      </c>
      <c r="BA2193" s="132" t="s">
        <v>2990</v>
      </c>
      <c r="BC2193" s="111">
        <f>AW2193+AX2193</f>
      </c>
      <c r="BD2193" s="111">
        <f>H2193/(100-BE2193)*100</f>
      </c>
      <c r="BE2193" s="111" t="n">
        <v>0</v>
      </c>
      <c r="BF2193" s="111">
        <f>2193</f>
      </c>
      <c r="BH2193" s="111">
        <f>G2193*AO2193</f>
      </c>
      <c r="BI2193" s="111">
        <f>G2193*AP2193</f>
      </c>
      <c r="BJ2193" s="111">
        <f>G2193*H2193</f>
      </c>
      <c r="BK2193" s="111"/>
      <c r="BL2193" s="111" t="n">
        <v>721</v>
      </c>
      <c r="BW2193" s="111" t="n">
        <v>21</v>
      </c>
      <c r="BX2193" s="14" t="s">
        <v>3351</v>
      </c>
    </row>
    <row r="2194">
      <c r="A2194" s="154"/>
      <c r="B2194" s="155"/>
      <c r="C2194" s="155"/>
      <c r="D2194" s="156" t="s">
        <v>130</v>
      </c>
      <c r="E2194" s="156" t="s">
        <v>4</v>
      </c>
      <c r="F2194" s="155"/>
      <c r="G2194" s="157" t="n">
        <v>1</v>
      </c>
      <c r="H2194" s="158"/>
      <c r="I2194" s="155"/>
      <c r="J2194" s="155"/>
      <c r="K2194" s="146"/>
    </row>
    <row r="2195">
      <c r="A2195" s="9" t="s">
        <v>3352</v>
      </c>
      <c r="B2195" s="10" t="s">
        <v>87</v>
      </c>
      <c r="C2195" s="10" t="s">
        <v>3353</v>
      </c>
      <c r="D2195" s="14" t="s">
        <v>3354</v>
      </c>
      <c r="E2195" s="10"/>
      <c r="F2195" s="10" t="s">
        <v>282</v>
      </c>
      <c r="G2195" s="111" t="n">
        <v>30</v>
      </c>
      <c r="H2195" s="152" t="n">
        <v>0</v>
      </c>
      <c r="I2195" s="111">
        <f>G2195*H2195</f>
      </c>
      <c r="J2195" s="153" t="s">
        <v>134</v>
      </c>
      <c r="K2195" s="146"/>
      <c r="Z2195" s="111">
        <f>IF(AQ2195="5",BJ2195,0)</f>
      </c>
      <c r="AB2195" s="111">
        <f>IF(AQ2195="1",BH2195,0)</f>
      </c>
      <c r="AC2195" s="111">
        <f>IF(AQ2195="1",BI2195,0)</f>
      </c>
      <c r="AD2195" s="111">
        <f>IF(AQ2195="7",BH2195,0)</f>
      </c>
      <c r="AE2195" s="111">
        <f>IF(AQ2195="7",BI2195,0)</f>
      </c>
      <c r="AF2195" s="111">
        <f>IF(AQ2195="2",BH2195,0)</f>
      </c>
      <c r="AG2195" s="111">
        <f>IF(AQ2195="2",BI2195,0)</f>
      </c>
      <c r="AH2195" s="111">
        <f>IF(AQ2195="0",BJ2195,0)</f>
      </c>
      <c r="AI2195" s="132" t="s">
        <v>87</v>
      </c>
      <c r="AJ2195" s="111">
        <f>IF(AN2195=0,I2195,0)</f>
      </c>
      <c r="AK2195" s="111">
        <f>IF(AN2195=12,I2195,0)</f>
      </c>
      <c r="AL2195" s="111">
        <f>IF(AN2195=21,I2195,0)</f>
      </c>
      <c r="AN2195" s="111" t="n">
        <v>21</v>
      </c>
      <c r="AO2195" s="111">
        <f>H2195*0.837864567</f>
      </c>
      <c r="AP2195" s="111">
        <f>H2195*(1-0.837864567)</f>
      </c>
      <c r="AQ2195" s="153" t="s">
        <v>173</v>
      </c>
      <c r="AV2195" s="111">
        <f>AW2195+AX2195</f>
      </c>
      <c r="AW2195" s="111">
        <f>G2195*AO2195</f>
      </c>
      <c r="AX2195" s="111">
        <f>G2195*AP2195</f>
      </c>
      <c r="AY2195" s="153" t="s">
        <v>3332</v>
      </c>
      <c r="AZ2195" s="153" t="s">
        <v>3333</v>
      </c>
      <c r="BA2195" s="132" t="s">
        <v>2990</v>
      </c>
      <c r="BC2195" s="111">
        <f>AW2195+AX2195</f>
      </c>
      <c r="BD2195" s="111">
        <f>H2195/(100-BE2195)*100</f>
      </c>
      <c r="BE2195" s="111" t="n">
        <v>0</v>
      </c>
      <c r="BF2195" s="111">
        <f>2195</f>
      </c>
      <c r="BH2195" s="111">
        <f>G2195*AO2195</f>
      </c>
      <c r="BI2195" s="111">
        <f>G2195*AP2195</f>
      </c>
      <c r="BJ2195" s="111">
        <f>G2195*H2195</f>
      </c>
      <c r="BK2195" s="111"/>
      <c r="BL2195" s="111" t="n">
        <v>721</v>
      </c>
      <c r="BW2195" s="111" t="n">
        <v>21</v>
      </c>
      <c r="BX2195" s="14" t="s">
        <v>3354</v>
      </c>
    </row>
    <row r="2196">
      <c r="A2196" s="154"/>
      <c r="B2196" s="155"/>
      <c r="C2196" s="155"/>
      <c r="D2196" s="156" t="s">
        <v>342</v>
      </c>
      <c r="E2196" s="156" t="s">
        <v>4</v>
      </c>
      <c r="F2196" s="155"/>
      <c r="G2196" s="157" t="n">
        <v>30</v>
      </c>
      <c r="H2196" s="158"/>
      <c r="I2196" s="155"/>
      <c r="J2196" s="155"/>
      <c r="K2196" s="146"/>
    </row>
    <row r="2197">
      <c r="A2197" s="9" t="s">
        <v>3355</v>
      </c>
      <c r="B2197" s="10" t="s">
        <v>87</v>
      </c>
      <c r="C2197" s="10" t="s">
        <v>3356</v>
      </c>
      <c r="D2197" s="14" t="s">
        <v>3357</v>
      </c>
      <c r="E2197" s="10"/>
      <c r="F2197" s="10" t="s">
        <v>133</v>
      </c>
      <c r="G2197" s="111" t="n">
        <v>6</v>
      </c>
      <c r="H2197" s="152" t="n">
        <v>0</v>
      </c>
      <c r="I2197" s="111">
        <f>G2197*H2197</f>
      </c>
      <c r="J2197" s="153" t="s">
        <v>134</v>
      </c>
      <c r="K2197" s="146"/>
      <c r="Z2197" s="111">
        <f>IF(AQ2197="5",BJ2197,0)</f>
      </c>
      <c r="AB2197" s="111">
        <f>IF(AQ2197="1",BH2197,0)</f>
      </c>
      <c r="AC2197" s="111">
        <f>IF(AQ2197="1",BI2197,0)</f>
      </c>
      <c r="AD2197" s="111">
        <f>IF(AQ2197="7",BH2197,0)</f>
      </c>
      <c r="AE2197" s="111">
        <f>IF(AQ2197="7",BI2197,0)</f>
      </c>
      <c r="AF2197" s="111">
        <f>IF(AQ2197="2",BH2197,0)</f>
      </c>
      <c r="AG2197" s="111">
        <f>IF(AQ2197="2",BI2197,0)</f>
      </c>
      <c r="AH2197" s="111">
        <f>IF(AQ2197="0",BJ2197,0)</f>
      </c>
      <c r="AI2197" s="132" t="s">
        <v>87</v>
      </c>
      <c r="AJ2197" s="111">
        <f>IF(AN2197=0,I2197,0)</f>
      </c>
      <c r="AK2197" s="111">
        <f>IF(AN2197=12,I2197,0)</f>
      </c>
      <c r="AL2197" s="111">
        <f>IF(AN2197=21,I2197,0)</f>
      </c>
      <c r="AN2197" s="111" t="n">
        <v>21</v>
      </c>
      <c r="AO2197" s="111">
        <f>H2197*0.915385501</f>
      </c>
      <c r="AP2197" s="111">
        <f>H2197*(1-0.915385501)</f>
      </c>
      <c r="AQ2197" s="153" t="s">
        <v>173</v>
      </c>
      <c r="AV2197" s="111">
        <f>AW2197+AX2197</f>
      </c>
      <c r="AW2197" s="111">
        <f>G2197*AO2197</f>
      </c>
      <c r="AX2197" s="111">
        <f>G2197*AP2197</f>
      </c>
      <c r="AY2197" s="153" t="s">
        <v>3332</v>
      </c>
      <c r="AZ2197" s="153" t="s">
        <v>3333</v>
      </c>
      <c r="BA2197" s="132" t="s">
        <v>2990</v>
      </c>
      <c r="BC2197" s="111">
        <f>AW2197+AX2197</f>
      </c>
      <c r="BD2197" s="111">
        <f>H2197/(100-BE2197)*100</f>
      </c>
      <c r="BE2197" s="111" t="n">
        <v>0</v>
      </c>
      <c r="BF2197" s="111">
        <f>2197</f>
      </c>
      <c r="BH2197" s="111">
        <f>G2197*AO2197</f>
      </c>
      <c r="BI2197" s="111">
        <f>G2197*AP2197</f>
      </c>
      <c r="BJ2197" s="111">
        <f>G2197*H2197</f>
      </c>
      <c r="BK2197" s="111"/>
      <c r="BL2197" s="111" t="n">
        <v>721</v>
      </c>
      <c r="BW2197" s="111" t="n">
        <v>21</v>
      </c>
      <c r="BX2197" s="14" t="s">
        <v>3357</v>
      </c>
    </row>
    <row r="2198">
      <c r="A2198" s="154"/>
      <c r="B2198" s="155"/>
      <c r="C2198" s="155"/>
      <c r="D2198" s="156" t="s">
        <v>3358</v>
      </c>
      <c r="E2198" s="156" t="s">
        <v>4</v>
      </c>
      <c r="F2198" s="155"/>
      <c r="G2198" s="157" t="n">
        <v>6</v>
      </c>
      <c r="H2198" s="158"/>
      <c r="I2198" s="155"/>
      <c r="J2198" s="155"/>
      <c r="K2198" s="146"/>
    </row>
    <row r="2199">
      <c r="A2199" s="9" t="s">
        <v>3359</v>
      </c>
      <c r="B2199" s="10" t="s">
        <v>87</v>
      </c>
      <c r="C2199" s="10" t="s">
        <v>3360</v>
      </c>
      <c r="D2199" s="14" t="s">
        <v>3361</v>
      </c>
      <c r="E2199" s="10"/>
      <c r="F2199" s="10" t="s">
        <v>133</v>
      </c>
      <c r="G2199" s="111" t="n">
        <v>1</v>
      </c>
      <c r="H2199" s="152" t="n">
        <v>0</v>
      </c>
      <c r="I2199" s="111">
        <f>G2199*H2199</f>
      </c>
      <c r="J2199" s="153" t="s">
        <v>134</v>
      </c>
      <c r="K2199" s="146"/>
      <c r="Z2199" s="111">
        <f>IF(AQ2199="5",BJ2199,0)</f>
      </c>
      <c r="AB2199" s="111">
        <f>IF(AQ2199="1",BH2199,0)</f>
      </c>
      <c r="AC2199" s="111">
        <f>IF(AQ2199="1",BI2199,0)</f>
      </c>
      <c r="AD2199" s="111">
        <f>IF(AQ2199="7",BH2199,0)</f>
      </c>
      <c r="AE2199" s="111">
        <f>IF(AQ2199="7",BI2199,0)</f>
      </c>
      <c r="AF2199" s="111">
        <f>IF(AQ2199="2",BH2199,0)</f>
      </c>
      <c r="AG2199" s="111">
        <f>IF(AQ2199="2",BI2199,0)</f>
      </c>
      <c r="AH2199" s="111">
        <f>IF(AQ2199="0",BJ2199,0)</f>
      </c>
      <c r="AI2199" s="132" t="s">
        <v>87</v>
      </c>
      <c r="AJ2199" s="111">
        <f>IF(AN2199=0,I2199,0)</f>
      </c>
      <c r="AK2199" s="111">
        <f>IF(AN2199=12,I2199,0)</f>
      </c>
      <c r="AL2199" s="111">
        <f>IF(AN2199=21,I2199,0)</f>
      </c>
      <c r="AN2199" s="111" t="n">
        <v>21</v>
      </c>
      <c r="AO2199" s="111">
        <f>H2199*0.992609584</f>
      </c>
      <c r="AP2199" s="111">
        <f>H2199*(1-0.992609584)</f>
      </c>
      <c r="AQ2199" s="153" t="s">
        <v>173</v>
      </c>
      <c r="AV2199" s="111">
        <f>AW2199+AX2199</f>
      </c>
      <c r="AW2199" s="111">
        <f>G2199*AO2199</f>
      </c>
      <c r="AX2199" s="111">
        <f>G2199*AP2199</f>
      </c>
      <c r="AY2199" s="153" t="s">
        <v>3332</v>
      </c>
      <c r="AZ2199" s="153" t="s">
        <v>3333</v>
      </c>
      <c r="BA2199" s="132" t="s">
        <v>2990</v>
      </c>
      <c r="BC2199" s="111">
        <f>AW2199+AX2199</f>
      </c>
      <c r="BD2199" s="111">
        <f>H2199/(100-BE2199)*100</f>
      </c>
      <c r="BE2199" s="111" t="n">
        <v>0</v>
      </c>
      <c r="BF2199" s="111">
        <f>2199</f>
      </c>
      <c r="BH2199" s="111">
        <f>G2199*AO2199</f>
      </c>
      <c r="BI2199" s="111">
        <f>G2199*AP2199</f>
      </c>
      <c r="BJ2199" s="111">
        <f>G2199*H2199</f>
      </c>
      <c r="BK2199" s="111"/>
      <c r="BL2199" s="111" t="n">
        <v>721</v>
      </c>
      <c r="BW2199" s="111" t="n">
        <v>21</v>
      </c>
      <c r="BX2199" s="14" t="s">
        <v>3361</v>
      </c>
    </row>
    <row r="2200">
      <c r="A2200" s="154"/>
      <c r="B2200" s="155"/>
      <c r="C2200" s="155"/>
      <c r="D2200" s="156" t="s">
        <v>130</v>
      </c>
      <c r="E2200" s="156" t="s">
        <v>3362</v>
      </c>
      <c r="F2200" s="155"/>
      <c r="G2200" s="157" t="n">
        <v>1</v>
      </c>
      <c r="H2200" s="158"/>
      <c r="I2200" s="155"/>
      <c r="J2200" s="155"/>
      <c r="K2200" s="146"/>
    </row>
    <row r="2201">
      <c r="A2201" s="9" t="s">
        <v>3363</v>
      </c>
      <c r="B2201" s="10" t="s">
        <v>87</v>
      </c>
      <c r="C2201" s="10" t="s">
        <v>3364</v>
      </c>
      <c r="D2201" s="14" t="s">
        <v>3365</v>
      </c>
      <c r="E2201" s="10"/>
      <c r="F2201" s="10" t="s">
        <v>282</v>
      </c>
      <c r="G2201" s="111" t="n">
        <v>15</v>
      </c>
      <c r="H2201" s="152" t="n">
        <v>0</v>
      </c>
      <c r="I2201" s="111">
        <f>G2201*H2201</f>
      </c>
      <c r="J2201" s="153" t="s">
        <v>134</v>
      </c>
      <c r="K2201" s="146"/>
      <c r="Z2201" s="111">
        <f>IF(AQ2201="5",BJ2201,0)</f>
      </c>
      <c r="AB2201" s="111">
        <f>IF(AQ2201="1",BH2201,0)</f>
      </c>
      <c r="AC2201" s="111">
        <f>IF(AQ2201="1",BI2201,0)</f>
      </c>
      <c r="AD2201" s="111">
        <f>IF(AQ2201="7",BH2201,0)</f>
      </c>
      <c r="AE2201" s="111">
        <f>IF(AQ2201="7",BI2201,0)</f>
      </c>
      <c r="AF2201" s="111">
        <f>IF(AQ2201="2",BH2201,0)</f>
      </c>
      <c r="AG2201" s="111">
        <f>IF(AQ2201="2",BI2201,0)</f>
      </c>
      <c r="AH2201" s="111">
        <f>IF(AQ2201="0",BJ2201,0)</f>
      </c>
      <c r="AI2201" s="132" t="s">
        <v>87</v>
      </c>
      <c r="AJ2201" s="111">
        <f>IF(AN2201=0,I2201,0)</f>
      </c>
      <c r="AK2201" s="111">
        <f>IF(AN2201=12,I2201,0)</f>
      </c>
      <c r="AL2201" s="111">
        <f>IF(AN2201=21,I2201,0)</f>
      </c>
      <c r="AN2201" s="111" t="n">
        <v>21</v>
      </c>
      <c r="AO2201" s="111">
        <f>H2201*0.493573034</f>
      </c>
      <c r="AP2201" s="111">
        <f>H2201*(1-0.493573034)</f>
      </c>
      <c r="AQ2201" s="153" t="s">
        <v>173</v>
      </c>
      <c r="AV2201" s="111">
        <f>AW2201+AX2201</f>
      </c>
      <c r="AW2201" s="111">
        <f>G2201*AO2201</f>
      </c>
      <c r="AX2201" s="111">
        <f>G2201*AP2201</f>
      </c>
      <c r="AY2201" s="153" t="s">
        <v>3332</v>
      </c>
      <c r="AZ2201" s="153" t="s">
        <v>3333</v>
      </c>
      <c r="BA2201" s="132" t="s">
        <v>2990</v>
      </c>
      <c r="BC2201" s="111">
        <f>AW2201+AX2201</f>
      </c>
      <c r="BD2201" s="111">
        <f>H2201/(100-BE2201)*100</f>
      </c>
      <c r="BE2201" s="111" t="n">
        <v>0</v>
      </c>
      <c r="BF2201" s="111">
        <f>2201</f>
      </c>
      <c r="BH2201" s="111">
        <f>G2201*AO2201</f>
      </c>
      <c r="BI2201" s="111">
        <f>G2201*AP2201</f>
      </c>
      <c r="BJ2201" s="111">
        <f>G2201*H2201</f>
      </c>
      <c r="BK2201" s="111"/>
      <c r="BL2201" s="111" t="n">
        <v>721</v>
      </c>
      <c r="BW2201" s="111" t="n">
        <v>21</v>
      </c>
      <c r="BX2201" s="14" t="s">
        <v>3365</v>
      </c>
    </row>
    <row r="2202">
      <c r="A2202" s="154"/>
      <c r="B2202" s="155"/>
      <c r="C2202" s="155"/>
      <c r="D2202" s="156" t="s">
        <v>224</v>
      </c>
      <c r="E2202" s="156" t="s">
        <v>4</v>
      </c>
      <c r="F2202" s="155"/>
      <c r="G2202" s="157" t="n">
        <v>15</v>
      </c>
      <c r="H2202" s="158"/>
      <c r="I2202" s="155"/>
      <c r="J2202" s="155"/>
      <c r="K2202" s="146"/>
    </row>
    <row r="2203">
      <c r="A2203" s="9" t="s">
        <v>3366</v>
      </c>
      <c r="B2203" s="10" t="s">
        <v>87</v>
      </c>
      <c r="C2203" s="10" t="s">
        <v>3367</v>
      </c>
      <c r="D2203" s="14" t="s">
        <v>3368</v>
      </c>
      <c r="E2203" s="10"/>
      <c r="F2203" s="10" t="s">
        <v>282</v>
      </c>
      <c r="G2203" s="111" t="n">
        <v>36</v>
      </c>
      <c r="H2203" s="152" t="n">
        <v>0</v>
      </c>
      <c r="I2203" s="111">
        <f>G2203*H2203</f>
      </c>
      <c r="J2203" s="153" t="s">
        <v>134</v>
      </c>
      <c r="K2203" s="146"/>
      <c r="Z2203" s="111">
        <f>IF(AQ2203="5",BJ2203,0)</f>
      </c>
      <c r="AB2203" s="111">
        <f>IF(AQ2203="1",BH2203,0)</f>
      </c>
      <c r="AC2203" s="111">
        <f>IF(AQ2203="1",BI2203,0)</f>
      </c>
      <c r="AD2203" s="111">
        <f>IF(AQ2203="7",BH2203,0)</f>
      </c>
      <c r="AE2203" s="111">
        <f>IF(AQ2203="7",BI2203,0)</f>
      </c>
      <c r="AF2203" s="111">
        <f>IF(AQ2203="2",BH2203,0)</f>
      </c>
      <c r="AG2203" s="111">
        <f>IF(AQ2203="2",BI2203,0)</f>
      </c>
      <c r="AH2203" s="111">
        <f>IF(AQ2203="0",BJ2203,0)</f>
      </c>
      <c r="AI2203" s="132" t="s">
        <v>87</v>
      </c>
      <c r="AJ2203" s="111">
        <f>IF(AN2203=0,I2203,0)</f>
      </c>
      <c r="AK2203" s="111">
        <f>IF(AN2203=12,I2203,0)</f>
      </c>
      <c r="AL2203" s="111">
        <f>IF(AN2203=21,I2203,0)</f>
      </c>
      <c r="AN2203" s="111" t="n">
        <v>21</v>
      </c>
      <c r="AO2203" s="111">
        <f>H2203*0.572777251</f>
      </c>
      <c r="AP2203" s="111">
        <f>H2203*(1-0.572777251)</f>
      </c>
      <c r="AQ2203" s="153" t="s">
        <v>173</v>
      </c>
      <c r="AV2203" s="111">
        <f>AW2203+AX2203</f>
      </c>
      <c r="AW2203" s="111">
        <f>G2203*AO2203</f>
      </c>
      <c r="AX2203" s="111">
        <f>G2203*AP2203</f>
      </c>
      <c r="AY2203" s="153" t="s">
        <v>3332</v>
      </c>
      <c r="AZ2203" s="153" t="s">
        <v>3333</v>
      </c>
      <c r="BA2203" s="132" t="s">
        <v>2990</v>
      </c>
      <c r="BC2203" s="111">
        <f>AW2203+AX2203</f>
      </c>
      <c r="BD2203" s="111">
        <f>H2203/(100-BE2203)*100</f>
      </c>
      <c r="BE2203" s="111" t="n">
        <v>0</v>
      </c>
      <c r="BF2203" s="111">
        <f>2203</f>
      </c>
      <c r="BH2203" s="111">
        <f>G2203*AO2203</f>
      </c>
      <c r="BI2203" s="111">
        <f>G2203*AP2203</f>
      </c>
      <c r="BJ2203" s="111">
        <f>G2203*H2203</f>
      </c>
      <c r="BK2203" s="111"/>
      <c r="BL2203" s="111" t="n">
        <v>721</v>
      </c>
      <c r="BW2203" s="111" t="n">
        <v>21</v>
      </c>
      <c r="BX2203" s="14" t="s">
        <v>3368</v>
      </c>
    </row>
    <row r="2204">
      <c r="A2204" s="154"/>
      <c r="B2204" s="155"/>
      <c r="C2204" s="155"/>
      <c r="D2204" s="156" t="s">
        <v>378</v>
      </c>
      <c r="E2204" s="156" t="s">
        <v>4</v>
      </c>
      <c r="F2204" s="155"/>
      <c r="G2204" s="157" t="n">
        <v>36</v>
      </c>
      <c r="H2204" s="158"/>
      <c r="I2204" s="155"/>
      <c r="J2204" s="155"/>
      <c r="K2204" s="146"/>
    </row>
    <row r="2205">
      <c r="A2205" s="9" t="s">
        <v>3369</v>
      </c>
      <c r="B2205" s="10" t="s">
        <v>87</v>
      </c>
      <c r="C2205" s="10" t="s">
        <v>3370</v>
      </c>
      <c r="D2205" s="14" t="s">
        <v>3371</v>
      </c>
      <c r="E2205" s="10"/>
      <c r="F2205" s="10" t="s">
        <v>282</v>
      </c>
      <c r="G2205" s="111" t="n">
        <v>89</v>
      </c>
      <c r="H2205" s="152" t="n">
        <v>0</v>
      </c>
      <c r="I2205" s="111">
        <f>G2205*H2205</f>
      </c>
      <c r="J2205" s="153" t="s">
        <v>134</v>
      </c>
      <c r="K2205" s="146"/>
      <c r="Z2205" s="111">
        <f>IF(AQ2205="5",BJ2205,0)</f>
      </c>
      <c r="AB2205" s="111">
        <f>IF(AQ2205="1",BH2205,0)</f>
      </c>
      <c r="AC2205" s="111">
        <f>IF(AQ2205="1",BI2205,0)</f>
      </c>
      <c r="AD2205" s="111">
        <f>IF(AQ2205="7",BH2205,0)</f>
      </c>
      <c r="AE2205" s="111">
        <f>IF(AQ2205="7",BI2205,0)</f>
      </c>
      <c r="AF2205" s="111">
        <f>IF(AQ2205="2",BH2205,0)</f>
      </c>
      <c r="AG2205" s="111">
        <f>IF(AQ2205="2",BI2205,0)</f>
      </c>
      <c r="AH2205" s="111">
        <f>IF(AQ2205="0",BJ2205,0)</f>
      </c>
      <c r="AI2205" s="132" t="s">
        <v>87</v>
      </c>
      <c r="AJ2205" s="111">
        <f>IF(AN2205=0,I2205,0)</f>
      </c>
      <c r="AK2205" s="111">
        <f>IF(AN2205=12,I2205,0)</f>
      </c>
      <c r="AL2205" s="111">
        <f>IF(AN2205=21,I2205,0)</f>
      </c>
      <c r="AN2205" s="111" t="n">
        <v>21</v>
      </c>
      <c r="AO2205" s="111">
        <f>H2205*0.71440553</f>
      </c>
      <c r="AP2205" s="111">
        <f>H2205*(1-0.71440553)</f>
      </c>
      <c r="AQ2205" s="153" t="s">
        <v>173</v>
      </c>
      <c r="AV2205" s="111">
        <f>AW2205+AX2205</f>
      </c>
      <c r="AW2205" s="111">
        <f>G2205*AO2205</f>
      </c>
      <c r="AX2205" s="111">
        <f>G2205*AP2205</f>
      </c>
      <c r="AY2205" s="153" t="s">
        <v>3332</v>
      </c>
      <c r="AZ2205" s="153" t="s">
        <v>3333</v>
      </c>
      <c r="BA2205" s="132" t="s">
        <v>2990</v>
      </c>
      <c r="BC2205" s="111">
        <f>AW2205+AX2205</f>
      </c>
      <c r="BD2205" s="111">
        <f>H2205/(100-BE2205)*100</f>
      </c>
      <c r="BE2205" s="111" t="n">
        <v>0</v>
      </c>
      <c r="BF2205" s="111">
        <f>2205</f>
      </c>
      <c r="BH2205" s="111">
        <f>G2205*AO2205</f>
      </c>
      <c r="BI2205" s="111">
        <f>G2205*AP2205</f>
      </c>
      <c r="BJ2205" s="111">
        <f>G2205*H2205</f>
      </c>
      <c r="BK2205" s="111"/>
      <c r="BL2205" s="111" t="n">
        <v>721</v>
      </c>
      <c r="BW2205" s="111" t="n">
        <v>21</v>
      </c>
      <c r="BX2205" s="14" t="s">
        <v>3371</v>
      </c>
    </row>
    <row r="2206" customHeight="true" ht="13.5">
      <c r="A2206" s="159"/>
      <c r="C2206" s="160" t="s">
        <v>146</v>
      </c>
      <c r="D2206" s="161" t="s">
        <v>3372</v>
      </c>
      <c r="E2206" s="156"/>
      <c r="F2206" s="156"/>
      <c r="G2206" s="156"/>
      <c r="H2206" s="162"/>
      <c r="I2206" s="156"/>
      <c r="J2206" s="156"/>
      <c r="K2206" s="163"/>
    </row>
    <row r="2207">
      <c r="A2207" s="154"/>
      <c r="B2207" s="155"/>
      <c r="C2207" s="155"/>
      <c r="D2207" s="156" t="s">
        <v>728</v>
      </c>
      <c r="E2207" s="156" t="s">
        <v>4</v>
      </c>
      <c r="F2207" s="155"/>
      <c r="G2207" s="157" t="n">
        <v>89</v>
      </c>
      <c r="H2207" s="158"/>
      <c r="I2207" s="155"/>
      <c r="J2207" s="155"/>
      <c r="K2207" s="146"/>
    </row>
    <row r="2208">
      <c r="A2208" s="9" t="s">
        <v>3373</v>
      </c>
      <c r="B2208" s="10" t="s">
        <v>87</v>
      </c>
      <c r="C2208" s="10" t="s">
        <v>3374</v>
      </c>
      <c r="D2208" s="14" t="s">
        <v>3375</v>
      </c>
      <c r="E2208" s="10"/>
      <c r="F2208" s="10" t="s">
        <v>282</v>
      </c>
      <c r="G2208" s="111" t="n">
        <v>33</v>
      </c>
      <c r="H2208" s="152" t="n">
        <v>0</v>
      </c>
      <c r="I2208" s="111">
        <f>G2208*H2208</f>
      </c>
      <c r="J2208" s="153" t="s">
        <v>134</v>
      </c>
      <c r="K2208" s="146"/>
      <c r="Z2208" s="111">
        <f>IF(AQ2208="5",BJ2208,0)</f>
      </c>
      <c r="AB2208" s="111">
        <f>IF(AQ2208="1",BH2208,0)</f>
      </c>
      <c r="AC2208" s="111">
        <f>IF(AQ2208="1",BI2208,0)</f>
      </c>
      <c r="AD2208" s="111">
        <f>IF(AQ2208="7",BH2208,0)</f>
      </c>
      <c r="AE2208" s="111">
        <f>IF(AQ2208="7",BI2208,0)</f>
      </c>
      <c r="AF2208" s="111">
        <f>IF(AQ2208="2",BH2208,0)</f>
      </c>
      <c r="AG2208" s="111">
        <f>IF(AQ2208="2",BI2208,0)</f>
      </c>
      <c r="AH2208" s="111">
        <f>IF(AQ2208="0",BJ2208,0)</f>
      </c>
      <c r="AI2208" s="132" t="s">
        <v>87</v>
      </c>
      <c r="AJ2208" s="111">
        <f>IF(AN2208=0,I2208,0)</f>
      </c>
      <c r="AK2208" s="111">
        <f>IF(AN2208=12,I2208,0)</f>
      </c>
      <c r="AL2208" s="111">
        <f>IF(AN2208=21,I2208,0)</f>
      </c>
      <c r="AN2208" s="111" t="n">
        <v>21</v>
      </c>
      <c r="AO2208" s="111">
        <f>H2208*0.708837209</f>
      </c>
      <c r="AP2208" s="111">
        <f>H2208*(1-0.708837209)</f>
      </c>
      <c r="AQ2208" s="153" t="s">
        <v>173</v>
      </c>
      <c r="AV2208" s="111">
        <f>AW2208+AX2208</f>
      </c>
      <c r="AW2208" s="111">
        <f>G2208*AO2208</f>
      </c>
      <c r="AX2208" s="111">
        <f>G2208*AP2208</f>
      </c>
      <c r="AY2208" s="153" t="s">
        <v>3332</v>
      </c>
      <c r="AZ2208" s="153" t="s">
        <v>3333</v>
      </c>
      <c r="BA2208" s="132" t="s">
        <v>2990</v>
      </c>
      <c r="BC2208" s="111">
        <f>AW2208+AX2208</f>
      </c>
      <c r="BD2208" s="111">
        <f>H2208/(100-BE2208)*100</f>
      </c>
      <c r="BE2208" s="111" t="n">
        <v>0</v>
      </c>
      <c r="BF2208" s="111">
        <f>2208</f>
      </c>
      <c r="BH2208" s="111">
        <f>G2208*AO2208</f>
      </c>
      <c r="BI2208" s="111">
        <f>G2208*AP2208</f>
      </c>
      <c r="BJ2208" s="111">
        <f>G2208*H2208</f>
      </c>
      <c r="BK2208" s="111"/>
      <c r="BL2208" s="111" t="n">
        <v>721</v>
      </c>
      <c r="BW2208" s="111" t="n">
        <v>21</v>
      </c>
      <c r="BX2208" s="14" t="s">
        <v>3375</v>
      </c>
    </row>
    <row r="2209" customHeight="true" ht="13.5">
      <c r="A2209" s="159"/>
      <c r="C2209" s="160" t="s">
        <v>146</v>
      </c>
      <c r="D2209" s="161" t="s">
        <v>3372</v>
      </c>
      <c r="E2209" s="156"/>
      <c r="F2209" s="156"/>
      <c r="G2209" s="156"/>
      <c r="H2209" s="162"/>
      <c r="I2209" s="156"/>
      <c r="J2209" s="156"/>
      <c r="K2209" s="163"/>
    </row>
    <row r="2210">
      <c r="A2210" s="154"/>
      <c r="B2210" s="155"/>
      <c r="C2210" s="155"/>
      <c r="D2210" s="156" t="s">
        <v>360</v>
      </c>
      <c r="E2210" s="156" t="s">
        <v>4</v>
      </c>
      <c r="F2210" s="155"/>
      <c r="G2210" s="157" t="n">
        <v>33</v>
      </c>
      <c r="H2210" s="158"/>
      <c r="I2210" s="155"/>
      <c r="J2210" s="155"/>
      <c r="K2210" s="146"/>
    </row>
    <row r="2211">
      <c r="A2211" s="9" t="s">
        <v>3376</v>
      </c>
      <c r="B2211" s="10" t="s">
        <v>87</v>
      </c>
      <c r="C2211" s="10" t="s">
        <v>3377</v>
      </c>
      <c r="D2211" s="14" t="s">
        <v>3378</v>
      </c>
      <c r="E2211" s="10"/>
      <c r="F2211" s="10" t="s">
        <v>282</v>
      </c>
      <c r="G2211" s="111" t="n">
        <v>20</v>
      </c>
      <c r="H2211" s="152" t="n">
        <v>0</v>
      </c>
      <c r="I2211" s="111">
        <f>G2211*H2211</f>
      </c>
      <c r="J2211" s="153" t="s">
        <v>134</v>
      </c>
      <c r="K2211" s="146"/>
      <c r="Z2211" s="111">
        <f>IF(AQ2211="5",BJ2211,0)</f>
      </c>
      <c r="AB2211" s="111">
        <f>IF(AQ2211="1",BH2211,0)</f>
      </c>
      <c r="AC2211" s="111">
        <f>IF(AQ2211="1",BI2211,0)</f>
      </c>
      <c r="AD2211" s="111">
        <f>IF(AQ2211="7",BH2211,0)</f>
      </c>
      <c r="AE2211" s="111">
        <f>IF(AQ2211="7",BI2211,0)</f>
      </c>
      <c r="AF2211" s="111">
        <f>IF(AQ2211="2",BH2211,0)</f>
      </c>
      <c r="AG2211" s="111">
        <f>IF(AQ2211="2",BI2211,0)</f>
      </c>
      <c r="AH2211" s="111">
        <f>IF(AQ2211="0",BJ2211,0)</f>
      </c>
      <c r="AI2211" s="132" t="s">
        <v>87</v>
      </c>
      <c r="AJ2211" s="111">
        <f>IF(AN2211=0,I2211,0)</f>
      </c>
      <c r="AK2211" s="111">
        <f>IF(AN2211=12,I2211,0)</f>
      </c>
      <c r="AL2211" s="111">
        <f>IF(AN2211=21,I2211,0)</f>
      </c>
      <c r="AN2211" s="111" t="n">
        <v>21</v>
      </c>
      <c r="AO2211" s="111">
        <f>H2211*0.710587</f>
      </c>
      <c r="AP2211" s="111">
        <f>H2211*(1-0.710587)</f>
      </c>
      <c r="AQ2211" s="153" t="s">
        <v>173</v>
      </c>
      <c r="AV2211" s="111">
        <f>AW2211+AX2211</f>
      </c>
      <c r="AW2211" s="111">
        <f>G2211*AO2211</f>
      </c>
      <c r="AX2211" s="111">
        <f>G2211*AP2211</f>
      </c>
      <c r="AY2211" s="153" t="s">
        <v>3332</v>
      </c>
      <c r="AZ2211" s="153" t="s">
        <v>3333</v>
      </c>
      <c r="BA2211" s="132" t="s">
        <v>2990</v>
      </c>
      <c r="BC2211" s="111">
        <f>AW2211+AX2211</f>
      </c>
      <c r="BD2211" s="111">
        <f>H2211/(100-BE2211)*100</f>
      </c>
      <c r="BE2211" s="111" t="n">
        <v>0</v>
      </c>
      <c r="BF2211" s="111">
        <f>2211</f>
      </c>
      <c r="BH2211" s="111">
        <f>G2211*AO2211</f>
      </c>
      <c r="BI2211" s="111">
        <f>G2211*AP2211</f>
      </c>
      <c r="BJ2211" s="111">
        <f>G2211*H2211</f>
      </c>
      <c r="BK2211" s="111"/>
      <c r="BL2211" s="111" t="n">
        <v>721</v>
      </c>
      <c r="BW2211" s="111" t="n">
        <v>21</v>
      </c>
      <c r="BX2211" s="14" t="s">
        <v>3378</v>
      </c>
    </row>
    <row r="2212">
      <c r="A2212" s="154"/>
      <c r="B2212" s="155"/>
      <c r="C2212" s="155"/>
      <c r="D2212" s="156" t="s">
        <v>255</v>
      </c>
      <c r="E2212" s="156" t="s">
        <v>4</v>
      </c>
      <c r="F2212" s="155"/>
      <c r="G2212" s="157" t="n">
        <v>20</v>
      </c>
      <c r="H2212" s="158"/>
      <c r="I2212" s="155"/>
      <c r="J2212" s="155"/>
      <c r="K2212" s="146"/>
    </row>
    <row r="2213">
      <c r="A2213" s="9" t="s">
        <v>3379</v>
      </c>
      <c r="B2213" s="10" t="s">
        <v>87</v>
      </c>
      <c r="C2213" s="10" t="s">
        <v>3380</v>
      </c>
      <c r="D2213" s="14" t="s">
        <v>3381</v>
      </c>
      <c r="E2213" s="10"/>
      <c r="F2213" s="10" t="s">
        <v>282</v>
      </c>
      <c r="G2213" s="111" t="n">
        <v>2</v>
      </c>
      <c r="H2213" s="152" t="n">
        <v>0</v>
      </c>
      <c r="I2213" s="111">
        <f>G2213*H2213</f>
      </c>
      <c r="J2213" s="153" t="s">
        <v>134</v>
      </c>
      <c r="K2213" s="146"/>
      <c r="Z2213" s="111">
        <f>IF(AQ2213="5",BJ2213,0)</f>
      </c>
      <c r="AB2213" s="111">
        <f>IF(AQ2213="1",BH2213,0)</f>
      </c>
      <c r="AC2213" s="111">
        <f>IF(AQ2213="1",BI2213,0)</f>
      </c>
      <c r="AD2213" s="111">
        <f>IF(AQ2213="7",BH2213,0)</f>
      </c>
      <c r="AE2213" s="111">
        <f>IF(AQ2213="7",BI2213,0)</f>
      </c>
      <c r="AF2213" s="111">
        <f>IF(AQ2213="2",BH2213,0)</f>
      </c>
      <c r="AG2213" s="111">
        <f>IF(AQ2213="2",BI2213,0)</f>
      </c>
      <c r="AH2213" s="111">
        <f>IF(AQ2213="0",BJ2213,0)</f>
      </c>
      <c r="AI2213" s="132" t="s">
        <v>87</v>
      </c>
      <c r="AJ2213" s="111">
        <f>IF(AN2213=0,I2213,0)</f>
      </c>
      <c r="AK2213" s="111">
        <f>IF(AN2213=12,I2213,0)</f>
      </c>
      <c r="AL2213" s="111">
        <f>IF(AN2213=21,I2213,0)</f>
      </c>
      <c r="AN2213" s="111" t="n">
        <v>21</v>
      </c>
      <c r="AO2213" s="111">
        <f>H2213*0.646472919</f>
      </c>
      <c r="AP2213" s="111">
        <f>H2213*(1-0.646472919)</f>
      </c>
      <c r="AQ2213" s="153" t="s">
        <v>173</v>
      </c>
      <c r="AV2213" s="111">
        <f>AW2213+AX2213</f>
      </c>
      <c r="AW2213" s="111">
        <f>G2213*AO2213</f>
      </c>
      <c r="AX2213" s="111">
        <f>G2213*AP2213</f>
      </c>
      <c r="AY2213" s="153" t="s">
        <v>3332</v>
      </c>
      <c r="AZ2213" s="153" t="s">
        <v>3333</v>
      </c>
      <c r="BA2213" s="132" t="s">
        <v>2990</v>
      </c>
      <c r="BC2213" s="111">
        <f>AW2213+AX2213</f>
      </c>
      <c r="BD2213" s="111">
        <f>H2213/(100-BE2213)*100</f>
      </c>
      <c r="BE2213" s="111" t="n">
        <v>0</v>
      </c>
      <c r="BF2213" s="111">
        <f>2213</f>
      </c>
      <c r="BH2213" s="111">
        <f>G2213*AO2213</f>
      </c>
      <c r="BI2213" s="111">
        <f>G2213*AP2213</f>
      </c>
      <c r="BJ2213" s="111">
        <f>G2213*H2213</f>
      </c>
      <c r="BK2213" s="111"/>
      <c r="BL2213" s="111" t="n">
        <v>721</v>
      </c>
      <c r="BW2213" s="111" t="n">
        <v>21</v>
      </c>
      <c r="BX2213" s="14" t="s">
        <v>3381</v>
      </c>
    </row>
    <row r="2214">
      <c r="A2214" s="154"/>
      <c r="B2214" s="155"/>
      <c r="C2214" s="155"/>
      <c r="D2214" s="156" t="s">
        <v>140</v>
      </c>
      <c r="E2214" s="156" t="s">
        <v>4</v>
      </c>
      <c r="F2214" s="155"/>
      <c r="G2214" s="157" t="n">
        <v>2</v>
      </c>
      <c r="H2214" s="158"/>
      <c r="I2214" s="155"/>
      <c r="J2214" s="155"/>
      <c r="K2214" s="146"/>
    </row>
    <row r="2215">
      <c r="A2215" s="9" t="s">
        <v>3382</v>
      </c>
      <c r="B2215" s="10" t="s">
        <v>87</v>
      </c>
      <c r="C2215" s="10" t="s">
        <v>3383</v>
      </c>
      <c r="D2215" s="14" t="s">
        <v>3384</v>
      </c>
      <c r="E2215" s="10"/>
      <c r="F2215" s="10" t="s">
        <v>282</v>
      </c>
      <c r="G2215" s="111" t="n">
        <v>11</v>
      </c>
      <c r="H2215" s="152" t="n">
        <v>0</v>
      </c>
      <c r="I2215" s="111">
        <f>G2215*H2215</f>
      </c>
      <c r="J2215" s="153" t="s">
        <v>134</v>
      </c>
      <c r="K2215" s="146"/>
      <c r="Z2215" s="111">
        <f>IF(AQ2215="5",BJ2215,0)</f>
      </c>
      <c r="AB2215" s="111">
        <f>IF(AQ2215="1",BH2215,0)</f>
      </c>
      <c r="AC2215" s="111">
        <f>IF(AQ2215="1",BI2215,0)</f>
      </c>
      <c r="AD2215" s="111">
        <f>IF(AQ2215="7",BH2215,0)</f>
      </c>
      <c r="AE2215" s="111">
        <f>IF(AQ2215="7",BI2215,0)</f>
      </c>
      <c r="AF2215" s="111">
        <f>IF(AQ2215="2",BH2215,0)</f>
      </c>
      <c r="AG2215" s="111">
        <f>IF(AQ2215="2",BI2215,0)</f>
      </c>
      <c r="AH2215" s="111">
        <f>IF(AQ2215="0",BJ2215,0)</f>
      </c>
      <c r="AI2215" s="132" t="s">
        <v>87</v>
      </c>
      <c r="AJ2215" s="111">
        <f>IF(AN2215=0,I2215,0)</f>
      </c>
      <c r="AK2215" s="111">
        <f>IF(AN2215=12,I2215,0)</f>
      </c>
      <c r="AL2215" s="111">
        <f>IF(AN2215=21,I2215,0)</f>
      </c>
      <c r="AN2215" s="111" t="n">
        <v>21</v>
      </c>
      <c r="AO2215" s="111">
        <f>H2215*0.621608472</f>
      </c>
      <c r="AP2215" s="111">
        <f>H2215*(1-0.621608472)</f>
      </c>
      <c r="AQ2215" s="153" t="s">
        <v>173</v>
      </c>
      <c r="AV2215" s="111">
        <f>AW2215+AX2215</f>
      </c>
      <c r="AW2215" s="111">
        <f>G2215*AO2215</f>
      </c>
      <c r="AX2215" s="111">
        <f>G2215*AP2215</f>
      </c>
      <c r="AY2215" s="153" t="s">
        <v>3332</v>
      </c>
      <c r="AZ2215" s="153" t="s">
        <v>3333</v>
      </c>
      <c r="BA2215" s="132" t="s">
        <v>2990</v>
      </c>
      <c r="BC2215" s="111">
        <f>AW2215+AX2215</f>
      </c>
      <c r="BD2215" s="111">
        <f>H2215/(100-BE2215)*100</f>
      </c>
      <c r="BE2215" s="111" t="n">
        <v>0</v>
      </c>
      <c r="BF2215" s="111">
        <f>2215</f>
      </c>
      <c r="BH2215" s="111">
        <f>G2215*AO2215</f>
      </c>
      <c r="BI2215" s="111">
        <f>G2215*AP2215</f>
      </c>
      <c r="BJ2215" s="111">
        <f>G2215*H2215</f>
      </c>
      <c r="BK2215" s="111"/>
      <c r="BL2215" s="111" t="n">
        <v>721</v>
      </c>
      <c r="BW2215" s="111" t="n">
        <v>21</v>
      </c>
      <c r="BX2215" s="14" t="s">
        <v>3384</v>
      </c>
    </row>
    <row r="2216">
      <c r="A2216" s="154"/>
      <c r="B2216" s="155"/>
      <c r="C2216" s="155"/>
      <c r="D2216" s="156" t="s">
        <v>128</v>
      </c>
      <c r="E2216" s="156" t="s">
        <v>4</v>
      </c>
      <c r="F2216" s="155"/>
      <c r="G2216" s="157" t="n">
        <v>11</v>
      </c>
      <c r="H2216" s="158"/>
      <c r="I2216" s="155"/>
      <c r="J2216" s="155"/>
      <c r="K2216" s="146"/>
    </row>
    <row r="2217">
      <c r="A2217" s="9" t="s">
        <v>3385</v>
      </c>
      <c r="B2217" s="10" t="s">
        <v>87</v>
      </c>
      <c r="C2217" s="10" t="s">
        <v>3386</v>
      </c>
      <c r="D2217" s="14" t="s">
        <v>3387</v>
      </c>
      <c r="E2217" s="10"/>
      <c r="F2217" s="10" t="s">
        <v>282</v>
      </c>
      <c r="G2217" s="111" t="n">
        <v>21</v>
      </c>
      <c r="H2217" s="152" t="n">
        <v>0</v>
      </c>
      <c r="I2217" s="111">
        <f>G2217*H2217</f>
      </c>
      <c r="J2217" s="153" t="s">
        <v>134</v>
      </c>
      <c r="K2217" s="146"/>
      <c r="Z2217" s="111">
        <f>IF(AQ2217="5",BJ2217,0)</f>
      </c>
      <c r="AB2217" s="111">
        <f>IF(AQ2217="1",BH2217,0)</f>
      </c>
      <c r="AC2217" s="111">
        <f>IF(AQ2217="1",BI2217,0)</f>
      </c>
      <c r="AD2217" s="111">
        <f>IF(AQ2217="7",BH2217,0)</f>
      </c>
      <c r="AE2217" s="111">
        <f>IF(AQ2217="7",BI2217,0)</f>
      </c>
      <c r="AF2217" s="111">
        <f>IF(AQ2217="2",BH2217,0)</f>
      </c>
      <c r="AG2217" s="111">
        <f>IF(AQ2217="2",BI2217,0)</f>
      </c>
      <c r="AH2217" s="111">
        <f>IF(AQ2217="0",BJ2217,0)</f>
      </c>
      <c r="AI2217" s="132" t="s">
        <v>87</v>
      </c>
      <c r="AJ2217" s="111">
        <f>IF(AN2217=0,I2217,0)</f>
      </c>
      <c r="AK2217" s="111">
        <f>IF(AN2217=12,I2217,0)</f>
      </c>
      <c r="AL2217" s="111">
        <f>IF(AN2217=21,I2217,0)</f>
      </c>
      <c r="AN2217" s="111" t="n">
        <v>21</v>
      </c>
      <c r="AO2217" s="111">
        <f>H2217*0.508317757</f>
      </c>
      <c r="AP2217" s="111">
        <f>H2217*(1-0.508317757)</f>
      </c>
      <c r="AQ2217" s="153" t="s">
        <v>173</v>
      </c>
      <c r="AV2217" s="111">
        <f>AW2217+AX2217</f>
      </c>
      <c r="AW2217" s="111">
        <f>G2217*AO2217</f>
      </c>
      <c r="AX2217" s="111">
        <f>G2217*AP2217</f>
      </c>
      <c r="AY2217" s="153" t="s">
        <v>3332</v>
      </c>
      <c r="AZ2217" s="153" t="s">
        <v>3333</v>
      </c>
      <c r="BA2217" s="132" t="s">
        <v>2990</v>
      </c>
      <c r="BC2217" s="111">
        <f>AW2217+AX2217</f>
      </c>
      <c r="BD2217" s="111">
        <f>H2217/(100-BE2217)*100</f>
      </c>
      <c r="BE2217" s="111" t="n">
        <v>0</v>
      </c>
      <c r="BF2217" s="111">
        <f>2217</f>
      </c>
      <c r="BH2217" s="111">
        <f>G2217*AO2217</f>
      </c>
      <c r="BI2217" s="111">
        <f>G2217*AP2217</f>
      </c>
      <c r="BJ2217" s="111">
        <f>G2217*H2217</f>
      </c>
      <c r="BK2217" s="111"/>
      <c r="BL2217" s="111" t="n">
        <v>721</v>
      </c>
      <c r="BW2217" s="111" t="n">
        <v>21</v>
      </c>
      <c r="BX2217" s="14" t="s">
        <v>3387</v>
      </c>
    </row>
    <row r="2218">
      <c r="A2218" s="154"/>
      <c r="B2218" s="155"/>
      <c r="C2218" s="155"/>
      <c r="D2218" s="156" t="s">
        <v>261</v>
      </c>
      <c r="E2218" s="156" t="s">
        <v>4</v>
      </c>
      <c r="F2218" s="155"/>
      <c r="G2218" s="157" t="n">
        <v>21</v>
      </c>
      <c r="H2218" s="158"/>
      <c r="I2218" s="155"/>
      <c r="J2218" s="155"/>
      <c r="K2218" s="146"/>
    </row>
    <row r="2219">
      <c r="A2219" s="9" t="s">
        <v>3388</v>
      </c>
      <c r="B2219" s="10" t="s">
        <v>87</v>
      </c>
      <c r="C2219" s="10" t="s">
        <v>3389</v>
      </c>
      <c r="D2219" s="14" t="s">
        <v>3390</v>
      </c>
      <c r="E2219" s="10"/>
      <c r="F2219" s="10" t="s">
        <v>282</v>
      </c>
      <c r="G2219" s="111" t="n">
        <v>33</v>
      </c>
      <c r="H2219" s="152" t="n">
        <v>0</v>
      </c>
      <c r="I2219" s="111">
        <f>G2219*H2219</f>
      </c>
      <c r="J2219" s="153" t="s">
        <v>134</v>
      </c>
      <c r="K2219" s="146"/>
      <c r="Z2219" s="111">
        <f>IF(AQ2219="5",BJ2219,0)</f>
      </c>
      <c r="AB2219" s="111">
        <f>IF(AQ2219="1",BH2219,0)</f>
      </c>
      <c r="AC2219" s="111">
        <f>IF(AQ2219="1",BI2219,0)</f>
      </c>
      <c r="AD2219" s="111">
        <f>IF(AQ2219="7",BH2219,0)</f>
      </c>
      <c r="AE2219" s="111">
        <f>IF(AQ2219="7",BI2219,0)</f>
      </c>
      <c r="AF2219" s="111">
        <f>IF(AQ2219="2",BH2219,0)</f>
      </c>
      <c r="AG2219" s="111">
        <f>IF(AQ2219="2",BI2219,0)</f>
      </c>
      <c r="AH2219" s="111">
        <f>IF(AQ2219="0",BJ2219,0)</f>
      </c>
      <c r="AI2219" s="132" t="s">
        <v>87</v>
      </c>
      <c r="AJ2219" s="111">
        <f>IF(AN2219=0,I2219,0)</f>
      </c>
      <c r="AK2219" s="111">
        <f>IF(AN2219=12,I2219,0)</f>
      </c>
      <c r="AL2219" s="111">
        <f>IF(AN2219=21,I2219,0)</f>
      </c>
      <c r="AN2219" s="111" t="n">
        <v>21</v>
      </c>
      <c r="AO2219" s="111">
        <f>H2219*0.628957816</f>
      </c>
      <c r="AP2219" s="111">
        <f>H2219*(1-0.628957816)</f>
      </c>
      <c r="AQ2219" s="153" t="s">
        <v>173</v>
      </c>
      <c r="AV2219" s="111">
        <f>AW2219+AX2219</f>
      </c>
      <c r="AW2219" s="111">
        <f>G2219*AO2219</f>
      </c>
      <c r="AX2219" s="111">
        <f>G2219*AP2219</f>
      </c>
      <c r="AY2219" s="153" t="s">
        <v>3332</v>
      </c>
      <c r="AZ2219" s="153" t="s">
        <v>3333</v>
      </c>
      <c r="BA2219" s="132" t="s">
        <v>2990</v>
      </c>
      <c r="BC2219" s="111">
        <f>AW2219+AX2219</f>
      </c>
      <c r="BD2219" s="111">
        <f>H2219/(100-BE2219)*100</f>
      </c>
      <c r="BE2219" s="111" t="n">
        <v>0</v>
      </c>
      <c r="BF2219" s="111">
        <f>2219</f>
      </c>
      <c r="BH2219" s="111">
        <f>G2219*AO2219</f>
      </c>
      <c r="BI2219" s="111">
        <f>G2219*AP2219</f>
      </c>
      <c r="BJ2219" s="111">
        <f>G2219*H2219</f>
      </c>
      <c r="BK2219" s="111"/>
      <c r="BL2219" s="111" t="n">
        <v>721</v>
      </c>
      <c r="BW2219" s="111" t="n">
        <v>21</v>
      </c>
      <c r="BX2219" s="14" t="s">
        <v>3390</v>
      </c>
    </row>
    <row r="2220">
      <c r="A2220" s="154"/>
      <c r="B2220" s="155"/>
      <c r="C2220" s="155"/>
      <c r="D2220" s="156" t="s">
        <v>360</v>
      </c>
      <c r="E2220" s="156" t="s">
        <v>4</v>
      </c>
      <c r="F2220" s="155"/>
      <c r="G2220" s="157" t="n">
        <v>33</v>
      </c>
      <c r="H2220" s="158"/>
      <c r="I2220" s="155"/>
      <c r="J2220" s="155"/>
      <c r="K2220" s="146"/>
    </row>
    <row r="2221">
      <c r="A2221" s="9" t="s">
        <v>3391</v>
      </c>
      <c r="B2221" s="10" t="s">
        <v>87</v>
      </c>
      <c r="C2221" s="10" t="s">
        <v>3392</v>
      </c>
      <c r="D2221" s="14" t="s">
        <v>3393</v>
      </c>
      <c r="E2221" s="10"/>
      <c r="F2221" s="10" t="s">
        <v>282</v>
      </c>
      <c r="G2221" s="111" t="n">
        <v>8</v>
      </c>
      <c r="H2221" s="152" t="n">
        <v>0</v>
      </c>
      <c r="I2221" s="111">
        <f>G2221*H2221</f>
      </c>
      <c r="J2221" s="153" t="s">
        <v>134</v>
      </c>
      <c r="K2221" s="146"/>
      <c r="Z2221" s="111">
        <f>IF(AQ2221="5",BJ2221,0)</f>
      </c>
      <c r="AB2221" s="111">
        <f>IF(AQ2221="1",BH2221,0)</f>
      </c>
      <c r="AC2221" s="111">
        <f>IF(AQ2221="1",BI2221,0)</f>
      </c>
      <c r="AD2221" s="111">
        <f>IF(AQ2221="7",BH2221,0)</f>
      </c>
      <c r="AE2221" s="111">
        <f>IF(AQ2221="7",BI2221,0)</f>
      </c>
      <c r="AF2221" s="111">
        <f>IF(AQ2221="2",BH2221,0)</f>
      </c>
      <c r="AG2221" s="111">
        <f>IF(AQ2221="2",BI2221,0)</f>
      </c>
      <c r="AH2221" s="111">
        <f>IF(AQ2221="0",BJ2221,0)</f>
      </c>
      <c r="AI2221" s="132" t="s">
        <v>87</v>
      </c>
      <c r="AJ2221" s="111">
        <f>IF(AN2221=0,I2221,0)</f>
      </c>
      <c r="AK2221" s="111">
        <f>IF(AN2221=12,I2221,0)</f>
      </c>
      <c r="AL2221" s="111">
        <f>IF(AN2221=21,I2221,0)</f>
      </c>
      <c r="AN2221" s="111" t="n">
        <v>21</v>
      </c>
      <c r="AO2221" s="111">
        <f>H2221*0.77072602</f>
      </c>
      <c r="AP2221" s="111">
        <f>H2221*(1-0.77072602)</f>
      </c>
      <c r="AQ2221" s="153" t="s">
        <v>173</v>
      </c>
      <c r="AV2221" s="111">
        <f>AW2221+AX2221</f>
      </c>
      <c r="AW2221" s="111">
        <f>G2221*AO2221</f>
      </c>
      <c r="AX2221" s="111">
        <f>G2221*AP2221</f>
      </c>
      <c r="AY2221" s="153" t="s">
        <v>3332</v>
      </c>
      <c r="AZ2221" s="153" t="s">
        <v>3333</v>
      </c>
      <c r="BA2221" s="132" t="s">
        <v>2990</v>
      </c>
      <c r="BC2221" s="111">
        <f>AW2221+AX2221</f>
      </c>
      <c r="BD2221" s="111">
        <f>H2221/(100-BE2221)*100</f>
      </c>
      <c r="BE2221" s="111" t="n">
        <v>0</v>
      </c>
      <c r="BF2221" s="111">
        <f>2221</f>
      </c>
      <c r="BH2221" s="111">
        <f>G2221*AO2221</f>
      </c>
      <c r="BI2221" s="111">
        <f>G2221*AP2221</f>
      </c>
      <c r="BJ2221" s="111">
        <f>G2221*H2221</f>
      </c>
      <c r="BK2221" s="111"/>
      <c r="BL2221" s="111" t="n">
        <v>721</v>
      </c>
      <c r="BW2221" s="111" t="n">
        <v>21</v>
      </c>
      <c r="BX2221" s="14" t="s">
        <v>3393</v>
      </c>
    </row>
    <row r="2222">
      <c r="A2222" s="154"/>
      <c r="B2222" s="155"/>
      <c r="C2222" s="155"/>
      <c r="D2222" s="156" t="s">
        <v>176</v>
      </c>
      <c r="E2222" s="156" t="s">
        <v>4</v>
      </c>
      <c r="F2222" s="155"/>
      <c r="G2222" s="157" t="n">
        <v>8</v>
      </c>
      <c r="H2222" s="158"/>
      <c r="I2222" s="155"/>
      <c r="J2222" s="155"/>
      <c r="K2222" s="146"/>
    </row>
    <row r="2223">
      <c r="A2223" s="9" t="s">
        <v>3394</v>
      </c>
      <c r="B2223" s="10" t="s">
        <v>87</v>
      </c>
      <c r="C2223" s="10" t="s">
        <v>3395</v>
      </c>
      <c r="D2223" s="14" t="s">
        <v>3396</v>
      </c>
      <c r="E2223" s="10"/>
      <c r="F2223" s="10" t="s">
        <v>282</v>
      </c>
      <c r="G2223" s="111" t="n">
        <v>13</v>
      </c>
      <c r="H2223" s="152" t="n">
        <v>0</v>
      </c>
      <c r="I2223" s="111">
        <f>G2223*H2223</f>
      </c>
      <c r="J2223" s="153" t="s">
        <v>134</v>
      </c>
      <c r="K2223" s="146"/>
      <c r="Z2223" s="111">
        <f>IF(AQ2223="5",BJ2223,0)</f>
      </c>
      <c r="AB2223" s="111">
        <f>IF(AQ2223="1",BH2223,0)</f>
      </c>
      <c r="AC2223" s="111">
        <f>IF(AQ2223="1",BI2223,0)</f>
      </c>
      <c r="AD2223" s="111">
        <f>IF(AQ2223="7",BH2223,0)</f>
      </c>
      <c r="AE2223" s="111">
        <f>IF(AQ2223="7",BI2223,0)</f>
      </c>
      <c r="AF2223" s="111">
        <f>IF(AQ2223="2",BH2223,0)</f>
      </c>
      <c r="AG2223" s="111">
        <f>IF(AQ2223="2",BI2223,0)</f>
      </c>
      <c r="AH2223" s="111">
        <f>IF(AQ2223="0",BJ2223,0)</f>
      </c>
      <c r="AI2223" s="132" t="s">
        <v>87</v>
      </c>
      <c r="AJ2223" s="111">
        <f>IF(AN2223=0,I2223,0)</f>
      </c>
      <c r="AK2223" s="111">
        <f>IF(AN2223=12,I2223,0)</f>
      </c>
      <c r="AL2223" s="111">
        <f>IF(AN2223=21,I2223,0)</f>
      </c>
      <c r="AN2223" s="111" t="n">
        <v>21</v>
      </c>
      <c r="AO2223" s="111">
        <f>H2223*0.852150877</f>
      </c>
      <c r="AP2223" s="111">
        <f>H2223*(1-0.852150877)</f>
      </c>
      <c r="AQ2223" s="153" t="s">
        <v>173</v>
      </c>
      <c r="AV2223" s="111">
        <f>AW2223+AX2223</f>
      </c>
      <c r="AW2223" s="111">
        <f>G2223*AO2223</f>
      </c>
      <c r="AX2223" s="111">
        <f>G2223*AP2223</f>
      </c>
      <c r="AY2223" s="153" t="s">
        <v>3332</v>
      </c>
      <c r="AZ2223" s="153" t="s">
        <v>3333</v>
      </c>
      <c r="BA2223" s="132" t="s">
        <v>2990</v>
      </c>
      <c r="BC2223" s="111">
        <f>AW2223+AX2223</f>
      </c>
      <c r="BD2223" s="111">
        <f>H2223/(100-BE2223)*100</f>
      </c>
      <c r="BE2223" s="111" t="n">
        <v>0</v>
      </c>
      <c r="BF2223" s="111">
        <f>2223</f>
      </c>
      <c r="BH2223" s="111">
        <f>G2223*AO2223</f>
      </c>
      <c r="BI2223" s="111">
        <f>G2223*AP2223</f>
      </c>
      <c r="BJ2223" s="111">
        <f>G2223*H2223</f>
      </c>
      <c r="BK2223" s="111"/>
      <c r="BL2223" s="111" t="n">
        <v>721</v>
      </c>
      <c r="BW2223" s="111" t="n">
        <v>21</v>
      </c>
      <c r="BX2223" s="14" t="s">
        <v>3396</v>
      </c>
    </row>
    <row r="2224">
      <c r="A2224" s="154"/>
      <c r="B2224" s="155"/>
      <c r="C2224" s="155"/>
      <c r="D2224" s="156" t="s">
        <v>163</v>
      </c>
      <c r="E2224" s="156" t="s">
        <v>4</v>
      </c>
      <c r="F2224" s="155"/>
      <c r="G2224" s="157" t="n">
        <v>13</v>
      </c>
      <c r="H2224" s="158"/>
      <c r="I2224" s="155"/>
      <c r="J2224" s="155"/>
      <c r="K2224" s="146"/>
    </row>
    <row r="2225">
      <c r="A2225" s="9" t="s">
        <v>3397</v>
      </c>
      <c r="B2225" s="10" t="s">
        <v>87</v>
      </c>
      <c r="C2225" s="10" t="s">
        <v>3398</v>
      </c>
      <c r="D2225" s="14" t="s">
        <v>3399</v>
      </c>
      <c r="E2225" s="10"/>
      <c r="F2225" s="10" t="s">
        <v>133</v>
      </c>
      <c r="G2225" s="111" t="n">
        <v>3</v>
      </c>
      <c r="H2225" s="152" t="n">
        <v>0</v>
      </c>
      <c r="I2225" s="111">
        <f>G2225*H2225</f>
      </c>
      <c r="J2225" s="153" t="s">
        <v>134</v>
      </c>
      <c r="K2225" s="146"/>
      <c r="Z2225" s="111">
        <f>IF(AQ2225="5",BJ2225,0)</f>
      </c>
      <c r="AB2225" s="111">
        <f>IF(AQ2225="1",BH2225,0)</f>
      </c>
      <c r="AC2225" s="111">
        <f>IF(AQ2225="1",BI2225,0)</f>
      </c>
      <c r="AD2225" s="111">
        <f>IF(AQ2225="7",BH2225,0)</f>
      </c>
      <c r="AE2225" s="111">
        <f>IF(AQ2225="7",BI2225,0)</f>
      </c>
      <c r="AF2225" s="111">
        <f>IF(AQ2225="2",BH2225,0)</f>
      </c>
      <c r="AG2225" s="111">
        <f>IF(AQ2225="2",BI2225,0)</f>
      </c>
      <c r="AH2225" s="111">
        <f>IF(AQ2225="0",BJ2225,0)</f>
      </c>
      <c r="AI2225" s="132" t="s">
        <v>87</v>
      </c>
      <c r="AJ2225" s="111">
        <f>IF(AN2225=0,I2225,0)</f>
      </c>
      <c r="AK2225" s="111">
        <f>IF(AN2225=12,I2225,0)</f>
      </c>
      <c r="AL2225" s="111">
        <f>IF(AN2225=21,I2225,0)</f>
      </c>
      <c r="AN2225" s="111" t="n">
        <v>21</v>
      </c>
      <c r="AO2225" s="111">
        <f>H2225*0.738682746</f>
      </c>
      <c r="AP2225" s="111">
        <f>H2225*(1-0.738682746)</f>
      </c>
      <c r="AQ2225" s="153" t="s">
        <v>173</v>
      </c>
      <c r="AV2225" s="111">
        <f>AW2225+AX2225</f>
      </c>
      <c r="AW2225" s="111">
        <f>G2225*AO2225</f>
      </c>
      <c r="AX2225" s="111">
        <f>G2225*AP2225</f>
      </c>
      <c r="AY2225" s="153" t="s">
        <v>3332</v>
      </c>
      <c r="AZ2225" s="153" t="s">
        <v>3333</v>
      </c>
      <c r="BA2225" s="132" t="s">
        <v>2990</v>
      </c>
      <c r="BC2225" s="111">
        <f>AW2225+AX2225</f>
      </c>
      <c r="BD2225" s="111">
        <f>H2225/(100-BE2225)*100</f>
      </c>
      <c r="BE2225" s="111" t="n">
        <v>0</v>
      </c>
      <c r="BF2225" s="111">
        <f>2225</f>
      </c>
      <c r="BH2225" s="111">
        <f>G2225*AO2225</f>
      </c>
      <c r="BI2225" s="111">
        <f>G2225*AP2225</f>
      </c>
      <c r="BJ2225" s="111">
        <f>G2225*H2225</f>
      </c>
      <c r="BK2225" s="111"/>
      <c r="BL2225" s="111" t="n">
        <v>721</v>
      </c>
      <c r="BW2225" s="111" t="n">
        <v>21</v>
      </c>
      <c r="BX2225" s="14" t="s">
        <v>3399</v>
      </c>
    </row>
    <row r="2226">
      <c r="A2226" s="154"/>
      <c r="B2226" s="155"/>
      <c r="C2226" s="155"/>
      <c r="D2226" s="156" t="s">
        <v>138</v>
      </c>
      <c r="E2226" s="156" t="s">
        <v>4</v>
      </c>
      <c r="F2226" s="155"/>
      <c r="G2226" s="157" t="n">
        <v>3</v>
      </c>
      <c r="H2226" s="158"/>
      <c r="I2226" s="155"/>
      <c r="J2226" s="155"/>
      <c r="K2226" s="146"/>
    </row>
    <row r="2227">
      <c r="A2227" s="9" t="s">
        <v>3400</v>
      </c>
      <c r="B2227" s="10" t="s">
        <v>87</v>
      </c>
      <c r="C2227" s="10" t="s">
        <v>3401</v>
      </c>
      <c r="D2227" s="14" t="s">
        <v>3402</v>
      </c>
      <c r="E2227" s="10"/>
      <c r="F2227" s="10" t="s">
        <v>133</v>
      </c>
      <c r="G2227" s="111" t="n">
        <v>4</v>
      </c>
      <c r="H2227" s="152" t="n">
        <v>0</v>
      </c>
      <c r="I2227" s="111">
        <f>G2227*H2227</f>
      </c>
      <c r="J2227" s="153" t="s">
        <v>134</v>
      </c>
      <c r="K2227" s="146"/>
      <c r="Z2227" s="111">
        <f>IF(AQ2227="5",BJ2227,0)</f>
      </c>
      <c r="AB2227" s="111">
        <f>IF(AQ2227="1",BH2227,0)</f>
      </c>
      <c r="AC2227" s="111">
        <f>IF(AQ2227="1",BI2227,0)</f>
      </c>
      <c r="AD2227" s="111">
        <f>IF(AQ2227="7",BH2227,0)</f>
      </c>
      <c r="AE2227" s="111">
        <f>IF(AQ2227="7",BI2227,0)</f>
      </c>
      <c r="AF2227" s="111">
        <f>IF(AQ2227="2",BH2227,0)</f>
      </c>
      <c r="AG2227" s="111">
        <f>IF(AQ2227="2",BI2227,0)</f>
      </c>
      <c r="AH2227" s="111">
        <f>IF(AQ2227="0",BJ2227,0)</f>
      </c>
      <c r="AI2227" s="132" t="s">
        <v>87</v>
      </c>
      <c r="AJ2227" s="111">
        <f>IF(AN2227=0,I2227,0)</f>
      </c>
      <c r="AK2227" s="111">
        <f>IF(AN2227=12,I2227,0)</f>
      </c>
      <c r="AL2227" s="111">
        <f>IF(AN2227=21,I2227,0)</f>
      </c>
      <c r="AN2227" s="111" t="n">
        <v>21</v>
      </c>
      <c r="AO2227" s="111">
        <f>H2227*0.73991195</f>
      </c>
      <c r="AP2227" s="111">
        <f>H2227*(1-0.73991195)</f>
      </c>
      <c r="AQ2227" s="153" t="s">
        <v>173</v>
      </c>
      <c r="AV2227" s="111">
        <f>AW2227+AX2227</f>
      </c>
      <c r="AW2227" s="111">
        <f>G2227*AO2227</f>
      </c>
      <c r="AX2227" s="111">
        <f>G2227*AP2227</f>
      </c>
      <c r="AY2227" s="153" t="s">
        <v>3332</v>
      </c>
      <c r="AZ2227" s="153" t="s">
        <v>3333</v>
      </c>
      <c r="BA2227" s="132" t="s">
        <v>2990</v>
      </c>
      <c r="BC2227" s="111">
        <f>AW2227+AX2227</f>
      </c>
      <c r="BD2227" s="111">
        <f>H2227/(100-BE2227)*100</f>
      </c>
      <c r="BE2227" s="111" t="n">
        <v>0</v>
      </c>
      <c r="BF2227" s="111">
        <f>2227</f>
      </c>
      <c r="BH2227" s="111">
        <f>G2227*AO2227</f>
      </c>
      <c r="BI2227" s="111">
        <f>G2227*AP2227</f>
      </c>
      <c r="BJ2227" s="111">
        <f>G2227*H2227</f>
      </c>
      <c r="BK2227" s="111"/>
      <c r="BL2227" s="111" t="n">
        <v>721</v>
      </c>
      <c r="BW2227" s="111" t="n">
        <v>21</v>
      </c>
      <c r="BX2227" s="14" t="s">
        <v>3402</v>
      </c>
    </row>
    <row r="2228">
      <c r="A2228" s="154"/>
      <c r="B2228" s="155"/>
      <c r="C2228" s="155"/>
      <c r="D2228" s="156" t="s">
        <v>149</v>
      </c>
      <c r="E2228" s="156" t="s">
        <v>4</v>
      </c>
      <c r="F2228" s="155"/>
      <c r="G2228" s="157" t="n">
        <v>4</v>
      </c>
      <c r="H2228" s="158"/>
      <c r="I2228" s="155"/>
      <c r="J2228" s="155"/>
      <c r="K2228" s="146"/>
    </row>
    <row r="2229">
      <c r="A2229" s="9" t="s">
        <v>3403</v>
      </c>
      <c r="B2229" s="10" t="s">
        <v>87</v>
      </c>
      <c r="C2229" s="10" t="s">
        <v>3404</v>
      </c>
      <c r="D2229" s="14" t="s">
        <v>3405</v>
      </c>
      <c r="E2229" s="10"/>
      <c r="F2229" s="10" t="s">
        <v>133</v>
      </c>
      <c r="G2229" s="111" t="n">
        <v>12</v>
      </c>
      <c r="H2229" s="152" t="n">
        <v>0</v>
      </c>
      <c r="I2229" s="111">
        <f>G2229*H2229</f>
      </c>
      <c r="J2229" s="153" t="s">
        <v>134</v>
      </c>
      <c r="K2229" s="146"/>
      <c r="Z2229" s="111">
        <f>IF(AQ2229="5",BJ2229,0)</f>
      </c>
      <c r="AB2229" s="111">
        <f>IF(AQ2229="1",BH2229,0)</f>
      </c>
      <c r="AC2229" s="111">
        <f>IF(AQ2229="1",BI2229,0)</f>
      </c>
      <c r="AD2229" s="111">
        <f>IF(AQ2229="7",BH2229,0)</f>
      </c>
      <c r="AE2229" s="111">
        <f>IF(AQ2229="7",BI2229,0)</f>
      </c>
      <c r="AF2229" s="111">
        <f>IF(AQ2229="2",BH2229,0)</f>
      </c>
      <c r="AG2229" s="111">
        <f>IF(AQ2229="2",BI2229,0)</f>
      </c>
      <c r="AH2229" s="111">
        <f>IF(AQ2229="0",BJ2229,0)</f>
      </c>
      <c r="AI2229" s="132" t="s">
        <v>87</v>
      </c>
      <c r="AJ2229" s="111">
        <f>IF(AN2229=0,I2229,0)</f>
      </c>
      <c r="AK2229" s="111">
        <f>IF(AN2229=12,I2229,0)</f>
      </c>
      <c r="AL2229" s="111">
        <f>IF(AN2229=21,I2229,0)</f>
      </c>
      <c r="AN2229" s="111" t="n">
        <v>21</v>
      </c>
      <c r="AO2229" s="111">
        <f>H2229*0</f>
      </c>
      <c r="AP2229" s="111">
        <f>H2229*(1-0)</f>
      </c>
      <c r="AQ2229" s="153" t="s">
        <v>173</v>
      </c>
      <c r="AV2229" s="111">
        <f>AW2229+AX2229</f>
      </c>
      <c r="AW2229" s="111">
        <f>G2229*AO2229</f>
      </c>
      <c r="AX2229" s="111">
        <f>G2229*AP2229</f>
      </c>
      <c r="AY2229" s="153" t="s">
        <v>3332</v>
      </c>
      <c r="AZ2229" s="153" t="s">
        <v>3333</v>
      </c>
      <c r="BA2229" s="132" t="s">
        <v>2990</v>
      </c>
      <c r="BC2229" s="111">
        <f>AW2229+AX2229</f>
      </c>
      <c r="BD2229" s="111">
        <f>H2229/(100-BE2229)*100</f>
      </c>
      <c r="BE2229" s="111" t="n">
        <v>0</v>
      </c>
      <c r="BF2229" s="111">
        <f>2229</f>
      </c>
      <c r="BH2229" s="111">
        <f>G2229*AO2229</f>
      </c>
      <c r="BI2229" s="111">
        <f>G2229*AP2229</f>
      </c>
      <c r="BJ2229" s="111">
        <f>G2229*H2229</f>
      </c>
      <c r="BK2229" s="111"/>
      <c r="BL2229" s="111" t="n">
        <v>721</v>
      </c>
      <c r="BW2229" s="111" t="n">
        <v>21</v>
      </c>
      <c r="BX2229" s="14" t="s">
        <v>3405</v>
      </c>
    </row>
    <row r="2230">
      <c r="A2230" s="154"/>
      <c r="B2230" s="155"/>
      <c r="C2230" s="155"/>
      <c r="D2230" s="156" t="s">
        <v>3406</v>
      </c>
      <c r="E2230" s="156" t="s">
        <v>4</v>
      </c>
      <c r="F2230" s="155"/>
      <c r="G2230" s="157" t="n">
        <v>12</v>
      </c>
      <c r="H2230" s="158"/>
      <c r="I2230" s="155"/>
      <c r="J2230" s="155"/>
      <c r="K2230" s="146"/>
    </row>
    <row r="2231">
      <c r="A2231" s="9" t="s">
        <v>3407</v>
      </c>
      <c r="B2231" s="10" t="s">
        <v>87</v>
      </c>
      <c r="C2231" s="10" t="s">
        <v>3408</v>
      </c>
      <c r="D2231" s="14" t="s">
        <v>3409</v>
      </c>
      <c r="E2231" s="10"/>
      <c r="F2231" s="10" t="s">
        <v>133</v>
      </c>
      <c r="G2231" s="111" t="n">
        <v>4</v>
      </c>
      <c r="H2231" s="152" t="n">
        <v>0</v>
      </c>
      <c r="I2231" s="111">
        <f>G2231*H2231</f>
      </c>
      <c r="J2231" s="153" t="s">
        <v>134</v>
      </c>
      <c r="K2231" s="146"/>
      <c r="Z2231" s="111">
        <f>IF(AQ2231="5",BJ2231,0)</f>
      </c>
      <c r="AB2231" s="111">
        <f>IF(AQ2231="1",BH2231,0)</f>
      </c>
      <c r="AC2231" s="111">
        <f>IF(AQ2231="1",BI2231,0)</f>
      </c>
      <c r="AD2231" s="111">
        <f>IF(AQ2231="7",BH2231,0)</f>
      </c>
      <c r="AE2231" s="111">
        <f>IF(AQ2231="7",BI2231,0)</f>
      </c>
      <c r="AF2231" s="111">
        <f>IF(AQ2231="2",BH2231,0)</f>
      </c>
      <c r="AG2231" s="111">
        <f>IF(AQ2231="2",BI2231,0)</f>
      </c>
      <c r="AH2231" s="111">
        <f>IF(AQ2231="0",BJ2231,0)</f>
      </c>
      <c r="AI2231" s="132" t="s">
        <v>87</v>
      </c>
      <c r="AJ2231" s="111">
        <f>IF(AN2231=0,I2231,0)</f>
      </c>
      <c r="AK2231" s="111">
        <f>IF(AN2231=12,I2231,0)</f>
      </c>
      <c r="AL2231" s="111">
        <f>IF(AN2231=21,I2231,0)</f>
      </c>
      <c r="AN2231" s="111" t="n">
        <v>21</v>
      </c>
      <c r="AO2231" s="111">
        <f>H2231*0</f>
      </c>
      <c r="AP2231" s="111">
        <f>H2231*(1-0)</f>
      </c>
      <c r="AQ2231" s="153" t="s">
        <v>173</v>
      </c>
      <c r="AV2231" s="111">
        <f>AW2231+AX2231</f>
      </c>
      <c r="AW2231" s="111">
        <f>G2231*AO2231</f>
      </c>
      <c r="AX2231" s="111">
        <f>G2231*AP2231</f>
      </c>
      <c r="AY2231" s="153" t="s">
        <v>3332</v>
      </c>
      <c r="AZ2231" s="153" t="s">
        <v>3333</v>
      </c>
      <c r="BA2231" s="132" t="s">
        <v>2990</v>
      </c>
      <c r="BC2231" s="111">
        <f>AW2231+AX2231</f>
      </c>
      <c r="BD2231" s="111">
        <f>H2231/(100-BE2231)*100</f>
      </c>
      <c r="BE2231" s="111" t="n">
        <v>0</v>
      </c>
      <c r="BF2231" s="111">
        <f>2231</f>
      </c>
      <c r="BH2231" s="111">
        <f>G2231*AO2231</f>
      </c>
      <c r="BI2231" s="111">
        <f>G2231*AP2231</f>
      </c>
      <c r="BJ2231" s="111">
        <f>G2231*H2231</f>
      </c>
      <c r="BK2231" s="111"/>
      <c r="BL2231" s="111" t="n">
        <v>721</v>
      </c>
      <c r="BW2231" s="111" t="n">
        <v>21</v>
      </c>
      <c r="BX2231" s="14" t="s">
        <v>3409</v>
      </c>
    </row>
    <row r="2232">
      <c r="A2232" s="154"/>
      <c r="B2232" s="155"/>
      <c r="C2232" s="155"/>
      <c r="D2232" s="156" t="s">
        <v>149</v>
      </c>
      <c r="E2232" s="156" t="s">
        <v>4</v>
      </c>
      <c r="F2232" s="155"/>
      <c r="G2232" s="157" t="n">
        <v>4</v>
      </c>
      <c r="H2232" s="158"/>
      <c r="I2232" s="155"/>
      <c r="J2232" s="155"/>
      <c r="K2232" s="146"/>
    </row>
    <row r="2233">
      <c r="A2233" s="9" t="s">
        <v>3410</v>
      </c>
      <c r="B2233" s="10" t="s">
        <v>87</v>
      </c>
      <c r="C2233" s="10" t="s">
        <v>3411</v>
      </c>
      <c r="D2233" s="14" t="s">
        <v>3412</v>
      </c>
      <c r="E2233" s="10"/>
      <c r="F2233" s="10" t="s">
        <v>133</v>
      </c>
      <c r="G2233" s="111" t="n">
        <v>6</v>
      </c>
      <c r="H2233" s="152" t="n">
        <v>0</v>
      </c>
      <c r="I2233" s="111">
        <f>G2233*H2233</f>
      </c>
      <c r="J2233" s="153" t="s">
        <v>134</v>
      </c>
      <c r="K2233" s="146"/>
      <c r="Z2233" s="111">
        <f>IF(AQ2233="5",BJ2233,0)</f>
      </c>
      <c r="AB2233" s="111">
        <f>IF(AQ2233="1",BH2233,0)</f>
      </c>
      <c r="AC2233" s="111">
        <f>IF(AQ2233="1",BI2233,0)</f>
      </c>
      <c r="AD2233" s="111">
        <f>IF(AQ2233="7",BH2233,0)</f>
      </c>
      <c r="AE2233" s="111">
        <f>IF(AQ2233="7",BI2233,0)</f>
      </c>
      <c r="AF2233" s="111">
        <f>IF(AQ2233="2",BH2233,0)</f>
      </c>
      <c r="AG2233" s="111">
        <f>IF(AQ2233="2",BI2233,0)</f>
      </c>
      <c r="AH2233" s="111">
        <f>IF(AQ2233="0",BJ2233,0)</f>
      </c>
      <c r="AI2233" s="132" t="s">
        <v>87</v>
      </c>
      <c r="AJ2233" s="111">
        <f>IF(AN2233=0,I2233,0)</f>
      </c>
      <c r="AK2233" s="111">
        <f>IF(AN2233=12,I2233,0)</f>
      </c>
      <c r="AL2233" s="111">
        <f>IF(AN2233=21,I2233,0)</f>
      </c>
      <c r="AN2233" s="111" t="n">
        <v>21</v>
      </c>
      <c r="AO2233" s="111">
        <f>H2233*0</f>
      </c>
      <c r="AP2233" s="111">
        <f>H2233*(1-0)</f>
      </c>
      <c r="AQ2233" s="153" t="s">
        <v>173</v>
      </c>
      <c r="AV2233" s="111">
        <f>AW2233+AX2233</f>
      </c>
      <c r="AW2233" s="111">
        <f>G2233*AO2233</f>
      </c>
      <c r="AX2233" s="111">
        <f>G2233*AP2233</f>
      </c>
      <c r="AY2233" s="153" t="s">
        <v>3332</v>
      </c>
      <c r="AZ2233" s="153" t="s">
        <v>3333</v>
      </c>
      <c r="BA2233" s="132" t="s">
        <v>2990</v>
      </c>
      <c r="BC2233" s="111">
        <f>AW2233+AX2233</f>
      </c>
      <c r="BD2233" s="111">
        <f>H2233/(100-BE2233)*100</f>
      </c>
      <c r="BE2233" s="111" t="n">
        <v>0</v>
      </c>
      <c r="BF2233" s="111">
        <f>2233</f>
      </c>
      <c r="BH2233" s="111">
        <f>G2233*AO2233</f>
      </c>
      <c r="BI2233" s="111">
        <f>G2233*AP2233</f>
      </c>
      <c r="BJ2233" s="111">
        <f>G2233*H2233</f>
      </c>
      <c r="BK2233" s="111"/>
      <c r="BL2233" s="111" t="n">
        <v>721</v>
      </c>
      <c r="BW2233" s="111" t="n">
        <v>21</v>
      </c>
      <c r="BX2233" s="14" t="s">
        <v>3412</v>
      </c>
    </row>
    <row r="2234">
      <c r="A2234" s="154"/>
      <c r="B2234" s="155"/>
      <c r="C2234" s="155"/>
      <c r="D2234" s="156" t="s">
        <v>3413</v>
      </c>
      <c r="E2234" s="156" t="s">
        <v>4</v>
      </c>
      <c r="F2234" s="155"/>
      <c r="G2234" s="157" t="n">
        <v>6</v>
      </c>
      <c r="H2234" s="158"/>
      <c r="I2234" s="155"/>
      <c r="J2234" s="155"/>
      <c r="K2234" s="146"/>
    </row>
    <row r="2235">
      <c r="A2235" s="9" t="s">
        <v>3414</v>
      </c>
      <c r="B2235" s="10" t="s">
        <v>87</v>
      </c>
      <c r="C2235" s="10" t="s">
        <v>3415</v>
      </c>
      <c r="D2235" s="14" t="s">
        <v>3416</v>
      </c>
      <c r="E2235" s="10"/>
      <c r="F2235" s="10" t="s">
        <v>133</v>
      </c>
      <c r="G2235" s="111" t="n">
        <v>2</v>
      </c>
      <c r="H2235" s="152" t="n">
        <v>0</v>
      </c>
      <c r="I2235" s="111">
        <f>G2235*H2235</f>
      </c>
      <c r="J2235" s="153" t="s">
        <v>134</v>
      </c>
      <c r="K2235" s="146"/>
      <c r="Z2235" s="111">
        <f>IF(AQ2235="5",BJ2235,0)</f>
      </c>
      <c r="AB2235" s="111">
        <f>IF(AQ2235="1",BH2235,0)</f>
      </c>
      <c r="AC2235" s="111">
        <f>IF(AQ2235="1",BI2235,0)</f>
      </c>
      <c r="AD2235" s="111">
        <f>IF(AQ2235="7",BH2235,0)</f>
      </c>
      <c r="AE2235" s="111">
        <f>IF(AQ2235="7",BI2235,0)</f>
      </c>
      <c r="AF2235" s="111">
        <f>IF(AQ2235="2",BH2235,0)</f>
      </c>
      <c r="AG2235" s="111">
        <f>IF(AQ2235="2",BI2235,0)</f>
      </c>
      <c r="AH2235" s="111">
        <f>IF(AQ2235="0",BJ2235,0)</f>
      </c>
      <c r="AI2235" s="132" t="s">
        <v>87</v>
      </c>
      <c r="AJ2235" s="111">
        <f>IF(AN2235=0,I2235,0)</f>
      </c>
      <c r="AK2235" s="111">
        <f>IF(AN2235=12,I2235,0)</f>
      </c>
      <c r="AL2235" s="111">
        <f>IF(AN2235=21,I2235,0)</f>
      </c>
      <c r="AN2235" s="111" t="n">
        <v>21</v>
      </c>
      <c r="AO2235" s="111">
        <f>H2235*0.948121547</f>
      </c>
      <c r="AP2235" s="111">
        <f>H2235*(1-0.948121547)</f>
      </c>
      <c r="AQ2235" s="153" t="s">
        <v>173</v>
      </c>
      <c r="AV2235" s="111">
        <f>AW2235+AX2235</f>
      </c>
      <c r="AW2235" s="111">
        <f>G2235*AO2235</f>
      </c>
      <c r="AX2235" s="111">
        <f>G2235*AP2235</f>
      </c>
      <c r="AY2235" s="153" t="s">
        <v>3332</v>
      </c>
      <c r="AZ2235" s="153" t="s">
        <v>3333</v>
      </c>
      <c r="BA2235" s="132" t="s">
        <v>2990</v>
      </c>
      <c r="BC2235" s="111">
        <f>AW2235+AX2235</f>
      </c>
      <c r="BD2235" s="111">
        <f>H2235/(100-BE2235)*100</f>
      </c>
      <c r="BE2235" s="111" t="n">
        <v>0</v>
      </c>
      <c r="BF2235" s="111">
        <f>2235</f>
      </c>
      <c r="BH2235" s="111">
        <f>G2235*AO2235</f>
      </c>
      <c r="BI2235" s="111">
        <f>G2235*AP2235</f>
      </c>
      <c r="BJ2235" s="111">
        <f>G2235*H2235</f>
      </c>
      <c r="BK2235" s="111"/>
      <c r="BL2235" s="111" t="n">
        <v>721</v>
      </c>
      <c r="BW2235" s="111" t="n">
        <v>21</v>
      </c>
      <c r="BX2235" s="14" t="s">
        <v>3416</v>
      </c>
    </row>
    <row r="2236" customHeight="true" ht="13.5">
      <c r="A2236" s="159"/>
      <c r="C2236" s="160" t="s">
        <v>146</v>
      </c>
      <c r="D2236" s="161" t="s">
        <v>3417</v>
      </c>
      <c r="E2236" s="156"/>
      <c r="F2236" s="156"/>
      <c r="G2236" s="156"/>
      <c r="H2236" s="162"/>
      <c r="I2236" s="156"/>
      <c r="J2236" s="156"/>
      <c r="K2236" s="163"/>
    </row>
    <row r="2237">
      <c r="A2237" s="154"/>
      <c r="B2237" s="155"/>
      <c r="C2237" s="155"/>
      <c r="D2237" s="156" t="s">
        <v>140</v>
      </c>
      <c r="E2237" s="156" t="s">
        <v>4</v>
      </c>
      <c r="F2237" s="155"/>
      <c r="G2237" s="157" t="n">
        <v>2</v>
      </c>
      <c r="H2237" s="158"/>
      <c r="I2237" s="155"/>
      <c r="J2237" s="155"/>
      <c r="K2237" s="146"/>
    </row>
    <row r="2238">
      <c r="A2238" s="9" t="s">
        <v>3418</v>
      </c>
      <c r="B2238" s="10" t="s">
        <v>87</v>
      </c>
      <c r="C2238" s="10" t="s">
        <v>3419</v>
      </c>
      <c r="D2238" s="14" t="s">
        <v>3420</v>
      </c>
      <c r="E2238" s="10"/>
      <c r="F2238" s="10" t="s">
        <v>133</v>
      </c>
      <c r="G2238" s="111" t="n">
        <v>2</v>
      </c>
      <c r="H2238" s="152" t="n">
        <v>0</v>
      </c>
      <c r="I2238" s="111">
        <f>G2238*H2238</f>
      </c>
      <c r="J2238" s="153" t="s">
        <v>134</v>
      </c>
      <c r="K2238" s="146"/>
      <c r="Z2238" s="111">
        <f>IF(AQ2238="5",BJ2238,0)</f>
      </c>
      <c r="AB2238" s="111">
        <f>IF(AQ2238="1",BH2238,0)</f>
      </c>
      <c r="AC2238" s="111">
        <f>IF(AQ2238="1",BI2238,0)</f>
      </c>
      <c r="AD2238" s="111">
        <f>IF(AQ2238="7",BH2238,0)</f>
      </c>
      <c r="AE2238" s="111">
        <f>IF(AQ2238="7",BI2238,0)</f>
      </c>
      <c r="AF2238" s="111">
        <f>IF(AQ2238="2",BH2238,0)</f>
      </c>
      <c r="AG2238" s="111">
        <f>IF(AQ2238="2",BI2238,0)</f>
      </c>
      <c r="AH2238" s="111">
        <f>IF(AQ2238="0",BJ2238,0)</f>
      </c>
      <c r="AI2238" s="132" t="s">
        <v>87</v>
      </c>
      <c r="AJ2238" s="111">
        <f>IF(AN2238=0,I2238,0)</f>
      </c>
      <c r="AK2238" s="111">
        <f>IF(AN2238=12,I2238,0)</f>
      </c>
      <c r="AL2238" s="111">
        <f>IF(AN2238=21,I2238,0)</f>
      </c>
      <c r="AN2238" s="111" t="n">
        <v>21</v>
      </c>
      <c r="AO2238" s="111">
        <f>H2238*0.943376884</f>
      </c>
      <c r="AP2238" s="111">
        <f>H2238*(1-0.943376884)</f>
      </c>
      <c r="AQ2238" s="153" t="s">
        <v>173</v>
      </c>
      <c r="AV2238" s="111">
        <f>AW2238+AX2238</f>
      </c>
      <c r="AW2238" s="111">
        <f>G2238*AO2238</f>
      </c>
      <c r="AX2238" s="111">
        <f>G2238*AP2238</f>
      </c>
      <c r="AY2238" s="153" t="s">
        <v>3332</v>
      </c>
      <c r="AZ2238" s="153" t="s">
        <v>3333</v>
      </c>
      <c r="BA2238" s="132" t="s">
        <v>2990</v>
      </c>
      <c r="BC2238" s="111">
        <f>AW2238+AX2238</f>
      </c>
      <c r="BD2238" s="111">
        <f>H2238/(100-BE2238)*100</f>
      </c>
      <c r="BE2238" s="111" t="n">
        <v>0</v>
      </c>
      <c r="BF2238" s="111">
        <f>2238</f>
      </c>
      <c r="BH2238" s="111">
        <f>G2238*AO2238</f>
      </c>
      <c r="BI2238" s="111">
        <f>G2238*AP2238</f>
      </c>
      <c r="BJ2238" s="111">
        <f>G2238*H2238</f>
      </c>
      <c r="BK2238" s="111"/>
      <c r="BL2238" s="111" t="n">
        <v>721</v>
      </c>
      <c r="BW2238" s="111" t="n">
        <v>21</v>
      </c>
      <c r="BX2238" s="14" t="s">
        <v>3420</v>
      </c>
    </row>
    <row r="2239" customHeight="true" ht="13.5">
      <c r="A2239" s="159"/>
      <c r="C2239" s="160" t="s">
        <v>146</v>
      </c>
      <c r="D2239" s="161" t="s">
        <v>3421</v>
      </c>
      <c r="E2239" s="156"/>
      <c r="F2239" s="156"/>
      <c r="G2239" s="156"/>
      <c r="H2239" s="162"/>
      <c r="I2239" s="156"/>
      <c r="J2239" s="156"/>
      <c r="K2239" s="163"/>
    </row>
    <row r="2240">
      <c r="A2240" s="154"/>
      <c r="B2240" s="155"/>
      <c r="C2240" s="155"/>
      <c r="D2240" s="156" t="s">
        <v>140</v>
      </c>
      <c r="E2240" s="156" t="s">
        <v>4</v>
      </c>
      <c r="F2240" s="155"/>
      <c r="G2240" s="157" t="n">
        <v>2</v>
      </c>
      <c r="H2240" s="158"/>
      <c r="I2240" s="155"/>
      <c r="J2240" s="155"/>
      <c r="K2240" s="146"/>
    </row>
    <row r="2241">
      <c r="A2241" s="9" t="s">
        <v>3422</v>
      </c>
      <c r="B2241" s="10" t="s">
        <v>87</v>
      </c>
      <c r="C2241" s="10" t="s">
        <v>3423</v>
      </c>
      <c r="D2241" s="14" t="s">
        <v>3424</v>
      </c>
      <c r="E2241" s="10"/>
      <c r="F2241" s="10" t="s">
        <v>133</v>
      </c>
      <c r="G2241" s="111" t="n">
        <v>14</v>
      </c>
      <c r="H2241" s="152" t="n">
        <v>0</v>
      </c>
      <c r="I2241" s="111">
        <f>G2241*H2241</f>
      </c>
      <c r="J2241" s="153" t="s">
        <v>134</v>
      </c>
      <c r="K2241" s="146"/>
      <c r="Z2241" s="111">
        <f>IF(AQ2241="5",BJ2241,0)</f>
      </c>
      <c r="AB2241" s="111">
        <f>IF(AQ2241="1",BH2241,0)</f>
      </c>
      <c r="AC2241" s="111">
        <f>IF(AQ2241="1",BI2241,0)</f>
      </c>
      <c r="AD2241" s="111">
        <f>IF(AQ2241="7",BH2241,0)</f>
      </c>
      <c r="AE2241" s="111">
        <f>IF(AQ2241="7",BI2241,0)</f>
      </c>
      <c r="AF2241" s="111">
        <f>IF(AQ2241="2",BH2241,0)</f>
      </c>
      <c r="AG2241" s="111">
        <f>IF(AQ2241="2",BI2241,0)</f>
      </c>
      <c r="AH2241" s="111">
        <f>IF(AQ2241="0",BJ2241,0)</f>
      </c>
      <c r="AI2241" s="132" t="s">
        <v>87</v>
      </c>
      <c r="AJ2241" s="111">
        <f>IF(AN2241=0,I2241,0)</f>
      </c>
      <c r="AK2241" s="111">
        <f>IF(AN2241=12,I2241,0)</f>
      </c>
      <c r="AL2241" s="111">
        <f>IF(AN2241=21,I2241,0)</f>
      </c>
      <c r="AN2241" s="111" t="n">
        <v>21</v>
      </c>
      <c r="AO2241" s="111">
        <f>H2241*0.872874779</f>
      </c>
      <c r="AP2241" s="111">
        <f>H2241*(1-0.872874779)</f>
      </c>
      <c r="AQ2241" s="153" t="s">
        <v>173</v>
      </c>
      <c r="AV2241" s="111">
        <f>AW2241+AX2241</f>
      </c>
      <c r="AW2241" s="111">
        <f>G2241*AO2241</f>
      </c>
      <c r="AX2241" s="111">
        <f>G2241*AP2241</f>
      </c>
      <c r="AY2241" s="153" t="s">
        <v>3332</v>
      </c>
      <c r="AZ2241" s="153" t="s">
        <v>3333</v>
      </c>
      <c r="BA2241" s="132" t="s">
        <v>2990</v>
      </c>
      <c r="BC2241" s="111">
        <f>AW2241+AX2241</f>
      </c>
      <c r="BD2241" s="111">
        <f>H2241/(100-BE2241)*100</f>
      </c>
      <c r="BE2241" s="111" t="n">
        <v>0</v>
      </c>
      <c r="BF2241" s="111">
        <f>2241</f>
      </c>
      <c r="BH2241" s="111">
        <f>G2241*AO2241</f>
      </c>
      <c r="BI2241" s="111">
        <f>G2241*AP2241</f>
      </c>
      <c r="BJ2241" s="111">
        <f>G2241*H2241</f>
      </c>
      <c r="BK2241" s="111"/>
      <c r="BL2241" s="111" t="n">
        <v>721</v>
      </c>
      <c r="BW2241" s="111" t="n">
        <v>21</v>
      </c>
      <c r="BX2241" s="14" t="s">
        <v>3424</v>
      </c>
    </row>
    <row r="2242" customHeight="true" ht="13.5">
      <c r="A2242" s="159"/>
      <c r="C2242" s="160" t="s">
        <v>146</v>
      </c>
      <c r="D2242" s="161" t="s">
        <v>3425</v>
      </c>
      <c r="E2242" s="156"/>
      <c r="F2242" s="156"/>
      <c r="G2242" s="156"/>
      <c r="H2242" s="162"/>
      <c r="I2242" s="156"/>
      <c r="J2242" s="156"/>
      <c r="K2242" s="163"/>
    </row>
    <row r="2243">
      <c r="A2243" s="154"/>
      <c r="B2243" s="155"/>
      <c r="C2243" s="155"/>
      <c r="D2243" s="156" t="s">
        <v>212</v>
      </c>
      <c r="E2243" s="156" t="s">
        <v>4</v>
      </c>
      <c r="F2243" s="155"/>
      <c r="G2243" s="157" t="n">
        <v>14</v>
      </c>
      <c r="H2243" s="158"/>
      <c r="I2243" s="155"/>
      <c r="J2243" s="155"/>
      <c r="K2243" s="146"/>
    </row>
    <row r="2244">
      <c r="A2244" s="9" t="s">
        <v>3426</v>
      </c>
      <c r="B2244" s="10" t="s">
        <v>87</v>
      </c>
      <c r="C2244" s="10" t="s">
        <v>3427</v>
      </c>
      <c r="D2244" s="14" t="s">
        <v>3428</v>
      </c>
      <c r="E2244" s="10"/>
      <c r="F2244" s="10" t="s">
        <v>133</v>
      </c>
      <c r="G2244" s="111" t="n">
        <v>7</v>
      </c>
      <c r="H2244" s="152" t="n">
        <v>0</v>
      </c>
      <c r="I2244" s="111">
        <f>G2244*H2244</f>
      </c>
      <c r="J2244" s="153" t="s">
        <v>134</v>
      </c>
      <c r="K2244" s="146"/>
      <c r="Z2244" s="111">
        <f>IF(AQ2244="5",BJ2244,0)</f>
      </c>
      <c r="AB2244" s="111">
        <f>IF(AQ2244="1",BH2244,0)</f>
      </c>
      <c r="AC2244" s="111">
        <f>IF(AQ2244="1",BI2244,0)</f>
      </c>
      <c r="AD2244" s="111">
        <f>IF(AQ2244="7",BH2244,0)</f>
      </c>
      <c r="AE2244" s="111">
        <f>IF(AQ2244="7",BI2244,0)</f>
      </c>
      <c r="AF2244" s="111">
        <f>IF(AQ2244="2",BH2244,0)</f>
      </c>
      <c r="AG2244" s="111">
        <f>IF(AQ2244="2",BI2244,0)</f>
      </c>
      <c r="AH2244" s="111">
        <f>IF(AQ2244="0",BJ2244,0)</f>
      </c>
      <c r="AI2244" s="132" t="s">
        <v>87</v>
      </c>
      <c r="AJ2244" s="111">
        <f>IF(AN2244=0,I2244,0)</f>
      </c>
      <c r="AK2244" s="111">
        <f>IF(AN2244=12,I2244,0)</f>
      </c>
      <c r="AL2244" s="111">
        <f>IF(AN2244=21,I2244,0)</f>
      </c>
      <c r="AN2244" s="111" t="n">
        <v>21</v>
      </c>
      <c r="AO2244" s="111">
        <f>H2244*0.923864865</f>
      </c>
      <c r="AP2244" s="111">
        <f>H2244*(1-0.923864865)</f>
      </c>
      <c r="AQ2244" s="153" t="s">
        <v>173</v>
      </c>
      <c r="AV2244" s="111">
        <f>AW2244+AX2244</f>
      </c>
      <c r="AW2244" s="111">
        <f>G2244*AO2244</f>
      </c>
      <c r="AX2244" s="111">
        <f>G2244*AP2244</f>
      </c>
      <c r="AY2244" s="153" t="s">
        <v>3332</v>
      </c>
      <c r="AZ2244" s="153" t="s">
        <v>3333</v>
      </c>
      <c r="BA2244" s="132" t="s">
        <v>2990</v>
      </c>
      <c r="BC2244" s="111">
        <f>AW2244+AX2244</f>
      </c>
      <c r="BD2244" s="111">
        <f>H2244/(100-BE2244)*100</f>
      </c>
      <c r="BE2244" s="111" t="n">
        <v>0</v>
      </c>
      <c r="BF2244" s="111">
        <f>2244</f>
      </c>
      <c r="BH2244" s="111">
        <f>G2244*AO2244</f>
      </c>
      <c r="BI2244" s="111">
        <f>G2244*AP2244</f>
      </c>
      <c r="BJ2244" s="111">
        <f>G2244*H2244</f>
      </c>
      <c r="BK2244" s="111"/>
      <c r="BL2244" s="111" t="n">
        <v>721</v>
      </c>
      <c r="BW2244" s="111" t="n">
        <v>21</v>
      </c>
      <c r="BX2244" s="14" t="s">
        <v>3428</v>
      </c>
    </row>
    <row r="2245" customHeight="true" ht="13.5">
      <c r="A2245" s="159"/>
      <c r="C2245" s="160" t="s">
        <v>146</v>
      </c>
      <c r="D2245" s="161" t="s">
        <v>3429</v>
      </c>
      <c r="E2245" s="156"/>
      <c r="F2245" s="156"/>
      <c r="G2245" s="156"/>
      <c r="H2245" s="162"/>
      <c r="I2245" s="156"/>
      <c r="J2245" s="156"/>
      <c r="K2245" s="163"/>
    </row>
    <row r="2246">
      <c r="A2246" s="154"/>
      <c r="B2246" s="155"/>
      <c r="C2246" s="155"/>
      <c r="D2246" s="156" t="s">
        <v>130</v>
      </c>
      <c r="E2246" s="156" t="s">
        <v>4</v>
      </c>
      <c r="F2246" s="155"/>
      <c r="G2246" s="157" t="n">
        <v>1</v>
      </c>
      <c r="H2246" s="158"/>
      <c r="I2246" s="155"/>
      <c r="J2246" s="155"/>
      <c r="K2246" s="146"/>
    </row>
    <row r="2247">
      <c r="A2247" s="154"/>
      <c r="B2247" s="155"/>
      <c r="C2247" s="155"/>
      <c r="D2247" s="156" t="s">
        <v>165</v>
      </c>
      <c r="E2247" s="156" t="s">
        <v>3430</v>
      </c>
      <c r="F2247" s="155"/>
      <c r="G2247" s="157" t="n">
        <v>6</v>
      </c>
      <c r="H2247" s="158"/>
      <c r="I2247" s="155"/>
      <c r="J2247" s="155"/>
      <c r="K2247" s="146"/>
    </row>
    <row r="2248">
      <c r="A2248" s="9" t="s">
        <v>3431</v>
      </c>
      <c r="B2248" s="10" t="s">
        <v>87</v>
      </c>
      <c r="C2248" s="10" t="s">
        <v>3432</v>
      </c>
      <c r="D2248" s="14" t="s">
        <v>3433</v>
      </c>
      <c r="E2248" s="10"/>
      <c r="F2248" s="10" t="s">
        <v>133</v>
      </c>
      <c r="G2248" s="111" t="n">
        <v>6</v>
      </c>
      <c r="H2248" s="152" t="n">
        <v>0</v>
      </c>
      <c r="I2248" s="111">
        <f>G2248*H2248</f>
      </c>
      <c r="J2248" s="153" t="s">
        <v>134</v>
      </c>
      <c r="K2248" s="146"/>
      <c r="Z2248" s="111">
        <f>IF(AQ2248="5",BJ2248,0)</f>
      </c>
      <c r="AB2248" s="111">
        <f>IF(AQ2248="1",BH2248,0)</f>
      </c>
      <c r="AC2248" s="111">
        <f>IF(AQ2248="1",BI2248,0)</f>
      </c>
      <c r="AD2248" s="111">
        <f>IF(AQ2248="7",BH2248,0)</f>
      </c>
      <c r="AE2248" s="111">
        <f>IF(AQ2248="7",BI2248,0)</f>
      </c>
      <c r="AF2248" s="111">
        <f>IF(AQ2248="2",BH2248,0)</f>
      </c>
      <c r="AG2248" s="111">
        <f>IF(AQ2248="2",BI2248,0)</f>
      </c>
      <c r="AH2248" s="111">
        <f>IF(AQ2248="0",BJ2248,0)</f>
      </c>
      <c r="AI2248" s="132" t="s">
        <v>87</v>
      </c>
      <c r="AJ2248" s="111">
        <f>IF(AN2248=0,I2248,0)</f>
      </c>
      <c r="AK2248" s="111">
        <f>IF(AN2248=12,I2248,0)</f>
      </c>
      <c r="AL2248" s="111">
        <f>IF(AN2248=21,I2248,0)</f>
      </c>
      <c r="AN2248" s="111" t="n">
        <v>21</v>
      </c>
      <c r="AO2248" s="111">
        <f>H2248*0</f>
      </c>
      <c r="AP2248" s="111">
        <f>H2248*(1-0)</f>
      </c>
      <c r="AQ2248" s="153" t="s">
        <v>173</v>
      </c>
      <c r="AV2248" s="111">
        <f>AW2248+AX2248</f>
      </c>
      <c r="AW2248" s="111">
        <f>G2248*AO2248</f>
      </c>
      <c r="AX2248" s="111">
        <f>G2248*AP2248</f>
      </c>
      <c r="AY2248" s="153" t="s">
        <v>3332</v>
      </c>
      <c r="AZ2248" s="153" t="s">
        <v>3333</v>
      </c>
      <c r="BA2248" s="132" t="s">
        <v>2990</v>
      </c>
      <c r="BC2248" s="111">
        <f>AW2248+AX2248</f>
      </c>
      <c r="BD2248" s="111">
        <f>H2248/(100-BE2248)*100</f>
      </c>
      <c r="BE2248" s="111" t="n">
        <v>0</v>
      </c>
      <c r="BF2248" s="111">
        <f>2248</f>
      </c>
      <c r="BH2248" s="111">
        <f>G2248*AO2248</f>
      </c>
      <c r="BI2248" s="111">
        <f>G2248*AP2248</f>
      </c>
      <c r="BJ2248" s="111">
        <f>G2248*H2248</f>
      </c>
      <c r="BK2248" s="111"/>
      <c r="BL2248" s="111" t="n">
        <v>721</v>
      </c>
      <c r="BW2248" s="111" t="n">
        <v>21</v>
      </c>
      <c r="BX2248" s="14" t="s">
        <v>3433</v>
      </c>
    </row>
    <row r="2249">
      <c r="A2249" s="154"/>
      <c r="B2249" s="155"/>
      <c r="C2249" s="155"/>
      <c r="D2249" s="156" t="s">
        <v>165</v>
      </c>
      <c r="E2249" s="156" t="s">
        <v>4</v>
      </c>
      <c r="F2249" s="155"/>
      <c r="G2249" s="157" t="n">
        <v>6</v>
      </c>
      <c r="H2249" s="158"/>
      <c r="I2249" s="155"/>
      <c r="J2249" s="155"/>
      <c r="K2249" s="146"/>
    </row>
    <row r="2250">
      <c r="A2250" s="9" t="s">
        <v>3434</v>
      </c>
      <c r="B2250" s="10" t="s">
        <v>87</v>
      </c>
      <c r="C2250" s="10" t="s">
        <v>3435</v>
      </c>
      <c r="D2250" s="14" t="s">
        <v>3436</v>
      </c>
      <c r="E2250" s="10"/>
      <c r="F2250" s="10" t="s">
        <v>133</v>
      </c>
      <c r="G2250" s="111" t="n">
        <v>2</v>
      </c>
      <c r="H2250" s="152" t="n">
        <v>0</v>
      </c>
      <c r="I2250" s="111">
        <f>G2250*H2250</f>
      </c>
      <c r="J2250" s="153" t="s">
        <v>134</v>
      </c>
      <c r="K2250" s="146"/>
      <c r="Z2250" s="111">
        <f>IF(AQ2250="5",BJ2250,0)</f>
      </c>
      <c r="AB2250" s="111">
        <f>IF(AQ2250="1",BH2250,0)</f>
      </c>
      <c r="AC2250" s="111">
        <f>IF(AQ2250="1",BI2250,0)</f>
      </c>
      <c r="AD2250" s="111">
        <f>IF(AQ2250="7",BH2250,0)</f>
      </c>
      <c r="AE2250" s="111">
        <f>IF(AQ2250="7",BI2250,0)</f>
      </c>
      <c r="AF2250" s="111">
        <f>IF(AQ2250="2",BH2250,0)</f>
      </c>
      <c r="AG2250" s="111">
        <f>IF(AQ2250="2",BI2250,0)</f>
      </c>
      <c r="AH2250" s="111">
        <f>IF(AQ2250="0",BJ2250,0)</f>
      </c>
      <c r="AI2250" s="132" t="s">
        <v>87</v>
      </c>
      <c r="AJ2250" s="111">
        <f>IF(AN2250=0,I2250,0)</f>
      </c>
      <c r="AK2250" s="111">
        <f>IF(AN2250=12,I2250,0)</f>
      </c>
      <c r="AL2250" s="111">
        <f>IF(AN2250=21,I2250,0)</f>
      </c>
      <c r="AN2250" s="111" t="n">
        <v>21</v>
      </c>
      <c r="AO2250" s="111">
        <f>H2250*0.959427391</f>
      </c>
      <c r="AP2250" s="111">
        <f>H2250*(1-0.959427391)</f>
      </c>
      <c r="AQ2250" s="153" t="s">
        <v>173</v>
      </c>
      <c r="AV2250" s="111">
        <f>AW2250+AX2250</f>
      </c>
      <c r="AW2250" s="111">
        <f>G2250*AO2250</f>
      </c>
      <c r="AX2250" s="111">
        <f>G2250*AP2250</f>
      </c>
      <c r="AY2250" s="153" t="s">
        <v>3332</v>
      </c>
      <c r="AZ2250" s="153" t="s">
        <v>3333</v>
      </c>
      <c r="BA2250" s="132" t="s">
        <v>2990</v>
      </c>
      <c r="BC2250" s="111">
        <f>AW2250+AX2250</f>
      </c>
      <c r="BD2250" s="111">
        <f>H2250/(100-BE2250)*100</f>
      </c>
      <c r="BE2250" s="111" t="n">
        <v>0</v>
      </c>
      <c r="BF2250" s="111">
        <f>2250</f>
      </c>
      <c r="BH2250" s="111">
        <f>G2250*AO2250</f>
      </c>
      <c r="BI2250" s="111">
        <f>G2250*AP2250</f>
      </c>
      <c r="BJ2250" s="111">
        <f>G2250*H2250</f>
      </c>
      <c r="BK2250" s="111"/>
      <c r="BL2250" s="111" t="n">
        <v>721</v>
      </c>
      <c r="BW2250" s="111" t="n">
        <v>21</v>
      </c>
      <c r="BX2250" s="14" t="s">
        <v>3436</v>
      </c>
    </row>
    <row r="2251" customHeight="true" ht="13.5">
      <c r="A2251" s="159"/>
      <c r="C2251" s="160" t="s">
        <v>146</v>
      </c>
      <c r="D2251" s="161" t="s">
        <v>3437</v>
      </c>
      <c r="E2251" s="156"/>
      <c r="F2251" s="156"/>
      <c r="G2251" s="156"/>
      <c r="H2251" s="162"/>
      <c r="I2251" s="156"/>
      <c r="J2251" s="156"/>
      <c r="K2251" s="163"/>
    </row>
    <row r="2252">
      <c r="A2252" s="154"/>
      <c r="B2252" s="155"/>
      <c r="C2252" s="155"/>
      <c r="D2252" s="156" t="s">
        <v>140</v>
      </c>
      <c r="E2252" s="156" t="s">
        <v>4</v>
      </c>
      <c r="F2252" s="155"/>
      <c r="G2252" s="157" t="n">
        <v>2</v>
      </c>
      <c r="H2252" s="158"/>
      <c r="I2252" s="155"/>
      <c r="J2252" s="155"/>
      <c r="K2252" s="146"/>
    </row>
    <row r="2253">
      <c r="A2253" s="9" t="s">
        <v>3438</v>
      </c>
      <c r="B2253" s="10" t="s">
        <v>87</v>
      </c>
      <c r="C2253" s="10" t="s">
        <v>3439</v>
      </c>
      <c r="D2253" s="14" t="s">
        <v>3440</v>
      </c>
      <c r="E2253" s="10"/>
      <c r="F2253" s="10" t="s">
        <v>282</v>
      </c>
      <c r="G2253" s="111" t="n">
        <v>227</v>
      </c>
      <c r="H2253" s="152" t="n">
        <v>0</v>
      </c>
      <c r="I2253" s="111">
        <f>G2253*H2253</f>
      </c>
      <c r="J2253" s="153" t="s">
        <v>134</v>
      </c>
      <c r="K2253" s="146"/>
      <c r="Z2253" s="111">
        <f>IF(AQ2253="5",BJ2253,0)</f>
      </c>
      <c r="AB2253" s="111">
        <f>IF(AQ2253="1",BH2253,0)</f>
      </c>
      <c r="AC2253" s="111">
        <f>IF(AQ2253="1",BI2253,0)</f>
      </c>
      <c r="AD2253" s="111">
        <f>IF(AQ2253="7",BH2253,0)</f>
      </c>
      <c r="AE2253" s="111">
        <f>IF(AQ2253="7",BI2253,0)</f>
      </c>
      <c r="AF2253" s="111">
        <f>IF(AQ2253="2",BH2253,0)</f>
      </c>
      <c r="AG2253" s="111">
        <f>IF(AQ2253="2",BI2253,0)</f>
      </c>
      <c r="AH2253" s="111">
        <f>IF(AQ2253="0",BJ2253,0)</f>
      </c>
      <c r="AI2253" s="132" t="s">
        <v>87</v>
      </c>
      <c r="AJ2253" s="111">
        <f>IF(AN2253=0,I2253,0)</f>
      </c>
      <c r="AK2253" s="111">
        <f>IF(AN2253=12,I2253,0)</f>
      </c>
      <c r="AL2253" s="111">
        <f>IF(AN2253=21,I2253,0)</f>
      </c>
      <c r="AN2253" s="111" t="n">
        <v>21</v>
      </c>
      <c r="AO2253" s="111">
        <f>H2253*0.029749104</f>
      </c>
      <c r="AP2253" s="111">
        <f>H2253*(1-0.029749104)</f>
      </c>
      <c r="AQ2253" s="153" t="s">
        <v>173</v>
      </c>
      <c r="AV2253" s="111">
        <f>AW2253+AX2253</f>
      </c>
      <c r="AW2253" s="111">
        <f>G2253*AO2253</f>
      </c>
      <c r="AX2253" s="111">
        <f>G2253*AP2253</f>
      </c>
      <c r="AY2253" s="153" t="s">
        <v>3332</v>
      </c>
      <c r="AZ2253" s="153" t="s">
        <v>3333</v>
      </c>
      <c r="BA2253" s="132" t="s">
        <v>2990</v>
      </c>
      <c r="BC2253" s="111">
        <f>AW2253+AX2253</f>
      </c>
      <c r="BD2253" s="111">
        <f>H2253/(100-BE2253)*100</f>
      </c>
      <c r="BE2253" s="111" t="n">
        <v>0</v>
      </c>
      <c r="BF2253" s="111">
        <f>2253</f>
      </c>
      <c r="BH2253" s="111">
        <f>G2253*AO2253</f>
      </c>
      <c r="BI2253" s="111">
        <f>G2253*AP2253</f>
      </c>
      <c r="BJ2253" s="111">
        <f>G2253*H2253</f>
      </c>
      <c r="BK2253" s="111"/>
      <c r="BL2253" s="111" t="n">
        <v>721</v>
      </c>
      <c r="BW2253" s="111" t="n">
        <v>21</v>
      </c>
      <c r="BX2253" s="14" t="s">
        <v>3440</v>
      </c>
    </row>
    <row r="2254">
      <c r="A2254" s="154"/>
      <c r="B2254" s="155"/>
      <c r="C2254" s="155"/>
      <c r="D2254" s="156" t="s">
        <v>3441</v>
      </c>
      <c r="E2254" s="156" t="s">
        <v>4</v>
      </c>
      <c r="F2254" s="155"/>
      <c r="G2254" s="157" t="n">
        <v>227</v>
      </c>
      <c r="H2254" s="158"/>
      <c r="I2254" s="155"/>
      <c r="J2254" s="155"/>
      <c r="K2254" s="146"/>
    </row>
    <row r="2255">
      <c r="A2255" s="9" t="s">
        <v>3442</v>
      </c>
      <c r="B2255" s="10" t="s">
        <v>87</v>
      </c>
      <c r="C2255" s="10" t="s">
        <v>3443</v>
      </c>
      <c r="D2255" s="14" t="s">
        <v>3444</v>
      </c>
      <c r="E2255" s="10"/>
      <c r="F2255" s="10" t="s">
        <v>282</v>
      </c>
      <c r="G2255" s="111" t="n">
        <v>185</v>
      </c>
      <c r="H2255" s="152" t="n">
        <v>0</v>
      </c>
      <c r="I2255" s="111">
        <f>G2255*H2255</f>
      </c>
      <c r="J2255" s="153" t="s">
        <v>134</v>
      </c>
      <c r="K2255" s="146"/>
      <c r="Z2255" s="111">
        <f>IF(AQ2255="5",BJ2255,0)</f>
      </c>
      <c r="AB2255" s="111">
        <f>IF(AQ2255="1",BH2255,0)</f>
      </c>
      <c r="AC2255" s="111">
        <f>IF(AQ2255="1",BI2255,0)</f>
      </c>
      <c r="AD2255" s="111">
        <f>IF(AQ2255="7",BH2255,0)</f>
      </c>
      <c r="AE2255" s="111">
        <f>IF(AQ2255="7",BI2255,0)</f>
      </c>
      <c r="AF2255" s="111">
        <f>IF(AQ2255="2",BH2255,0)</f>
      </c>
      <c r="AG2255" s="111">
        <f>IF(AQ2255="2",BI2255,0)</f>
      </c>
      <c r="AH2255" s="111">
        <f>IF(AQ2255="0",BJ2255,0)</f>
      </c>
      <c r="AI2255" s="132" t="s">
        <v>87</v>
      </c>
      <c r="AJ2255" s="111">
        <f>IF(AN2255=0,I2255,0)</f>
      </c>
      <c r="AK2255" s="111">
        <f>IF(AN2255=12,I2255,0)</f>
      </c>
      <c r="AL2255" s="111">
        <f>IF(AN2255=21,I2255,0)</f>
      </c>
      <c r="AN2255" s="111" t="n">
        <v>21</v>
      </c>
      <c r="AO2255" s="111">
        <f>H2255*0.090710383</f>
      </c>
      <c r="AP2255" s="111">
        <f>H2255*(1-0.090710383)</f>
      </c>
      <c r="AQ2255" s="153" t="s">
        <v>173</v>
      </c>
      <c r="AV2255" s="111">
        <f>AW2255+AX2255</f>
      </c>
      <c r="AW2255" s="111">
        <f>G2255*AO2255</f>
      </c>
      <c r="AX2255" s="111">
        <f>G2255*AP2255</f>
      </c>
      <c r="AY2255" s="153" t="s">
        <v>3332</v>
      </c>
      <c r="AZ2255" s="153" t="s">
        <v>3333</v>
      </c>
      <c r="BA2255" s="132" t="s">
        <v>2990</v>
      </c>
      <c r="BC2255" s="111">
        <f>AW2255+AX2255</f>
      </c>
      <c r="BD2255" s="111">
        <f>H2255/(100-BE2255)*100</f>
      </c>
      <c r="BE2255" s="111" t="n">
        <v>0</v>
      </c>
      <c r="BF2255" s="111">
        <f>2255</f>
      </c>
      <c r="BH2255" s="111">
        <f>G2255*AO2255</f>
      </c>
      <c r="BI2255" s="111">
        <f>G2255*AP2255</f>
      </c>
      <c r="BJ2255" s="111">
        <f>G2255*H2255</f>
      </c>
      <c r="BK2255" s="111"/>
      <c r="BL2255" s="111" t="n">
        <v>721</v>
      </c>
      <c r="BW2255" s="111" t="n">
        <v>21</v>
      </c>
      <c r="BX2255" s="14" t="s">
        <v>3444</v>
      </c>
    </row>
    <row r="2256">
      <c r="A2256" s="154"/>
      <c r="B2256" s="155"/>
      <c r="C2256" s="155"/>
      <c r="D2256" s="156" t="s">
        <v>3445</v>
      </c>
      <c r="E2256" s="156" t="s">
        <v>4</v>
      </c>
      <c r="F2256" s="155"/>
      <c r="G2256" s="157" t="n">
        <v>185</v>
      </c>
      <c r="H2256" s="158"/>
      <c r="I2256" s="155"/>
      <c r="J2256" s="155"/>
      <c r="K2256" s="146"/>
    </row>
    <row r="2257">
      <c r="A2257" s="147" t="s">
        <v>4</v>
      </c>
      <c r="B2257" s="148" t="s">
        <v>87</v>
      </c>
      <c r="C2257" s="148" t="s">
        <v>1944</v>
      </c>
      <c r="D2257" s="149" t="s">
        <v>1945</v>
      </c>
      <c r="E2257" s="148"/>
      <c r="F2257" s="150" t="s">
        <v>79</v>
      </c>
      <c r="G2257" s="150" t="s">
        <v>79</v>
      </c>
      <c r="H2257" s="151" t="s">
        <v>79</v>
      </c>
      <c r="I2257" s="117">
        <f>SUM(I2258:I2420)</f>
      </c>
      <c r="J2257" s="132" t="s">
        <v>4</v>
      </c>
      <c r="K2257" s="146"/>
      <c r="AI2257" s="132" t="s">
        <v>87</v>
      </c>
      <c r="AS2257" s="117">
        <f>SUM(AJ2258:AJ2420)</f>
      </c>
      <c r="AT2257" s="117">
        <f>SUM(AK2258:AK2420)</f>
      </c>
      <c r="AU2257" s="117">
        <f>SUM(AL2258:AL2420)</f>
      </c>
    </row>
    <row r="2258">
      <c r="A2258" s="9" t="s">
        <v>3446</v>
      </c>
      <c r="B2258" s="10" t="s">
        <v>87</v>
      </c>
      <c r="C2258" s="10" t="s">
        <v>3447</v>
      </c>
      <c r="D2258" s="14" t="s">
        <v>3448</v>
      </c>
      <c r="E2258" s="10"/>
      <c r="F2258" s="10" t="s">
        <v>282</v>
      </c>
      <c r="G2258" s="111" t="n">
        <v>27</v>
      </c>
      <c r="H2258" s="152" t="n">
        <v>0</v>
      </c>
      <c r="I2258" s="111">
        <f>G2258*H2258</f>
      </c>
      <c r="J2258" s="153" t="s">
        <v>134</v>
      </c>
      <c r="K2258" s="146"/>
      <c r="Z2258" s="111">
        <f>IF(AQ2258="5",BJ2258,0)</f>
      </c>
      <c r="AB2258" s="111">
        <f>IF(AQ2258="1",BH2258,0)</f>
      </c>
      <c r="AC2258" s="111">
        <f>IF(AQ2258="1",BI2258,0)</f>
      </c>
      <c r="AD2258" s="111">
        <f>IF(AQ2258="7",BH2258,0)</f>
      </c>
      <c r="AE2258" s="111">
        <f>IF(AQ2258="7",BI2258,0)</f>
      </c>
      <c r="AF2258" s="111">
        <f>IF(AQ2258="2",BH2258,0)</f>
      </c>
      <c r="AG2258" s="111">
        <f>IF(AQ2258="2",BI2258,0)</f>
      </c>
      <c r="AH2258" s="111">
        <f>IF(AQ2258="0",BJ2258,0)</f>
      </c>
      <c r="AI2258" s="132" t="s">
        <v>87</v>
      </c>
      <c r="AJ2258" s="111">
        <f>IF(AN2258=0,I2258,0)</f>
      </c>
      <c r="AK2258" s="111">
        <f>IF(AN2258=12,I2258,0)</f>
      </c>
      <c r="AL2258" s="111">
        <f>IF(AN2258=21,I2258,0)</f>
      </c>
      <c r="AN2258" s="111" t="n">
        <v>21</v>
      </c>
      <c r="AO2258" s="111">
        <f>H2258*0.476426077</f>
      </c>
      <c r="AP2258" s="111">
        <f>H2258*(1-0.476426077)</f>
      </c>
      <c r="AQ2258" s="153" t="s">
        <v>173</v>
      </c>
      <c r="AV2258" s="111">
        <f>AW2258+AX2258</f>
      </c>
      <c r="AW2258" s="111">
        <f>G2258*AO2258</f>
      </c>
      <c r="AX2258" s="111">
        <f>G2258*AP2258</f>
      </c>
      <c r="AY2258" s="153" t="s">
        <v>1949</v>
      </c>
      <c r="AZ2258" s="153" t="s">
        <v>3333</v>
      </c>
      <c r="BA2258" s="132" t="s">
        <v>2990</v>
      </c>
      <c r="BC2258" s="111">
        <f>AW2258+AX2258</f>
      </c>
      <c r="BD2258" s="111">
        <f>H2258/(100-BE2258)*100</f>
      </c>
      <c r="BE2258" s="111" t="n">
        <v>0</v>
      </c>
      <c r="BF2258" s="111">
        <f>2258</f>
      </c>
      <c r="BH2258" s="111">
        <f>G2258*AO2258</f>
      </c>
      <c r="BI2258" s="111">
        <f>G2258*AP2258</f>
      </c>
      <c r="BJ2258" s="111">
        <f>G2258*H2258</f>
      </c>
      <c r="BK2258" s="111"/>
      <c r="BL2258" s="111" t="n">
        <v>722</v>
      </c>
      <c r="BW2258" s="111" t="n">
        <v>21</v>
      </c>
      <c r="BX2258" s="14" t="s">
        <v>3448</v>
      </c>
    </row>
    <row r="2259">
      <c r="A2259" s="154"/>
      <c r="B2259" s="155"/>
      <c r="C2259" s="155"/>
      <c r="D2259" s="156" t="s">
        <v>288</v>
      </c>
      <c r="E2259" s="156" t="s">
        <v>4</v>
      </c>
      <c r="F2259" s="155"/>
      <c r="G2259" s="157" t="n">
        <v>27</v>
      </c>
      <c r="H2259" s="158"/>
      <c r="I2259" s="155"/>
      <c r="J2259" s="155"/>
      <c r="K2259" s="146"/>
    </row>
    <row r="2260">
      <c r="A2260" s="9" t="s">
        <v>3449</v>
      </c>
      <c r="B2260" s="10" t="s">
        <v>87</v>
      </c>
      <c r="C2260" s="10" t="s">
        <v>3450</v>
      </c>
      <c r="D2260" s="14" t="s">
        <v>3451</v>
      </c>
      <c r="E2260" s="10"/>
      <c r="F2260" s="10" t="s">
        <v>282</v>
      </c>
      <c r="G2260" s="111" t="n">
        <v>3</v>
      </c>
      <c r="H2260" s="152" t="n">
        <v>0</v>
      </c>
      <c r="I2260" s="111">
        <f>G2260*H2260</f>
      </c>
      <c r="J2260" s="153" t="s">
        <v>134</v>
      </c>
      <c r="K2260" s="146"/>
      <c r="Z2260" s="111">
        <f>IF(AQ2260="5",BJ2260,0)</f>
      </c>
      <c r="AB2260" s="111">
        <f>IF(AQ2260="1",BH2260,0)</f>
      </c>
      <c r="AC2260" s="111">
        <f>IF(AQ2260="1",BI2260,0)</f>
      </c>
      <c r="AD2260" s="111">
        <f>IF(AQ2260="7",BH2260,0)</f>
      </c>
      <c r="AE2260" s="111">
        <f>IF(AQ2260="7",BI2260,0)</f>
      </c>
      <c r="AF2260" s="111">
        <f>IF(AQ2260="2",BH2260,0)</f>
      </c>
      <c r="AG2260" s="111">
        <f>IF(AQ2260="2",BI2260,0)</f>
      </c>
      <c r="AH2260" s="111">
        <f>IF(AQ2260="0",BJ2260,0)</f>
      </c>
      <c r="AI2260" s="132" t="s">
        <v>87</v>
      </c>
      <c r="AJ2260" s="111">
        <f>IF(AN2260=0,I2260,0)</f>
      </c>
      <c r="AK2260" s="111">
        <f>IF(AN2260=12,I2260,0)</f>
      </c>
      <c r="AL2260" s="111">
        <f>IF(AN2260=21,I2260,0)</f>
      </c>
      <c r="AN2260" s="111" t="n">
        <v>21</v>
      </c>
      <c r="AO2260" s="111">
        <f>H2260*0.546155718</f>
      </c>
      <c r="AP2260" s="111">
        <f>H2260*(1-0.546155718)</f>
      </c>
      <c r="AQ2260" s="153" t="s">
        <v>173</v>
      </c>
      <c r="AV2260" s="111">
        <f>AW2260+AX2260</f>
      </c>
      <c r="AW2260" s="111">
        <f>G2260*AO2260</f>
      </c>
      <c r="AX2260" s="111">
        <f>G2260*AP2260</f>
      </c>
      <c r="AY2260" s="153" t="s">
        <v>1949</v>
      </c>
      <c r="AZ2260" s="153" t="s">
        <v>3333</v>
      </c>
      <c r="BA2260" s="132" t="s">
        <v>2990</v>
      </c>
      <c r="BC2260" s="111">
        <f>AW2260+AX2260</f>
      </c>
      <c r="BD2260" s="111">
        <f>H2260/(100-BE2260)*100</f>
      </c>
      <c r="BE2260" s="111" t="n">
        <v>0</v>
      </c>
      <c r="BF2260" s="111">
        <f>2260</f>
      </c>
      <c r="BH2260" s="111">
        <f>G2260*AO2260</f>
      </c>
      <c r="BI2260" s="111">
        <f>G2260*AP2260</f>
      </c>
      <c r="BJ2260" s="111">
        <f>G2260*H2260</f>
      </c>
      <c r="BK2260" s="111"/>
      <c r="BL2260" s="111" t="n">
        <v>722</v>
      </c>
      <c r="BW2260" s="111" t="n">
        <v>21</v>
      </c>
      <c r="BX2260" s="14" t="s">
        <v>3451</v>
      </c>
    </row>
    <row r="2261">
      <c r="A2261" s="154"/>
      <c r="B2261" s="155"/>
      <c r="C2261" s="155"/>
      <c r="D2261" s="156" t="s">
        <v>138</v>
      </c>
      <c r="E2261" s="156" t="s">
        <v>4</v>
      </c>
      <c r="F2261" s="155"/>
      <c r="G2261" s="157" t="n">
        <v>3</v>
      </c>
      <c r="H2261" s="158"/>
      <c r="I2261" s="155"/>
      <c r="J2261" s="155"/>
      <c r="K2261" s="146"/>
    </row>
    <row r="2262">
      <c r="A2262" s="9" t="s">
        <v>3452</v>
      </c>
      <c r="B2262" s="10" t="s">
        <v>87</v>
      </c>
      <c r="C2262" s="10" t="s">
        <v>3453</v>
      </c>
      <c r="D2262" s="14" t="s">
        <v>3454</v>
      </c>
      <c r="E2262" s="10"/>
      <c r="F2262" s="10" t="s">
        <v>1962</v>
      </c>
      <c r="G2262" s="111" t="n">
        <v>1</v>
      </c>
      <c r="H2262" s="152" t="n">
        <v>0</v>
      </c>
      <c r="I2262" s="111">
        <f>G2262*H2262</f>
      </c>
      <c r="J2262" s="153" t="s">
        <v>134</v>
      </c>
      <c r="K2262" s="146"/>
      <c r="Z2262" s="111">
        <f>IF(AQ2262="5",BJ2262,0)</f>
      </c>
      <c r="AB2262" s="111">
        <f>IF(AQ2262="1",BH2262,0)</f>
      </c>
      <c r="AC2262" s="111">
        <f>IF(AQ2262="1",BI2262,0)</f>
      </c>
      <c r="AD2262" s="111">
        <f>IF(AQ2262="7",BH2262,0)</f>
      </c>
      <c r="AE2262" s="111">
        <f>IF(AQ2262="7",BI2262,0)</f>
      </c>
      <c r="AF2262" s="111">
        <f>IF(AQ2262="2",BH2262,0)</f>
      </c>
      <c r="AG2262" s="111">
        <f>IF(AQ2262="2",BI2262,0)</f>
      </c>
      <c r="AH2262" s="111">
        <f>IF(AQ2262="0",BJ2262,0)</f>
      </c>
      <c r="AI2262" s="132" t="s">
        <v>87</v>
      </c>
      <c r="AJ2262" s="111">
        <f>IF(AN2262=0,I2262,0)</f>
      </c>
      <c r="AK2262" s="111">
        <f>IF(AN2262=12,I2262,0)</f>
      </c>
      <c r="AL2262" s="111">
        <f>IF(AN2262=21,I2262,0)</f>
      </c>
      <c r="AN2262" s="111" t="n">
        <v>21</v>
      </c>
      <c r="AO2262" s="111">
        <f>H2262*0.534862903</f>
      </c>
      <c r="AP2262" s="111">
        <f>H2262*(1-0.534862903)</f>
      </c>
      <c r="AQ2262" s="153" t="s">
        <v>173</v>
      </c>
      <c r="AV2262" s="111">
        <f>AW2262+AX2262</f>
      </c>
      <c r="AW2262" s="111">
        <f>G2262*AO2262</f>
      </c>
      <c r="AX2262" s="111">
        <f>G2262*AP2262</f>
      </c>
      <c r="AY2262" s="153" t="s">
        <v>1949</v>
      </c>
      <c r="AZ2262" s="153" t="s">
        <v>3333</v>
      </c>
      <c r="BA2262" s="132" t="s">
        <v>2990</v>
      </c>
      <c r="BC2262" s="111">
        <f>AW2262+AX2262</f>
      </c>
      <c r="BD2262" s="111">
        <f>H2262/(100-BE2262)*100</f>
      </c>
      <c r="BE2262" s="111" t="n">
        <v>0</v>
      </c>
      <c r="BF2262" s="111">
        <f>2262</f>
      </c>
      <c r="BH2262" s="111">
        <f>G2262*AO2262</f>
      </c>
      <c r="BI2262" s="111">
        <f>G2262*AP2262</f>
      </c>
      <c r="BJ2262" s="111">
        <f>G2262*H2262</f>
      </c>
      <c r="BK2262" s="111"/>
      <c r="BL2262" s="111" t="n">
        <v>722</v>
      </c>
      <c r="BW2262" s="111" t="n">
        <v>21</v>
      </c>
      <c r="BX2262" s="14" t="s">
        <v>3454</v>
      </c>
    </row>
    <row r="2263">
      <c r="A2263" s="154"/>
      <c r="B2263" s="155"/>
      <c r="C2263" s="155"/>
      <c r="D2263" s="156" t="s">
        <v>130</v>
      </c>
      <c r="E2263" s="156" t="s">
        <v>3455</v>
      </c>
      <c r="F2263" s="155"/>
      <c r="G2263" s="157" t="n">
        <v>1</v>
      </c>
      <c r="H2263" s="158"/>
      <c r="I2263" s="155"/>
      <c r="J2263" s="155"/>
      <c r="K2263" s="146"/>
    </row>
    <row r="2264">
      <c r="A2264" s="9" t="s">
        <v>3456</v>
      </c>
      <c r="B2264" s="10" t="s">
        <v>87</v>
      </c>
      <c r="C2264" s="10" t="s">
        <v>3457</v>
      </c>
      <c r="D2264" s="14" t="s">
        <v>3458</v>
      </c>
      <c r="E2264" s="10"/>
      <c r="F2264" s="10" t="s">
        <v>133</v>
      </c>
      <c r="G2264" s="111" t="n">
        <v>2</v>
      </c>
      <c r="H2264" s="152" t="n">
        <v>0</v>
      </c>
      <c r="I2264" s="111">
        <f>G2264*H2264</f>
      </c>
      <c r="J2264" s="153" t="s">
        <v>134</v>
      </c>
      <c r="K2264" s="146"/>
      <c r="Z2264" s="111">
        <f>IF(AQ2264="5",BJ2264,0)</f>
      </c>
      <c r="AB2264" s="111">
        <f>IF(AQ2264="1",BH2264,0)</f>
      </c>
      <c r="AC2264" s="111">
        <f>IF(AQ2264="1",BI2264,0)</f>
      </c>
      <c r="AD2264" s="111">
        <f>IF(AQ2264="7",BH2264,0)</f>
      </c>
      <c r="AE2264" s="111">
        <f>IF(AQ2264="7",BI2264,0)</f>
      </c>
      <c r="AF2264" s="111">
        <f>IF(AQ2264="2",BH2264,0)</f>
      </c>
      <c r="AG2264" s="111">
        <f>IF(AQ2264="2",BI2264,0)</f>
      </c>
      <c r="AH2264" s="111">
        <f>IF(AQ2264="0",BJ2264,0)</f>
      </c>
      <c r="AI2264" s="132" t="s">
        <v>87</v>
      </c>
      <c r="AJ2264" s="111">
        <f>IF(AN2264=0,I2264,0)</f>
      </c>
      <c r="AK2264" s="111">
        <f>IF(AN2264=12,I2264,0)</f>
      </c>
      <c r="AL2264" s="111">
        <f>IF(AN2264=21,I2264,0)</f>
      </c>
      <c r="AN2264" s="111" t="n">
        <v>21</v>
      </c>
      <c r="AO2264" s="111">
        <f>H2264*0.721435794</f>
      </c>
      <c r="AP2264" s="111">
        <f>H2264*(1-0.721435794)</f>
      </c>
      <c r="AQ2264" s="153" t="s">
        <v>173</v>
      </c>
      <c r="AV2264" s="111">
        <f>AW2264+AX2264</f>
      </c>
      <c r="AW2264" s="111">
        <f>G2264*AO2264</f>
      </c>
      <c r="AX2264" s="111">
        <f>G2264*AP2264</f>
      </c>
      <c r="AY2264" s="153" t="s">
        <v>1949</v>
      </c>
      <c r="AZ2264" s="153" t="s">
        <v>3333</v>
      </c>
      <c r="BA2264" s="132" t="s">
        <v>2990</v>
      </c>
      <c r="BC2264" s="111">
        <f>AW2264+AX2264</f>
      </c>
      <c r="BD2264" s="111">
        <f>H2264/(100-BE2264)*100</f>
      </c>
      <c r="BE2264" s="111" t="n">
        <v>0</v>
      </c>
      <c r="BF2264" s="111">
        <f>2264</f>
      </c>
      <c r="BH2264" s="111">
        <f>G2264*AO2264</f>
      </c>
      <c r="BI2264" s="111">
        <f>G2264*AP2264</f>
      </c>
      <c r="BJ2264" s="111">
        <f>G2264*H2264</f>
      </c>
      <c r="BK2264" s="111"/>
      <c r="BL2264" s="111" t="n">
        <v>722</v>
      </c>
      <c r="BW2264" s="111" t="n">
        <v>21</v>
      </c>
      <c r="BX2264" s="14" t="s">
        <v>3458</v>
      </c>
    </row>
    <row r="2265">
      <c r="A2265" s="154"/>
      <c r="B2265" s="155"/>
      <c r="C2265" s="155"/>
      <c r="D2265" s="156" t="s">
        <v>513</v>
      </c>
      <c r="E2265" s="156" t="s">
        <v>3459</v>
      </c>
      <c r="F2265" s="155"/>
      <c r="G2265" s="157" t="n">
        <v>2</v>
      </c>
      <c r="H2265" s="158"/>
      <c r="I2265" s="155"/>
      <c r="J2265" s="155"/>
      <c r="K2265" s="146"/>
    </row>
    <row r="2266">
      <c r="A2266" s="9" t="s">
        <v>3460</v>
      </c>
      <c r="B2266" s="10" t="s">
        <v>87</v>
      </c>
      <c r="C2266" s="10" t="s">
        <v>3461</v>
      </c>
      <c r="D2266" s="14" t="s">
        <v>3462</v>
      </c>
      <c r="E2266" s="10"/>
      <c r="F2266" s="10" t="s">
        <v>282</v>
      </c>
      <c r="G2266" s="111" t="n">
        <v>100</v>
      </c>
      <c r="H2266" s="152" t="n">
        <v>0</v>
      </c>
      <c r="I2266" s="111">
        <f>G2266*H2266</f>
      </c>
      <c r="J2266" s="153" t="s">
        <v>134</v>
      </c>
      <c r="K2266" s="146"/>
      <c r="Z2266" s="111">
        <f>IF(AQ2266="5",BJ2266,0)</f>
      </c>
      <c r="AB2266" s="111">
        <f>IF(AQ2266="1",BH2266,0)</f>
      </c>
      <c r="AC2266" s="111">
        <f>IF(AQ2266="1",BI2266,0)</f>
      </c>
      <c r="AD2266" s="111">
        <f>IF(AQ2266="7",BH2266,0)</f>
      </c>
      <c r="AE2266" s="111">
        <f>IF(AQ2266="7",BI2266,0)</f>
      </c>
      <c r="AF2266" s="111">
        <f>IF(AQ2266="2",BH2266,0)</f>
      </c>
      <c r="AG2266" s="111">
        <f>IF(AQ2266="2",BI2266,0)</f>
      </c>
      <c r="AH2266" s="111">
        <f>IF(AQ2266="0",BJ2266,0)</f>
      </c>
      <c r="AI2266" s="132" t="s">
        <v>87</v>
      </c>
      <c r="AJ2266" s="111">
        <f>IF(AN2266=0,I2266,0)</f>
      </c>
      <c r="AK2266" s="111">
        <f>IF(AN2266=12,I2266,0)</f>
      </c>
      <c r="AL2266" s="111">
        <f>IF(AN2266=21,I2266,0)</f>
      </c>
      <c r="AN2266" s="111" t="n">
        <v>21</v>
      </c>
      <c r="AO2266" s="111">
        <f>H2266*0.699814815</f>
      </c>
      <c r="AP2266" s="111">
        <f>H2266*(1-0.699814815)</f>
      </c>
      <c r="AQ2266" s="153" t="s">
        <v>173</v>
      </c>
      <c r="AV2266" s="111">
        <f>AW2266+AX2266</f>
      </c>
      <c r="AW2266" s="111">
        <f>G2266*AO2266</f>
      </c>
      <c r="AX2266" s="111">
        <f>G2266*AP2266</f>
      </c>
      <c r="AY2266" s="153" t="s">
        <v>1949</v>
      </c>
      <c r="AZ2266" s="153" t="s">
        <v>3333</v>
      </c>
      <c r="BA2266" s="132" t="s">
        <v>2990</v>
      </c>
      <c r="BC2266" s="111">
        <f>AW2266+AX2266</f>
      </c>
      <c r="BD2266" s="111">
        <f>H2266/(100-BE2266)*100</f>
      </c>
      <c r="BE2266" s="111" t="n">
        <v>0</v>
      </c>
      <c r="BF2266" s="111">
        <f>2266</f>
      </c>
      <c r="BH2266" s="111">
        <f>G2266*AO2266</f>
      </c>
      <c r="BI2266" s="111">
        <f>G2266*AP2266</f>
      </c>
      <c r="BJ2266" s="111">
        <f>G2266*H2266</f>
      </c>
      <c r="BK2266" s="111"/>
      <c r="BL2266" s="111" t="n">
        <v>722</v>
      </c>
      <c r="BW2266" s="111" t="n">
        <v>21</v>
      </c>
      <c r="BX2266" s="14" t="s">
        <v>3462</v>
      </c>
    </row>
    <row r="2267" customHeight="true" ht="13.5">
      <c r="A2267" s="159"/>
      <c r="C2267" s="160" t="s">
        <v>146</v>
      </c>
      <c r="D2267" s="161" t="s">
        <v>3463</v>
      </c>
      <c r="E2267" s="156"/>
      <c r="F2267" s="156"/>
      <c r="G2267" s="156"/>
      <c r="H2267" s="162"/>
      <c r="I2267" s="156"/>
      <c r="J2267" s="156"/>
      <c r="K2267" s="163"/>
    </row>
    <row r="2268">
      <c r="A2268" s="154"/>
      <c r="B2268" s="155"/>
      <c r="C2268" s="155"/>
      <c r="D2268" s="156" t="s">
        <v>3464</v>
      </c>
      <c r="E2268" s="156" t="s">
        <v>4</v>
      </c>
      <c r="F2268" s="155"/>
      <c r="G2268" s="157" t="n">
        <v>100</v>
      </c>
      <c r="H2268" s="158"/>
      <c r="I2268" s="155"/>
      <c r="J2268" s="155"/>
      <c r="K2268" s="146"/>
    </row>
    <row r="2269">
      <c r="A2269" s="9" t="s">
        <v>3465</v>
      </c>
      <c r="B2269" s="10" t="s">
        <v>87</v>
      </c>
      <c r="C2269" s="10" t="s">
        <v>3466</v>
      </c>
      <c r="D2269" s="14" t="s">
        <v>3467</v>
      </c>
      <c r="E2269" s="10"/>
      <c r="F2269" s="10" t="s">
        <v>282</v>
      </c>
      <c r="G2269" s="111" t="n">
        <v>81</v>
      </c>
      <c r="H2269" s="152" t="n">
        <v>0</v>
      </c>
      <c r="I2269" s="111">
        <f>G2269*H2269</f>
      </c>
      <c r="J2269" s="153" t="s">
        <v>134</v>
      </c>
      <c r="K2269" s="146"/>
      <c r="Z2269" s="111">
        <f>IF(AQ2269="5",BJ2269,0)</f>
      </c>
      <c r="AB2269" s="111">
        <f>IF(AQ2269="1",BH2269,0)</f>
      </c>
      <c r="AC2269" s="111">
        <f>IF(AQ2269="1",BI2269,0)</f>
      </c>
      <c r="AD2269" s="111">
        <f>IF(AQ2269="7",BH2269,0)</f>
      </c>
      <c r="AE2269" s="111">
        <f>IF(AQ2269="7",BI2269,0)</f>
      </c>
      <c r="AF2269" s="111">
        <f>IF(AQ2269="2",BH2269,0)</f>
      </c>
      <c r="AG2269" s="111">
        <f>IF(AQ2269="2",BI2269,0)</f>
      </c>
      <c r="AH2269" s="111">
        <f>IF(AQ2269="0",BJ2269,0)</f>
      </c>
      <c r="AI2269" s="132" t="s">
        <v>87</v>
      </c>
      <c r="AJ2269" s="111">
        <f>IF(AN2269=0,I2269,0)</f>
      </c>
      <c r="AK2269" s="111">
        <f>IF(AN2269=12,I2269,0)</f>
      </c>
      <c r="AL2269" s="111">
        <f>IF(AN2269=21,I2269,0)</f>
      </c>
      <c r="AN2269" s="111" t="n">
        <v>21</v>
      </c>
      <c r="AO2269" s="111">
        <f>H2269*0.755511921</f>
      </c>
      <c r="AP2269" s="111">
        <f>H2269*(1-0.755511921)</f>
      </c>
      <c r="AQ2269" s="153" t="s">
        <v>173</v>
      </c>
      <c r="AV2269" s="111">
        <f>AW2269+AX2269</f>
      </c>
      <c r="AW2269" s="111">
        <f>G2269*AO2269</f>
      </c>
      <c r="AX2269" s="111">
        <f>G2269*AP2269</f>
      </c>
      <c r="AY2269" s="153" t="s">
        <v>1949</v>
      </c>
      <c r="AZ2269" s="153" t="s">
        <v>3333</v>
      </c>
      <c r="BA2269" s="132" t="s">
        <v>2990</v>
      </c>
      <c r="BC2269" s="111">
        <f>AW2269+AX2269</f>
      </c>
      <c r="BD2269" s="111">
        <f>H2269/(100-BE2269)*100</f>
      </c>
      <c r="BE2269" s="111" t="n">
        <v>0</v>
      </c>
      <c r="BF2269" s="111">
        <f>2269</f>
      </c>
      <c r="BH2269" s="111">
        <f>G2269*AO2269</f>
      </c>
      <c r="BI2269" s="111">
        <f>G2269*AP2269</f>
      </c>
      <c r="BJ2269" s="111">
        <f>G2269*H2269</f>
      </c>
      <c r="BK2269" s="111"/>
      <c r="BL2269" s="111" t="n">
        <v>722</v>
      </c>
      <c r="BW2269" s="111" t="n">
        <v>21</v>
      </c>
      <c r="BX2269" s="14" t="s">
        <v>3467</v>
      </c>
    </row>
    <row r="2270" customHeight="true" ht="13.5">
      <c r="A2270" s="159"/>
      <c r="C2270" s="160" t="s">
        <v>146</v>
      </c>
      <c r="D2270" s="161" t="s">
        <v>3463</v>
      </c>
      <c r="E2270" s="156"/>
      <c r="F2270" s="156"/>
      <c r="G2270" s="156"/>
      <c r="H2270" s="162"/>
      <c r="I2270" s="156"/>
      <c r="J2270" s="156"/>
      <c r="K2270" s="163"/>
    </row>
    <row r="2271">
      <c r="A2271" s="154"/>
      <c r="B2271" s="155"/>
      <c r="C2271" s="155"/>
      <c r="D2271" s="156" t="s">
        <v>3468</v>
      </c>
      <c r="E2271" s="156" t="s">
        <v>4</v>
      </c>
      <c r="F2271" s="155"/>
      <c r="G2271" s="157" t="n">
        <v>81</v>
      </c>
      <c r="H2271" s="158"/>
      <c r="I2271" s="155"/>
      <c r="J2271" s="155"/>
      <c r="K2271" s="146"/>
    </row>
    <row r="2272">
      <c r="A2272" s="9" t="s">
        <v>3469</v>
      </c>
      <c r="B2272" s="10" t="s">
        <v>87</v>
      </c>
      <c r="C2272" s="10" t="s">
        <v>3470</v>
      </c>
      <c r="D2272" s="14" t="s">
        <v>3471</v>
      </c>
      <c r="E2272" s="10"/>
      <c r="F2272" s="10" t="s">
        <v>282</v>
      </c>
      <c r="G2272" s="111" t="n">
        <v>67</v>
      </c>
      <c r="H2272" s="152" t="n">
        <v>0</v>
      </c>
      <c r="I2272" s="111">
        <f>G2272*H2272</f>
      </c>
      <c r="J2272" s="153" t="s">
        <v>134</v>
      </c>
      <c r="K2272" s="146"/>
      <c r="Z2272" s="111">
        <f>IF(AQ2272="5",BJ2272,0)</f>
      </c>
      <c r="AB2272" s="111">
        <f>IF(AQ2272="1",BH2272,0)</f>
      </c>
      <c r="AC2272" s="111">
        <f>IF(AQ2272="1",BI2272,0)</f>
      </c>
      <c r="AD2272" s="111">
        <f>IF(AQ2272="7",BH2272,0)</f>
      </c>
      <c r="AE2272" s="111">
        <f>IF(AQ2272="7",BI2272,0)</f>
      </c>
      <c r="AF2272" s="111">
        <f>IF(AQ2272="2",BH2272,0)</f>
      </c>
      <c r="AG2272" s="111">
        <f>IF(AQ2272="2",BI2272,0)</f>
      </c>
      <c r="AH2272" s="111">
        <f>IF(AQ2272="0",BJ2272,0)</f>
      </c>
      <c r="AI2272" s="132" t="s">
        <v>87</v>
      </c>
      <c r="AJ2272" s="111">
        <f>IF(AN2272=0,I2272,0)</f>
      </c>
      <c r="AK2272" s="111">
        <f>IF(AN2272=12,I2272,0)</f>
      </c>
      <c r="AL2272" s="111">
        <f>IF(AN2272=21,I2272,0)</f>
      </c>
      <c r="AN2272" s="111" t="n">
        <v>21</v>
      </c>
      <c r="AO2272" s="111">
        <f>H2272*0.784810912</f>
      </c>
      <c r="AP2272" s="111">
        <f>H2272*(1-0.784810912)</f>
      </c>
      <c r="AQ2272" s="153" t="s">
        <v>173</v>
      </c>
      <c r="AV2272" s="111">
        <f>AW2272+AX2272</f>
      </c>
      <c r="AW2272" s="111">
        <f>G2272*AO2272</f>
      </c>
      <c r="AX2272" s="111">
        <f>G2272*AP2272</f>
      </c>
      <c r="AY2272" s="153" t="s">
        <v>1949</v>
      </c>
      <c r="AZ2272" s="153" t="s">
        <v>3333</v>
      </c>
      <c r="BA2272" s="132" t="s">
        <v>2990</v>
      </c>
      <c r="BC2272" s="111">
        <f>AW2272+AX2272</f>
      </c>
      <c r="BD2272" s="111">
        <f>H2272/(100-BE2272)*100</f>
      </c>
      <c r="BE2272" s="111" t="n">
        <v>0</v>
      </c>
      <c r="BF2272" s="111">
        <f>2272</f>
      </c>
      <c r="BH2272" s="111">
        <f>G2272*AO2272</f>
      </c>
      <c r="BI2272" s="111">
        <f>G2272*AP2272</f>
      </c>
      <c r="BJ2272" s="111">
        <f>G2272*H2272</f>
      </c>
      <c r="BK2272" s="111"/>
      <c r="BL2272" s="111" t="n">
        <v>722</v>
      </c>
      <c r="BW2272" s="111" t="n">
        <v>21</v>
      </c>
      <c r="BX2272" s="14" t="s">
        <v>3471</v>
      </c>
    </row>
    <row r="2273" customHeight="true" ht="13.5">
      <c r="A2273" s="159"/>
      <c r="C2273" s="160" t="s">
        <v>146</v>
      </c>
      <c r="D2273" s="161" t="s">
        <v>3463</v>
      </c>
      <c r="E2273" s="156"/>
      <c r="F2273" s="156"/>
      <c r="G2273" s="156"/>
      <c r="H2273" s="162"/>
      <c r="I2273" s="156"/>
      <c r="J2273" s="156"/>
      <c r="K2273" s="163"/>
    </row>
    <row r="2274">
      <c r="A2274" s="154"/>
      <c r="B2274" s="155"/>
      <c r="C2274" s="155"/>
      <c r="D2274" s="156" t="s">
        <v>3472</v>
      </c>
      <c r="E2274" s="156" t="s">
        <v>4</v>
      </c>
      <c r="F2274" s="155"/>
      <c r="G2274" s="157" t="n">
        <v>67</v>
      </c>
      <c r="H2274" s="158"/>
      <c r="I2274" s="155"/>
      <c r="J2274" s="155"/>
      <c r="K2274" s="146"/>
    </row>
    <row r="2275">
      <c r="A2275" s="9" t="s">
        <v>3473</v>
      </c>
      <c r="B2275" s="10" t="s">
        <v>87</v>
      </c>
      <c r="C2275" s="10" t="s">
        <v>3474</v>
      </c>
      <c r="D2275" s="14" t="s">
        <v>3475</v>
      </c>
      <c r="E2275" s="10"/>
      <c r="F2275" s="10" t="s">
        <v>282</v>
      </c>
      <c r="G2275" s="111" t="n">
        <v>23</v>
      </c>
      <c r="H2275" s="152" t="n">
        <v>0</v>
      </c>
      <c r="I2275" s="111">
        <f>G2275*H2275</f>
      </c>
      <c r="J2275" s="153" t="s">
        <v>134</v>
      </c>
      <c r="K2275" s="146"/>
      <c r="Z2275" s="111">
        <f>IF(AQ2275="5",BJ2275,0)</f>
      </c>
      <c r="AB2275" s="111">
        <f>IF(AQ2275="1",BH2275,0)</f>
      </c>
      <c r="AC2275" s="111">
        <f>IF(AQ2275="1",BI2275,0)</f>
      </c>
      <c r="AD2275" s="111">
        <f>IF(AQ2275="7",BH2275,0)</f>
      </c>
      <c r="AE2275" s="111">
        <f>IF(AQ2275="7",BI2275,0)</f>
      </c>
      <c r="AF2275" s="111">
        <f>IF(AQ2275="2",BH2275,0)</f>
      </c>
      <c r="AG2275" s="111">
        <f>IF(AQ2275="2",BI2275,0)</f>
      </c>
      <c r="AH2275" s="111">
        <f>IF(AQ2275="0",BJ2275,0)</f>
      </c>
      <c r="AI2275" s="132" t="s">
        <v>87</v>
      </c>
      <c r="AJ2275" s="111">
        <f>IF(AN2275=0,I2275,0)</f>
      </c>
      <c r="AK2275" s="111">
        <f>IF(AN2275=12,I2275,0)</f>
      </c>
      <c r="AL2275" s="111">
        <f>IF(AN2275=21,I2275,0)</f>
      </c>
      <c r="AN2275" s="111" t="n">
        <v>21</v>
      </c>
      <c r="AO2275" s="111">
        <f>H2275*0.83902965</f>
      </c>
      <c r="AP2275" s="111">
        <f>H2275*(1-0.83902965)</f>
      </c>
      <c r="AQ2275" s="153" t="s">
        <v>173</v>
      </c>
      <c r="AV2275" s="111">
        <f>AW2275+AX2275</f>
      </c>
      <c r="AW2275" s="111">
        <f>G2275*AO2275</f>
      </c>
      <c r="AX2275" s="111">
        <f>G2275*AP2275</f>
      </c>
      <c r="AY2275" s="153" t="s">
        <v>1949</v>
      </c>
      <c r="AZ2275" s="153" t="s">
        <v>3333</v>
      </c>
      <c r="BA2275" s="132" t="s">
        <v>2990</v>
      </c>
      <c r="BC2275" s="111">
        <f>AW2275+AX2275</f>
      </c>
      <c r="BD2275" s="111">
        <f>H2275/(100-BE2275)*100</f>
      </c>
      <c r="BE2275" s="111" t="n">
        <v>0</v>
      </c>
      <c r="BF2275" s="111">
        <f>2275</f>
      </c>
      <c r="BH2275" s="111">
        <f>G2275*AO2275</f>
      </c>
      <c r="BI2275" s="111">
        <f>G2275*AP2275</f>
      </c>
      <c r="BJ2275" s="111">
        <f>G2275*H2275</f>
      </c>
      <c r="BK2275" s="111"/>
      <c r="BL2275" s="111" t="n">
        <v>722</v>
      </c>
      <c r="BW2275" s="111" t="n">
        <v>21</v>
      </c>
      <c r="BX2275" s="14" t="s">
        <v>3475</v>
      </c>
    </row>
    <row r="2276" customHeight="true" ht="13.5">
      <c r="A2276" s="159"/>
      <c r="C2276" s="160" t="s">
        <v>146</v>
      </c>
      <c r="D2276" s="161" t="s">
        <v>3463</v>
      </c>
      <c r="E2276" s="156"/>
      <c r="F2276" s="156"/>
      <c r="G2276" s="156"/>
      <c r="H2276" s="162"/>
      <c r="I2276" s="156"/>
      <c r="J2276" s="156"/>
      <c r="K2276" s="163"/>
    </row>
    <row r="2277">
      <c r="A2277" s="154"/>
      <c r="B2277" s="155"/>
      <c r="C2277" s="155"/>
      <c r="D2277" s="156" t="s">
        <v>3476</v>
      </c>
      <c r="E2277" s="156" t="s">
        <v>4</v>
      </c>
      <c r="F2277" s="155"/>
      <c r="G2277" s="157" t="n">
        <v>23</v>
      </c>
      <c r="H2277" s="158"/>
      <c r="I2277" s="155"/>
      <c r="J2277" s="155"/>
      <c r="K2277" s="146"/>
    </row>
    <row r="2278">
      <c r="A2278" s="9" t="s">
        <v>3477</v>
      </c>
      <c r="B2278" s="10" t="s">
        <v>87</v>
      </c>
      <c r="C2278" s="10" t="s">
        <v>3478</v>
      </c>
      <c r="D2278" s="14" t="s">
        <v>3479</v>
      </c>
      <c r="E2278" s="10"/>
      <c r="F2278" s="10" t="s">
        <v>282</v>
      </c>
      <c r="G2278" s="111" t="n">
        <v>88</v>
      </c>
      <c r="H2278" s="152" t="n">
        <v>0</v>
      </c>
      <c r="I2278" s="111">
        <f>G2278*H2278</f>
      </c>
      <c r="J2278" s="153" t="s">
        <v>134</v>
      </c>
      <c r="K2278" s="146"/>
      <c r="Z2278" s="111">
        <f>IF(AQ2278="5",BJ2278,0)</f>
      </c>
      <c r="AB2278" s="111">
        <f>IF(AQ2278="1",BH2278,0)</f>
      </c>
      <c r="AC2278" s="111">
        <f>IF(AQ2278="1",BI2278,0)</f>
      </c>
      <c r="AD2278" s="111">
        <f>IF(AQ2278="7",BH2278,0)</f>
      </c>
      <c r="AE2278" s="111">
        <f>IF(AQ2278="7",BI2278,0)</f>
      </c>
      <c r="AF2278" s="111">
        <f>IF(AQ2278="2",BH2278,0)</f>
      </c>
      <c r="AG2278" s="111">
        <f>IF(AQ2278="2",BI2278,0)</f>
      </c>
      <c r="AH2278" s="111">
        <f>IF(AQ2278="0",BJ2278,0)</f>
      </c>
      <c r="AI2278" s="132" t="s">
        <v>87</v>
      </c>
      <c r="AJ2278" s="111">
        <f>IF(AN2278=0,I2278,0)</f>
      </c>
      <c r="AK2278" s="111">
        <f>IF(AN2278=12,I2278,0)</f>
      </c>
      <c r="AL2278" s="111">
        <f>IF(AN2278=21,I2278,0)</f>
      </c>
      <c r="AN2278" s="111" t="n">
        <v>21</v>
      </c>
      <c r="AO2278" s="111">
        <f>H2278*0.843212996</f>
      </c>
      <c r="AP2278" s="111">
        <f>H2278*(1-0.843212996)</f>
      </c>
      <c r="AQ2278" s="153" t="s">
        <v>173</v>
      </c>
      <c r="AV2278" s="111">
        <f>AW2278+AX2278</f>
      </c>
      <c r="AW2278" s="111">
        <f>G2278*AO2278</f>
      </c>
      <c r="AX2278" s="111">
        <f>G2278*AP2278</f>
      </c>
      <c r="AY2278" s="153" t="s">
        <v>1949</v>
      </c>
      <c r="AZ2278" s="153" t="s">
        <v>3333</v>
      </c>
      <c r="BA2278" s="132" t="s">
        <v>2990</v>
      </c>
      <c r="BC2278" s="111">
        <f>AW2278+AX2278</f>
      </c>
      <c r="BD2278" s="111">
        <f>H2278/(100-BE2278)*100</f>
      </c>
      <c r="BE2278" s="111" t="n">
        <v>0</v>
      </c>
      <c r="BF2278" s="111">
        <f>2278</f>
      </c>
      <c r="BH2278" s="111">
        <f>G2278*AO2278</f>
      </c>
      <c r="BI2278" s="111">
        <f>G2278*AP2278</f>
      </c>
      <c r="BJ2278" s="111">
        <f>G2278*H2278</f>
      </c>
      <c r="BK2278" s="111"/>
      <c r="BL2278" s="111" t="n">
        <v>722</v>
      </c>
      <c r="BW2278" s="111" t="n">
        <v>21</v>
      </c>
      <c r="BX2278" s="14" t="s">
        <v>3479</v>
      </c>
    </row>
    <row r="2279" customHeight="true" ht="13.5">
      <c r="A2279" s="159"/>
      <c r="C2279" s="160" t="s">
        <v>146</v>
      </c>
      <c r="D2279" s="161" t="s">
        <v>3463</v>
      </c>
      <c r="E2279" s="156"/>
      <c r="F2279" s="156"/>
      <c r="G2279" s="156"/>
      <c r="H2279" s="162"/>
      <c r="I2279" s="156"/>
      <c r="J2279" s="156"/>
      <c r="K2279" s="163"/>
    </row>
    <row r="2280">
      <c r="A2280" s="154"/>
      <c r="B2280" s="155"/>
      <c r="C2280" s="155"/>
      <c r="D2280" s="156" t="s">
        <v>3480</v>
      </c>
      <c r="E2280" s="156" t="s">
        <v>4</v>
      </c>
      <c r="F2280" s="155"/>
      <c r="G2280" s="157" t="n">
        <v>88</v>
      </c>
      <c r="H2280" s="158"/>
      <c r="I2280" s="155"/>
      <c r="J2280" s="155"/>
      <c r="K2280" s="146"/>
    </row>
    <row r="2281">
      <c r="A2281" s="9" t="s">
        <v>3481</v>
      </c>
      <c r="B2281" s="10" t="s">
        <v>87</v>
      </c>
      <c r="C2281" s="10" t="s">
        <v>3482</v>
      </c>
      <c r="D2281" s="14" t="s">
        <v>3483</v>
      </c>
      <c r="E2281" s="10"/>
      <c r="F2281" s="10" t="s">
        <v>282</v>
      </c>
      <c r="G2281" s="111" t="n">
        <v>5</v>
      </c>
      <c r="H2281" s="152" t="n">
        <v>0</v>
      </c>
      <c r="I2281" s="111">
        <f>G2281*H2281</f>
      </c>
      <c r="J2281" s="153" t="s">
        <v>134</v>
      </c>
      <c r="K2281" s="146"/>
      <c r="Z2281" s="111">
        <f>IF(AQ2281="5",BJ2281,0)</f>
      </c>
      <c r="AB2281" s="111">
        <f>IF(AQ2281="1",BH2281,0)</f>
      </c>
      <c r="AC2281" s="111">
        <f>IF(AQ2281="1",BI2281,0)</f>
      </c>
      <c r="AD2281" s="111">
        <f>IF(AQ2281="7",BH2281,0)</f>
      </c>
      <c r="AE2281" s="111">
        <f>IF(AQ2281="7",BI2281,0)</f>
      </c>
      <c r="AF2281" s="111">
        <f>IF(AQ2281="2",BH2281,0)</f>
      </c>
      <c r="AG2281" s="111">
        <f>IF(AQ2281="2",BI2281,0)</f>
      </c>
      <c r="AH2281" s="111">
        <f>IF(AQ2281="0",BJ2281,0)</f>
      </c>
      <c r="AI2281" s="132" t="s">
        <v>87</v>
      </c>
      <c r="AJ2281" s="111">
        <f>IF(AN2281=0,I2281,0)</f>
      </c>
      <c r="AK2281" s="111">
        <f>IF(AN2281=12,I2281,0)</f>
      </c>
      <c r="AL2281" s="111">
        <f>IF(AN2281=21,I2281,0)</f>
      </c>
      <c r="AN2281" s="111" t="n">
        <v>21</v>
      </c>
      <c r="AO2281" s="111">
        <f>H2281*0.877932432</f>
      </c>
      <c r="AP2281" s="111">
        <f>H2281*(1-0.877932432)</f>
      </c>
      <c r="AQ2281" s="153" t="s">
        <v>173</v>
      </c>
      <c r="AV2281" s="111">
        <f>AW2281+AX2281</f>
      </c>
      <c r="AW2281" s="111">
        <f>G2281*AO2281</f>
      </c>
      <c r="AX2281" s="111">
        <f>G2281*AP2281</f>
      </c>
      <c r="AY2281" s="153" t="s">
        <v>1949</v>
      </c>
      <c r="AZ2281" s="153" t="s">
        <v>3333</v>
      </c>
      <c r="BA2281" s="132" t="s">
        <v>2990</v>
      </c>
      <c r="BC2281" s="111">
        <f>AW2281+AX2281</f>
      </c>
      <c r="BD2281" s="111">
        <f>H2281/(100-BE2281)*100</f>
      </c>
      <c r="BE2281" s="111" t="n">
        <v>0</v>
      </c>
      <c r="BF2281" s="111">
        <f>2281</f>
      </c>
      <c r="BH2281" s="111">
        <f>G2281*AO2281</f>
      </c>
      <c r="BI2281" s="111">
        <f>G2281*AP2281</f>
      </c>
      <c r="BJ2281" s="111">
        <f>G2281*H2281</f>
      </c>
      <c r="BK2281" s="111"/>
      <c r="BL2281" s="111" t="n">
        <v>722</v>
      </c>
      <c r="BW2281" s="111" t="n">
        <v>21</v>
      </c>
      <c r="BX2281" s="14" t="s">
        <v>3483</v>
      </c>
    </row>
    <row r="2282" customHeight="true" ht="13.5">
      <c r="A2282" s="159"/>
      <c r="C2282" s="160" t="s">
        <v>146</v>
      </c>
      <c r="D2282" s="161" t="s">
        <v>3463</v>
      </c>
      <c r="E2282" s="156"/>
      <c r="F2282" s="156"/>
      <c r="G2282" s="156"/>
      <c r="H2282" s="162"/>
      <c r="I2282" s="156"/>
      <c r="J2282" s="156"/>
      <c r="K2282" s="163"/>
    </row>
    <row r="2283">
      <c r="A2283" s="154"/>
      <c r="B2283" s="155"/>
      <c r="C2283" s="155"/>
      <c r="D2283" s="156" t="s">
        <v>156</v>
      </c>
      <c r="E2283" s="156" t="s">
        <v>4</v>
      </c>
      <c r="F2283" s="155"/>
      <c r="G2283" s="157" t="n">
        <v>5</v>
      </c>
      <c r="H2283" s="158"/>
      <c r="I2283" s="155"/>
      <c r="J2283" s="155"/>
      <c r="K2283" s="146"/>
    </row>
    <row r="2284">
      <c r="A2284" s="9" t="s">
        <v>3484</v>
      </c>
      <c r="B2284" s="10" t="s">
        <v>87</v>
      </c>
      <c r="C2284" s="10" t="s">
        <v>3485</v>
      </c>
      <c r="D2284" s="14" t="s">
        <v>3486</v>
      </c>
      <c r="E2284" s="10"/>
      <c r="F2284" s="10" t="s">
        <v>282</v>
      </c>
      <c r="G2284" s="111" t="n">
        <v>30</v>
      </c>
      <c r="H2284" s="152" t="n">
        <v>0</v>
      </c>
      <c r="I2284" s="111">
        <f>G2284*H2284</f>
      </c>
      <c r="J2284" s="153" t="s">
        <v>134</v>
      </c>
      <c r="K2284" s="146"/>
      <c r="Z2284" s="111">
        <f>IF(AQ2284="5",BJ2284,0)</f>
      </c>
      <c r="AB2284" s="111">
        <f>IF(AQ2284="1",BH2284,0)</f>
      </c>
      <c r="AC2284" s="111">
        <f>IF(AQ2284="1",BI2284,0)</f>
      </c>
      <c r="AD2284" s="111">
        <f>IF(AQ2284="7",BH2284,0)</f>
      </c>
      <c r="AE2284" s="111">
        <f>IF(AQ2284="7",BI2284,0)</f>
      </c>
      <c r="AF2284" s="111">
        <f>IF(AQ2284="2",BH2284,0)</f>
      </c>
      <c r="AG2284" s="111">
        <f>IF(AQ2284="2",BI2284,0)</f>
      </c>
      <c r="AH2284" s="111">
        <f>IF(AQ2284="0",BJ2284,0)</f>
      </c>
      <c r="AI2284" s="132" t="s">
        <v>87</v>
      </c>
      <c r="AJ2284" s="111">
        <f>IF(AN2284=0,I2284,0)</f>
      </c>
      <c r="AK2284" s="111">
        <f>IF(AN2284=12,I2284,0)</f>
      </c>
      <c r="AL2284" s="111">
        <f>IF(AN2284=21,I2284,0)</f>
      </c>
      <c r="AN2284" s="111" t="n">
        <v>21</v>
      </c>
      <c r="AO2284" s="111">
        <f>H2284*0.207158996</f>
      </c>
      <c r="AP2284" s="111">
        <f>H2284*(1-0.207158996)</f>
      </c>
      <c r="AQ2284" s="153" t="s">
        <v>173</v>
      </c>
      <c r="AV2284" s="111">
        <f>AW2284+AX2284</f>
      </c>
      <c r="AW2284" s="111">
        <f>G2284*AO2284</f>
      </c>
      <c r="AX2284" s="111">
        <f>G2284*AP2284</f>
      </c>
      <c r="AY2284" s="153" t="s">
        <v>1949</v>
      </c>
      <c r="AZ2284" s="153" t="s">
        <v>3333</v>
      </c>
      <c r="BA2284" s="132" t="s">
        <v>2990</v>
      </c>
      <c r="BC2284" s="111">
        <f>AW2284+AX2284</f>
      </c>
      <c r="BD2284" s="111">
        <f>H2284/(100-BE2284)*100</f>
      </c>
      <c r="BE2284" s="111" t="n">
        <v>0</v>
      </c>
      <c r="BF2284" s="111">
        <f>2284</f>
      </c>
      <c r="BH2284" s="111">
        <f>G2284*AO2284</f>
      </c>
      <c r="BI2284" s="111">
        <f>G2284*AP2284</f>
      </c>
      <c r="BJ2284" s="111">
        <f>G2284*H2284</f>
      </c>
      <c r="BK2284" s="111"/>
      <c r="BL2284" s="111" t="n">
        <v>722</v>
      </c>
      <c r="BW2284" s="111" t="n">
        <v>21</v>
      </c>
      <c r="BX2284" s="14" t="s">
        <v>3486</v>
      </c>
    </row>
    <row r="2285" customHeight="true" ht="13.5">
      <c r="A2285" s="159"/>
      <c r="C2285" s="160" t="s">
        <v>146</v>
      </c>
      <c r="D2285" s="161" t="s">
        <v>3487</v>
      </c>
      <c r="E2285" s="156"/>
      <c r="F2285" s="156"/>
      <c r="G2285" s="156"/>
      <c r="H2285" s="162"/>
      <c r="I2285" s="156"/>
      <c r="J2285" s="156"/>
      <c r="K2285" s="163"/>
    </row>
    <row r="2286">
      <c r="A2286" s="154"/>
      <c r="B2286" s="155"/>
      <c r="C2286" s="155"/>
      <c r="D2286" s="156" t="s">
        <v>342</v>
      </c>
      <c r="E2286" s="156" t="s">
        <v>4</v>
      </c>
      <c r="F2286" s="155"/>
      <c r="G2286" s="157" t="n">
        <v>30</v>
      </c>
      <c r="H2286" s="158"/>
      <c r="I2286" s="155"/>
      <c r="J2286" s="155"/>
      <c r="K2286" s="146"/>
    </row>
    <row r="2287">
      <c r="A2287" s="9" t="s">
        <v>3488</v>
      </c>
      <c r="B2287" s="10" t="s">
        <v>87</v>
      </c>
      <c r="C2287" s="10" t="s">
        <v>3489</v>
      </c>
      <c r="D2287" s="14" t="s">
        <v>3486</v>
      </c>
      <c r="E2287" s="10"/>
      <c r="F2287" s="10" t="s">
        <v>282</v>
      </c>
      <c r="G2287" s="111" t="n">
        <v>15</v>
      </c>
      <c r="H2287" s="152" t="n">
        <v>0</v>
      </c>
      <c r="I2287" s="111">
        <f>G2287*H2287</f>
      </c>
      <c r="J2287" s="153" t="s">
        <v>134</v>
      </c>
      <c r="K2287" s="146"/>
      <c r="Z2287" s="111">
        <f>IF(AQ2287="5",BJ2287,0)</f>
      </c>
      <c r="AB2287" s="111">
        <f>IF(AQ2287="1",BH2287,0)</f>
      </c>
      <c r="AC2287" s="111">
        <f>IF(AQ2287="1",BI2287,0)</f>
      </c>
      <c r="AD2287" s="111">
        <f>IF(AQ2287="7",BH2287,0)</f>
      </c>
      <c r="AE2287" s="111">
        <f>IF(AQ2287="7",BI2287,0)</f>
      </c>
      <c r="AF2287" s="111">
        <f>IF(AQ2287="2",BH2287,0)</f>
      </c>
      <c r="AG2287" s="111">
        <f>IF(AQ2287="2",BI2287,0)</f>
      </c>
      <c r="AH2287" s="111">
        <f>IF(AQ2287="0",BJ2287,0)</f>
      </c>
      <c r="AI2287" s="132" t="s">
        <v>87</v>
      </c>
      <c r="AJ2287" s="111">
        <f>IF(AN2287=0,I2287,0)</f>
      </c>
      <c r="AK2287" s="111">
        <f>IF(AN2287=12,I2287,0)</f>
      </c>
      <c r="AL2287" s="111">
        <f>IF(AN2287=21,I2287,0)</f>
      </c>
      <c r="AN2287" s="111" t="n">
        <v>21</v>
      </c>
      <c r="AO2287" s="111">
        <f>H2287*0.212540193</f>
      </c>
      <c r="AP2287" s="111">
        <f>H2287*(1-0.212540193)</f>
      </c>
      <c r="AQ2287" s="153" t="s">
        <v>173</v>
      </c>
      <c r="AV2287" s="111">
        <f>AW2287+AX2287</f>
      </c>
      <c r="AW2287" s="111">
        <f>G2287*AO2287</f>
      </c>
      <c r="AX2287" s="111">
        <f>G2287*AP2287</f>
      </c>
      <c r="AY2287" s="153" t="s">
        <v>1949</v>
      </c>
      <c r="AZ2287" s="153" t="s">
        <v>3333</v>
      </c>
      <c r="BA2287" s="132" t="s">
        <v>2990</v>
      </c>
      <c r="BC2287" s="111">
        <f>AW2287+AX2287</f>
      </c>
      <c r="BD2287" s="111">
        <f>H2287/(100-BE2287)*100</f>
      </c>
      <c r="BE2287" s="111" t="n">
        <v>0</v>
      </c>
      <c r="BF2287" s="111">
        <f>2287</f>
      </c>
      <c r="BH2287" s="111">
        <f>G2287*AO2287</f>
      </c>
      <c r="BI2287" s="111">
        <f>G2287*AP2287</f>
      </c>
      <c r="BJ2287" s="111">
        <f>G2287*H2287</f>
      </c>
      <c r="BK2287" s="111"/>
      <c r="BL2287" s="111" t="n">
        <v>722</v>
      </c>
      <c r="BW2287" s="111" t="n">
        <v>21</v>
      </c>
      <c r="BX2287" s="14" t="s">
        <v>3486</v>
      </c>
    </row>
    <row r="2288" customHeight="true" ht="13.5">
      <c r="A2288" s="159"/>
      <c r="C2288" s="160" t="s">
        <v>146</v>
      </c>
      <c r="D2288" s="161" t="s">
        <v>3490</v>
      </c>
      <c r="E2288" s="156"/>
      <c r="F2288" s="156"/>
      <c r="G2288" s="156"/>
      <c r="H2288" s="162"/>
      <c r="I2288" s="156"/>
      <c r="J2288" s="156"/>
      <c r="K2288" s="163"/>
    </row>
    <row r="2289">
      <c r="A2289" s="154"/>
      <c r="B2289" s="155"/>
      <c r="C2289" s="155"/>
      <c r="D2289" s="156" t="s">
        <v>224</v>
      </c>
      <c r="E2289" s="156" t="s">
        <v>4</v>
      </c>
      <c r="F2289" s="155"/>
      <c r="G2289" s="157" t="n">
        <v>15</v>
      </c>
      <c r="H2289" s="158"/>
      <c r="I2289" s="155"/>
      <c r="J2289" s="155"/>
      <c r="K2289" s="146"/>
    </row>
    <row r="2290">
      <c r="A2290" s="9" t="s">
        <v>3491</v>
      </c>
      <c r="B2290" s="10" t="s">
        <v>87</v>
      </c>
      <c r="C2290" s="10" t="s">
        <v>3492</v>
      </c>
      <c r="D2290" s="14" t="s">
        <v>3486</v>
      </c>
      <c r="E2290" s="10"/>
      <c r="F2290" s="10" t="s">
        <v>282</v>
      </c>
      <c r="G2290" s="111" t="n">
        <v>27</v>
      </c>
      <c r="H2290" s="152" t="n">
        <v>0</v>
      </c>
      <c r="I2290" s="111">
        <f>G2290*H2290</f>
      </c>
      <c r="J2290" s="153" t="s">
        <v>134</v>
      </c>
      <c r="K2290" s="146"/>
      <c r="Z2290" s="111">
        <f>IF(AQ2290="5",BJ2290,0)</f>
      </c>
      <c r="AB2290" s="111">
        <f>IF(AQ2290="1",BH2290,0)</f>
      </c>
      <c r="AC2290" s="111">
        <f>IF(AQ2290="1",BI2290,0)</f>
      </c>
      <c r="AD2290" s="111">
        <f>IF(AQ2290="7",BH2290,0)</f>
      </c>
      <c r="AE2290" s="111">
        <f>IF(AQ2290="7",BI2290,0)</f>
      </c>
      <c r="AF2290" s="111">
        <f>IF(AQ2290="2",BH2290,0)</f>
      </c>
      <c r="AG2290" s="111">
        <f>IF(AQ2290="2",BI2290,0)</f>
      </c>
      <c r="AH2290" s="111">
        <f>IF(AQ2290="0",BJ2290,0)</f>
      </c>
      <c r="AI2290" s="132" t="s">
        <v>87</v>
      </c>
      <c r="AJ2290" s="111">
        <f>IF(AN2290=0,I2290,0)</f>
      </c>
      <c r="AK2290" s="111">
        <f>IF(AN2290=12,I2290,0)</f>
      </c>
      <c r="AL2290" s="111">
        <f>IF(AN2290=21,I2290,0)</f>
      </c>
      <c r="AN2290" s="111" t="n">
        <v>21</v>
      </c>
      <c r="AO2290" s="111">
        <f>H2290*0.217164179</f>
      </c>
      <c r="AP2290" s="111">
        <f>H2290*(1-0.217164179)</f>
      </c>
      <c r="AQ2290" s="153" t="s">
        <v>173</v>
      </c>
      <c r="AV2290" s="111">
        <f>AW2290+AX2290</f>
      </c>
      <c r="AW2290" s="111">
        <f>G2290*AO2290</f>
      </c>
      <c r="AX2290" s="111">
        <f>G2290*AP2290</f>
      </c>
      <c r="AY2290" s="153" t="s">
        <v>1949</v>
      </c>
      <c r="AZ2290" s="153" t="s">
        <v>3333</v>
      </c>
      <c r="BA2290" s="132" t="s">
        <v>2990</v>
      </c>
      <c r="BC2290" s="111">
        <f>AW2290+AX2290</f>
      </c>
      <c r="BD2290" s="111">
        <f>H2290/(100-BE2290)*100</f>
      </c>
      <c r="BE2290" s="111" t="n">
        <v>0</v>
      </c>
      <c r="BF2290" s="111">
        <f>2290</f>
      </c>
      <c r="BH2290" s="111">
        <f>G2290*AO2290</f>
      </c>
      <c r="BI2290" s="111">
        <f>G2290*AP2290</f>
      </c>
      <c r="BJ2290" s="111">
        <f>G2290*H2290</f>
      </c>
      <c r="BK2290" s="111"/>
      <c r="BL2290" s="111" t="n">
        <v>722</v>
      </c>
      <c r="BW2290" s="111" t="n">
        <v>21</v>
      </c>
      <c r="BX2290" s="14" t="s">
        <v>3486</v>
      </c>
    </row>
    <row r="2291" customHeight="true" ht="13.5">
      <c r="A2291" s="159"/>
      <c r="C2291" s="160" t="s">
        <v>146</v>
      </c>
      <c r="D2291" s="161" t="s">
        <v>3493</v>
      </c>
      <c r="E2291" s="156"/>
      <c r="F2291" s="156"/>
      <c r="G2291" s="156"/>
      <c r="H2291" s="162"/>
      <c r="I2291" s="156"/>
      <c r="J2291" s="156"/>
      <c r="K2291" s="163"/>
    </row>
    <row r="2292">
      <c r="A2292" s="154"/>
      <c r="B2292" s="155"/>
      <c r="C2292" s="155"/>
      <c r="D2292" s="156" t="s">
        <v>288</v>
      </c>
      <c r="E2292" s="156" t="s">
        <v>4</v>
      </c>
      <c r="F2292" s="155"/>
      <c r="G2292" s="157" t="n">
        <v>27</v>
      </c>
      <c r="H2292" s="158"/>
      <c r="I2292" s="155"/>
      <c r="J2292" s="155"/>
      <c r="K2292" s="146"/>
    </row>
    <row r="2293">
      <c r="A2293" s="9" t="s">
        <v>3494</v>
      </c>
      <c r="B2293" s="10" t="s">
        <v>87</v>
      </c>
      <c r="C2293" s="10" t="s">
        <v>3495</v>
      </c>
      <c r="D2293" s="14" t="s">
        <v>3486</v>
      </c>
      <c r="E2293" s="10"/>
      <c r="F2293" s="10" t="s">
        <v>282</v>
      </c>
      <c r="G2293" s="111" t="n">
        <v>23</v>
      </c>
      <c r="H2293" s="152" t="n">
        <v>0</v>
      </c>
      <c r="I2293" s="111">
        <f>G2293*H2293</f>
      </c>
      <c r="J2293" s="153" t="s">
        <v>134</v>
      </c>
      <c r="K2293" s="146"/>
      <c r="Z2293" s="111">
        <f>IF(AQ2293="5",BJ2293,0)</f>
      </c>
      <c r="AB2293" s="111">
        <f>IF(AQ2293="1",BH2293,0)</f>
      </c>
      <c r="AC2293" s="111">
        <f>IF(AQ2293="1",BI2293,0)</f>
      </c>
      <c r="AD2293" s="111">
        <f>IF(AQ2293="7",BH2293,0)</f>
      </c>
      <c r="AE2293" s="111">
        <f>IF(AQ2293="7",BI2293,0)</f>
      </c>
      <c r="AF2293" s="111">
        <f>IF(AQ2293="2",BH2293,0)</f>
      </c>
      <c r="AG2293" s="111">
        <f>IF(AQ2293="2",BI2293,0)</f>
      </c>
      <c r="AH2293" s="111">
        <f>IF(AQ2293="0",BJ2293,0)</f>
      </c>
      <c r="AI2293" s="132" t="s">
        <v>87</v>
      </c>
      <c r="AJ2293" s="111">
        <f>IF(AN2293=0,I2293,0)</f>
      </c>
      <c r="AK2293" s="111">
        <f>IF(AN2293=12,I2293,0)</f>
      </c>
      <c r="AL2293" s="111">
        <f>IF(AN2293=21,I2293,0)</f>
      </c>
      <c r="AN2293" s="111" t="n">
        <v>21</v>
      </c>
      <c r="AO2293" s="111">
        <f>H2293*0.270648372</f>
      </c>
      <c r="AP2293" s="111">
        <f>H2293*(1-0.270648372)</f>
      </c>
      <c r="AQ2293" s="153" t="s">
        <v>173</v>
      </c>
      <c r="AV2293" s="111">
        <f>AW2293+AX2293</f>
      </c>
      <c r="AW2293" s="111">
        <f>G2293*AO2293</f>
      </c>
      <c r="AX2293" s="111">
        <f>G2293*AP2293</f>
      </c>
      <c r="AY2293" s="153" t="s">
        <v>1949</v>
      </c>
      <c r="AZ2293" s="153" t="s">
        <v>3333</v>
      </c>
      <c r="BA2293" s="132" t="s">
        <v>2990</v>
      </c>
      <c r="BC2293" s="111">
        <f>AW2293+AX2293</f>
      </c>
      <c r="BD2293" s="111">
        <f>H2293/(100-BE2293)*100</f>
      </c>
      <c r="BE2293" s="111" t="n">
        <v>0</v>
      </c>
      <c r="BF2293" s="111">
        <f>2293</f>
      </c>
      <c r="BH2293" s="111">
        <f>G2293*AO2293</f>
      </c>
      <c r="BI2293" s="111">
        <f>G2293*AP2293</f>
      </c>
      <c r="BJ2293" s="111">
        <f>G2293*H2293</f>
      </c>
      <c r="BK2293" s="111"/>
      <c r="BL2293" s="111" t="n">
        <v>722</v>
      </c>
      <c r="BW2293" s="111" t="n">
        <v>21</v>
      </c>
      <c r="BX2293" s="14" t="s">
        <v>3486</v>
      </c>
    </row>
    <row r="2294" customHeight="true" ht="13.5">
      <c r="A2294" s="159"/>
      <c r="C2294" s="160" t="s">
        <v>146</v>
      </c>
      <c r="D2294" s="161" t="s">
        <v>3496</v>
      </c>
      <c r="E2294" s="156"/>
      <c r="F2294" s="156"/>
      <c r="G2294" s="156"/>
      <c r="H2294" s="162"/>
      <c r="I2294" s="156"/>
      <c r="J2294" s="156"/>
      <c r="K2294" s="163"/>
    </row>
    <row r="2295">
      <c r="A2295" s="154"/>
      <c r="B2295" s="155"/>
      <c r="C2295" s="155"/>
      <c r="D2295" s="156" t="s">
        <v>274</v>
      </c>
      <c r="E2295" s="156" t="s">
        <v>4</v>
      </c>
      <c r="F2295" s="155"/>
      <c r="G2295" s="157" t="n">
        <v>23</v>
      </c>
      <c r="H2295" s="158"/>
      <c r="I2295" s="155"/>
      <c r="J2295" s="155"/>
      <c r="K2295" s="146"/>
    </row>
    <row r="2296">
      <c r="A2296" s="9" t="s">
        <v>3497</v>
      </c>
      <c r="B2296" s="10" t="s">
        <v>87</v>
      </c>
      <c r="C2296" s="10" t="s">
        <v>3498</v>
      </c>
      <c r="D2296" s="14" t="s">
        <v>3486</v>
      </c>
      <c r="E2296" s="10"/>
      <c r="F2296" s="10" t="s">
        <v>282</v>
      </c>
      <c r="G2296" s="111" t="n">
        <v>38</v>
      </c>
      <c r="H2296" s="152" t="n">
        <v>0</v>
      </c>
      <c r="I2296" s="111">
        <f>G2296*H2296</f>
      </c>
      <c r="J2296" s="153" t="s">
        <v>134</v>
      </c>
      <c r="K2296" s="146"/>
      <c r="Z2296" s="111">
        <f>IF(AQ2296="5",BJ2296,0)</f>
      </c>
      <c r="AB2296" s="111">
        <f>IF(AQ2296="1",BH2296,0)</f>
      </c>
      <c r="AC2296" s="111">
        <f>IF(AQ2296="1",BI2296,0)</f>
      </c>
      <c r="AD2296" s="111">
        <f>IF(AQ2296="7",BH2296,0)</f>
      </c>
      <c r="AE2296" s="111">
        <f>IF(AQ2296="7",BI2296,0)</f>
      </c>
      <c r="AF2296" s="111">
        <f>IF(AQ2296="2",BH2296,0)</f>
      </c>
      <c r="AG2296" s="111">
        <f>IF(AQ2296="2",BI2296,0)</f>
      </c>
      <c r="AH2296" s="111">
        <f>IF(AQ2296="0",BJ2296,0)</f>
      </c>
      <c r="AI2296" s="132" t="s">
        <v>87</v>
      </c>
      <c r="AJ2296" s="111">
        <f>IF(AN2296=0,I2296,0)</f>
      </c>
      <c r="AK2296" s="111">
        <f>IF(AN2296=12,I2296,0)</f>
      </c>
      <c r="AL2296" s="111">
        <f>IF(AN2296=21,I2296,0)</f>
      </c>
      <c r="AN2296" s="111" t="n">
        <v>21</v>
      </c>
      <c r="AO2296" s="111">
        <f>H2296*0.183885561</f>
      </c>
      <c r="AP2296" s="111">
        <f>H2296*(1-0.183885561)</f>
      </c>
      <c r="AQ2296" s="153" t="s">
        <v>173</v>
      </c>
      <c r="AV2296" s="111">
        <f>AW2296+AX2296</f>
      </c>
      <c r="AW2296" s="111">
        <f>G2296*AO2296</f>
      </c>
      <c r="AX2296" s="111">
        <f>G2296*AP2296</f>
      </c>
      <c r="AY2296" s="153" t="s">
        <v>1949</v>
      </c>
      <c r="AZ2296" s="153" t="s">
        <v>3333</v>
      </c>
      <c r="BA2296" s="132" t="s">
        <v>2990</v>
      </c>
      <c r="BC2296" s="111">
        <f>AW2296+AX2296</f>
      </c>
      <c r="BD2296" s="111">
        <f>H2296/(100-BE2296)*100</f>
      </c>
      <c r="BE2296" s="111" t="n">
        <v>0</v>
      </c>
      <c r="BF2296" s="111">
        <f>2296</f>
      </c>
      <c r="BH2296" s="111">
        <f>G2296*AO2296</f>
      </c>
      <c r="BI2296" s="111">
        <f>G2296*AP2296</f>
      </c>
      <c r="BJ2296" s="111">
        <f>G2296*H2296</f>
      </c>
      <c r="BK2296" s="111"/>
      <c r="BL2296" s="111" t="n">
        <v>722</v>
      </c>
      <c r="BW2296" s="111" t="n">
        <v>21</v>
      </c>
      <c r="BX2296" s="14" t="s">
        <v>3486</v>
      </c>
    </row>
    <row r="2297" customHeight="true" ht="13.5">
      <c r="A2297" s="159"/>
      <c r="C2297" s="160" t="s">
        <v>146</v>
      </c>
      <c r="D2297" s="161" t="s">
        <v>3499</v>
      </c>
      <c r="E2297" s="156"/>
      <c r="F2297" s="156"/>
      <c r="G2297" s="156"/>
      <c r="H2297" s="162"/>
      <c r="I2297" s="156"/>
      <c r="J2297" s="156"/>
      <c r="K2297" s="163"/>
    </row>
    <row r="2298">
      <c r="A2298" s="154"/>
      <c r="B2298" s="155"/>
      <c r="C2298" s="155"/>
      <c r="D2298" s="156" t="s">
        <v>387</v>
      </c>
      <c r="E2298" s="156" t="s">
        <v>4</v>
      </c>
      <c r="F2298" s="155"/>
      <c r="G2298" s="157" t="n">
        <v>38</v>
      </c>
      <c r="H2298" s="158"/>
      <c r="I2298" s="155"/>
      <c r="J2298" s="155"/>
      <c r="K2298" s="146"/>
    </row>
    <row r="2299">
      <c r="A2299" s="9" t="s">
        <v>3500</v>
      </c>
      <c r="B2299" s="10" t="s">
        <v>87</v>
      </c>
      <c r="C2299" s="10" t="s">
        <v>3501</v>
      </c>
      <c r="D2299" s="14" t="s">
        <v>3502</v>
      </c>
      <c r="E2299" s="10"/>
      <c r="F2299" s="10" t="s">
        <v>282</v>
      </c>
      <c r="G2299" s="111" t="n">
        <v>79</v>
      </c>
      <c r="H2299" s="152" t="n">
        <v>0</v>
      </c>
      <c r="I2299" s="111">
        <f>G2299*H2299</f>
      </c>
      <c r="J2299" s="153" t="s">
        <v>134</v>
      </c>
      <c r="K2299" s="146"/>
      <c r="Z2299" s="111">
        <f>IF(AQ2299="5",BJ2299,0)</f>
      </c>
      <c r="AB2299" s="111">
        <f>IF(AQ2299="1",BH2299,0)</f>
      </c>
      <c r="AC2299" s="111">
        <f>IF(AQ2299="1",BI2299,0)</f>
      </c>
      <c r="AD2299" s="111">
        <f>IF(AQ2299="7",BH2299,0)</f>
      </c>
      <c r="AE2299" s="111">
        <f>IF(AQ2299="7",BI2299,0)</f>
      </c>
      <c r="AF2299" s="111">
        <f>IF(AQ2299="2",BH2299,0)</f>
      </c>
      <c r="AG2299" s="111">
        <f>IF(AQ2299="2",BI2299,0)</f>
      </c>
      <c r="AH2299" s="111">
        <f>IF(AQ2299="0",BJ2299,0)</f>
      </c>
      <c r="AI2299" s="132" t="s">
        <v>87</v>
      </c>
      <c r="AJ2299" s="111">
        <f>IF(AN2299=0,I2299,0)</f>
      </c>
      <c r="AK2299" s="111">
        <f>IF(AN2299=12,I2299,0)</f>
      </c>
      <c r="AL2299" s="111">
        <f>IF(AN2299=21,I2299,0)</f>
      </c>
      <c r="AN2299" s="111" t="n">
        <v>21</v>
      </c>
      <c r="AO2299" s="111">
        <f>H2299*0.29704</f>
      </c>
      <c r="AP2299" s="111">
        <f>H2299*(1-0.29704)</f>
      </c>
      <c r="AQ2299" s="153" t="s">
        <v>173</v>
      </c>
      <c r="AV2299" s="111">
        <f>AW2299+AX2299</f>
      </c>
      <c r="AW2299" s="111">
        <f>G2299*AO2299</f>
      </c>
      <c r="AX2299" s="111">
        <f>G2299*AP2299</f>
      </c>
      <c r="AY2299" s="153" t="s">
        <v>1949</v>
      </c>
      <c r="AZ2299" s="153" t="s">
        <v>3333</v>
      </c>
      <c r="BA2299" s="132" t="s">
        <v>2990</v>
      </c>
      <c r="BC2299" s="111">
        <f>AW2299+AX2299</f>
      </c>
      <c r="BD2299" s="111">
        <f>H2299/(100-BE2299)*100</f>
      </c>
      <c r="BE2299" s="111" t="n">
        <v>0</v>
      </c>
      <c r="BF2299" s="111">
        <f>2299</f>
      </c>
      <c r="BH2299" s="111">
        <f>G2299*AO2299</f>
      </c>
      <c r="BI2299" s="111">
        <f>G2299*AP2299</f>
      </c>
      <c r="BJ2299" s="111">
        <f>G2299*H2299</f>
      </c>
      <c r="BK2299" s="111"/>
      <c r="BL2299" s="111" t="n">
        <v>722</v>
      </c>
      <c r="BW2299" s="111" t="n">
        <v>21</v>
      </c>
      <c r="BX2299" s="14" t="s">
        <v>3502</v>
      </c>
    </row>
    <row r="2300" customHeight="true" ht="13.5">
      <c r="A2300" s="159"/>
      <c r="C2300" s="160" t="s">
        <v>146</v>
      </c>
      <c r="D2300" s="161" t="s">
        <v>3503</v>
      </c>
      <c r="E2300" s="156"/>
      <c r="F2300" s="156"/>
      <c r="G2300" s="156"/>
      <c r="H2300" s="162"/>
      <c r="I2300" s="156"/>
      <c r="J2300" s="156"/>
      <c r="K2300" s="163"/>
    </row>
    <row r="2301">
      <c r="A2301" s="154"/>
      <c r="B2301" s="155"/>
      <c r="C2301" s="155"/>
      <c r="D2301" s="156" t="s">
        <v>651</v>
      </c>
      <c r="E2301" s="156" t="s">
        <v>4</v>
      </c>
      <c r="F2301" s="155"/>
      <c r="G2301" s="157" t="n">
        <v>79</v>
      </c>
      <c r="H2301" s="158"/>
      <c r="I2301" s="155"/>
      <c r="J2301" s="155"/>
      <c r="K2301" s="146"/>
    </row>
    <row r="2302">
      <c r="A2302" s="9" t="s">
        <v>3504</v>
      </c>
      <c r="B2302" s="10" t="s">
        <v>87</v>
      </c>
      <c r="C2302" s="10" t="s">
        <v>3505</v>
      </c>
      <c r="D2302" s="14" t="s">
        <v>3502</v>
      </c>
      <c r="E2302" s="10"/>
      <c r="F2302" s="10" t="s">
        <v>282</v>
      </c>
      <c r="G2302" s="111" t="n">
        <v>3</v>
      </c>
      <c r="H2302" s="152" t="n">
        <v>0</v>
      </c>
      <c r="I2302" s="111">
        <f>G2302*H2302</f>
      </c>
      <c r="J2302" s="153" t="s">
        <v>134</v>
      </c>
      <c r="K2302" s="146"/>
      <c r="Z2302" s="111">
        <f>IF(AQ2302="5",BJ2302,0)</f>
      </c>
      <c r="AB2302" s="111">
        <f>IF(AQ2302="1",BH2302,0)</f>
      </c>
      <c r="AC2302" s="111">
        <f>IF(AQ2302="1",BI2302,0)</f>
      </c>
      <c r="AD2302" s="111">
        <f>IF(AQ2302="7",BH2302,0)</f>
      </c>
      <c r="AE2302" s="111">
        <f>IF(AQ2302="7",BI2302,0)</f>
      </c>
      <c r="AF2302" s="111">
        <f>IF(AQ2302="2",BH2302,0)</f>
      </c>
      <c r="AG2302" s="111">
        <f>IF(AQ2302="2",BI2302,0)</f>
      </c>
      <c r="AH2302" s="111">
        <f>IF(AQ2302="0",BJ2302,0)</f>
      </c>
      <c r="AI2302" s="132" t="s">
        <v>87</v>
      </c>
      <c r="AJ2302" s="111">
        <f>IF(AN2302=0,I2302,0)</f>
      </c>
      <c r="AK2302" s="111">
        <f>IF(AN2302=12,I2302,0)</f>
      </c>
      <c r="AL2302" s="111">
        <f>IF(AN2302=21,I2302,0)</f>
      </c>
      <c r="AN2302" s="111" t="n">
        <v>21</v>
      </c>
      <c r="AO2302" s="111">
        <f>H2302*0.288698885</f>
      </c>
      <c r="AP2302" s="111">
        <f>H2302*(1-0.288698885)</f>
      </c>
      <c r="AQ2302" s="153" t="s">
        <v>173</v>
      </c>
      <c r="AV2302" s="111">
        <f>AW2302+AX2302</f>
      </c>
      <c r="AW2302" s="111">
        <f>G2302*AO2302</f>
      </c>
      <c r="AX2302" s="111">
        <f>G2302*AP2302</f>
      </c>
      <c r="AY2302" s="153" t="s">
        <v>1949</v>
      </c>
      <c r="AZ2302" s="153" t="s">
        <v>3333</v>
      </c>
      <c r="BA2302" s="132" t="s">
        <v>2990</v>
      </c>
      <c r="BC2302" s="111">
        <f>AW2302+AX2302</f>
      </c>
      <c r="BD2302" s="111">
        <f>H2302/(100-BE2302)*100</f>
      </c>
      <c r="BE2302" s="111" t="n">
        <v>0</v>
      </c>
      <c r="BF2302" s="111">
        <f>2302</f>
      </c>
      <c r="BH2302" s="111">
        <f>G2302*AO2302</f>
      </c>
      <c r="BI2302" s="111">
        <f>G2302*AP2302</f>
      </c>
      <c r="BJ2302" s="111">
        <f>G2302*H2302</f>
      </c>
      <c r="BK2302" s="111"/>
      <c r="BL2302" s="111" t="n">
        <v>722</v>
      </c>
      <c r="BW2302" s="111" t="n">
        <v>21</v>
      </c>
      <c r="BX2302" s="14" t="s">
        <v>3502</v>
      </c>
    </row>
    <row r="2303" customHeight="true" ht="13.5">
      <c r="A2303" s="159"/>
      <c r="C2303" s="160" t="s">
        <v>146</v>
      </c>
      <c r="D2303" s="161" t="s">
        <v>3506</v>
      </c>
      <c r="E2303" s="156"/>
      <c r="F2303" s="156"/>
      <c r="G2303" s="156"/>
      <c r="H2303" s="162"/>
      <c r="I2303" s="156"/>
      <c r="J2303" s="156"/>
      <c r="K2303" s="163"/>
    </row>
    <row r="2304">
      <c r="A2304" s="154"/>
      <c r="B2304" s="155"/>
      <c r="C2304" s="155"/>
      <c r="D2304" s="156" t="s">
        <v>138</v>
      </c>
      <c r="E2304" s="156" t="s">
        <v>4</v>
      </c>
      <c r="F2304" s="155"/>
      <c r="G2304" s="157" t="n">
        <v>3</v>
      </c>
      <c r="H2304" s="158"/>
      <c r="I2304" s="155"/>
      <c r="J2304" s="155"/>
      <c r="K2304" s="146"/>
    </row>
    <row r="2305">
      <c r="A2305" s="9" t="s">
        <v>3507</v>
      </c>
      <c r="B2305" s="10" t="s">
        <v>87</v>
      </c>
      <c r="C2305" s="10" t="s">
        <v>3508</v>
      </c>
      <c r="D2305" s="14" t="s">
        <v>3502</v>
      </c>
      <c r="E2305" s="10"/>
      <c r="F2305" s="10" t="s">
        <v>282</v>
      </c>
      <c r="G2305" s="111" t="n">
        <v>8</v>
      </c>
      <c r="H2305" s="152" t="n">
        <v>0</v>
      </c>
      <c r="I2305" s="111">
        <f>G2305*H2305</f>
      </c>
      <c r="J2305" s="153" t="s">
        <v>134</v>
      </c>
      <c r="K2305" s="146"/>
      <c r="Z2305" s="111">
        <f>IF(AQ2305="5",BJ2305,0)</f>
      </c>
      <c r="AB2305" s="111">
        <f>IF(AQ2305="1",BH2305,0)</f>
      </c>
      <c r="AC2305" s="111">
        <f>IF(AQ2305="1",BI2305,0)</f>
      </c>
      <c r="AD2305" s="111">
        <f>IF(AQ2305="7",BH2305,0)</f>
      </c>
      <c r="AE2305" s="111">
        <f>IF(AQ2305="7",BI2305,0)</f>
      </c>
      <c r="AF2305" s="111">
        <f>IF(AQ2305="2",BH2305,0)</f>
      </c>
      <c r="AG2305" s="111">
        <f>IF(AQ2305="2",BI2305,0)</f>
      </c>
      <c r="AH2305" s="111">
        <f>IF(AQ2305="0",BJ2305,0)</f>
      </c>
      <c r="AI2305" s="132" t="s">
        <v>87</v>
      </c>
      <c r="AJ2305" s="111">
        <f>IF(AN2305=0,I2305,0)</f>
      </c>
      <c r="AK2305" s="111">
        <f>IF(AN2305=12,I2305,0)</f>
      </c>
      <c r="AL2305" s="111">
        <f>IF(AN2305=21,I2305,0)</f>
      </c>
      <c r="AN2305" s="111" t="n">
        <v>21</v>
      </c>
      <c r="AO2305" s="111">
        <f>H2305*0.363938462</f>
      </c>
      <c r="AP2305" s="111">
        <f>H2305*(1-0.363938462)</f>
      </c>
      <c r="AQ2305" s="153" t="s">
        <v>173</v>
      </c>
      <c r="AV2305" s="111">
        <f>AW2305+AX2305</f>
      </c>
      <c r="AW2305" s="111">
        <f>G2305*AO2305</f>
      </c>
      <c r="AX2305" s="111">
        <f>G2305*AP2305</f>
      </c>
      <c r="AY2305" s="153" t="s">
        <v>1949</v>
      </c>
      <c r="AZ2305" s="153" t="s">
        <v>3333</v>
      </c>
      <c r="BA2305" s="132" t="s">
        <v>2990</v>
      </c>
      <c r="BC2305" s="111">
        <f>AW2305+AX2305</f>
      </c>
      <c r="BD2305" s="111">
        <f>H2305/(100-BE2305)*100</f>
      </c>
      <c r="BE2305" s="111" t="n">
        <v>0</v>
      </c>
      <c r="BF2305" s="111">
        <f>2305</f>
      </c>
      <c r="BH2305" s="111">
        <f>G2305*AO2305</f>
      </c>
      <c r="BI2305" s="111">
        <f>G2305*AP2305</f>
      </c>
      <c r="BJ2305" s="111">
        <f>G2305*H2305</f>
      </c>
      <c r="BK2305" s="111"/>
      <c r="BL2305" s="111" t="n">
        <v>722</v>
      </c>
      <c r="BW2305" s="111" t="n">
        <v>21</v>
      </c>
      <c r="BX2305" s="14" t="s">
        <v>3502</v>
      </c>
    </row>
    <row r="2306" customHeight="true" ht="13.5">
      <c r="A2306" s="159"/>
      <c r="C2306" s="160" t="s">
        <v>146</v>
      </c>
      <c r="D2306" s="161" t="s">
        <v>3509</v>
      </c>
      <c r="E2306" s="156"/>
      <c r="F2306" s="156"/>
      <c r="G2306" s="156"/>
      <c r="H2306" s="162"/>
      <c r="I2306" s="156"/>
      <c r="J2306" s="156"/>
      <c r="K2306" s="163"/>
    </row>
    <row r="2307">
      <c r="A2307" s="154"/>
      <c r="B2307" s="155"/>
      <c r="C2307" s="155"/>
      <c r="D2307" s="156" t="s">
        <v>176</v>
      </c>
      <c r="E2307" s="156" t="s">
        <v>4</v>
      </c>
      <c r="F2307" s="155"/>
      <c r="G2307" s="157" t="n">
        <v>8</v>
      </c>
      <c r="H2307" s="158"/>
      <c r="I2307" s="155"/>
      <c r="J2307" s="155"/>
      <c r="K2307" s="146"/>
    </row>
    <row r="2308">
      <c r="A2308" s="9" t="s">
        <v>3510</v>
      </c>
      <c r="B2308" s="10" t="s">
        <v>87</v>
      </c>
      <c r="C2308" s="10" t="s">
        <v>3511</v>
      </c>
      <c r="D2308" s="14" t="s">
        <v>3512</v>
      </c>
      <c r="E2308" s="10"/>
      <c r="F2308" s="10" t="s">
        <v>282</v>
      </c>
      <c r="G2308" s="111" t="n">
        <v>62</v>
      </c>
      <c r="H2308" s="152" t="n">
        <v>0</v>
      </c>
      <c r="I2308" s="111">
        <f>G2308*H2308</f>
      </c>
      <c r="J2308" s="153" t="s">
        <v>134</v>
      </c>
      <c r="K2308" s="146"/>
      <c r="Z2308" s="111">
        <f>IF(AQ2308="5",BJ2308,0)</f>
      </c>
      <c r="AB2308" s="111">
        <f>IF(AQ2308="1",BH2308,0)</f>
      </c>
      <c r="AC2308" s="111">
        <f>IF(AQ2308="1",BI2308,0)</f>
      </c>
      <c r="AD2308" s="111">
        <f>IF(AQ2308="7",BH2308,0)</f>
      </c>
      <c r="AE2308" s="111">
        <f>IF(AQ2308="7",BI2308,0)</f>
      </c>
      <c r="AF2308" s="111">
        <f>IF(AQ2308="2",BH2308,0)</f>
      </c>
      <c r="AG2308" s="111">
        <f>IF(AQ2308="2",BI2308,0)</f>
      </c>
      <c r="AH2308" s="111">
        <f>IF(AQ2308="0",BJ2308,0)</f>
      </c>
      <c r="AI2308" s="132" t="s">
        <v>87</v>
      </c>
      <c r="AJ2308" s="111">
        <f>IF(AN2308=0,I2308,0)</f>
      </c>
      <c r="AK2308" s="111">
        <f>IF(AN2308=12,I2308,0)</f>
      </c>
      <c r="AL2308" s="111">
        <f>IF(AN2308=21,I2308,0)</f>
      </c>
      <c r="AN2308" s="111" t="n">
        <v>21</v>
      </c>
      <c r="AO2308" s="111">
        <f>H2308*0.485128054</f>
      </c>
      <c r="AP2308" s="111">
        <f>H2308*(1-0.485128054)</f>
      </c>
      <c r="AQ2308" s="153" t="s">
        <v>173</v>
      </c>
      <c r="AV2308" s="111">
        <f>AW2308+AX2308</f>
      </c>
      <c r="AW2308" s="111">
        <f>G2308*AO2308</f>
      </c>
      <c r="AX2308" s="111">
        <f>G2308*AP2308</f>
      </c>
      <c r="AY2308" s="153" t="s">
        <v>1949</v>
      </c>
      <c r="AZ2308" s="153" t="s">
        <v>3333</v>
      </c>
      <c r="BA2308" s="132" t="s">
        <v>2990</v>
      </c>
      <c r="BC2308" s="111">
        <f>AW2308+AX2308</f>
      </c>
      <c r="BD2308" s="111">
        <f>H2308/(100-BE2308)*100</f>
      </c>
      <c r="BE2308" s="111" t="n">
        <v>0</v>
      </c>
      <c r="BF2308" s="111">
        <f>2308</f>
      </c>
      <c r="BH2308" s="111">
        <f>G2308*AO2308</f>
      </c>
      <c r="BI2308" s="111">
        <f>G2308*AP2308</f>
      </c>
      <c r="BJ2308" s="111">
        <f>G2308*H2308</f>
      </c>
      <c r="BK2308" s="111"/>
      <c r="BL2308" s="111" t="n">
        <v>722</v>
      </c>
      <c r="BW2308" s="111" t="n">
        <v>21</v>
      </c>
      <c r="BX2308" s="14" t="s">
        <v>3512</v>
      </c>
    </row>
    <row r="2309" customHeight="true" ht="13.5">
      <c r="A2309" s="159"/>
      <c r="C2309" s="160" t="s">
        <v>146</v>
      </c>
      <c r="D2309" s="161" t="s">
        <v>3499</v>
      </c>
      <c r="E2309" s="156"/>
      <c r="F2309" s="156"/>
      <c r="G2309" s="156"/>
      <c r="H2309" s="162"/>
      <c r="I2309" s="156"/>
      <c r="J2309" s="156"/>
      <c r="K2309" s="163"/>
    </row>
    <row r="2310">
      <c r="A2310" s="154"/>
      <c r="B2310" s="155"/>
      <c r="C2310" s="155"/>
      <c r="D2310" s="156" t="s">
        <v>539</v>
      </c>
      <c r="E2310" s="156" t="s">
        <v>4</v>
      </c>
      <c r="F2310" s="155"/>
      <c r="G2310" s="157" t="n">
        <v>62</v>
      </c>
      <c r="H2310" s="158"/>
      <c r="I2310" s="155"/>
      <c r="J2310" s="155"/>
      <c r="K2310" s="146"/>
    </row>
    <row r="2311">
      <c r="A2311" s="9" t="s">
        <v>3513</v>
      </c>
      <c r="B2311" s="10" t="s">
        <v>87</v>
      </c>
      <c r="C2311" s="10" t="s">
        <v>3514</v>
      </c>
      <c r="D2311" s="14" t="s">
        <v>3512</v>
      </c>
      <c r="E2311" s="10"/>
      <c r="F2311" s="10" t="s">
        <v>282</v>
      </c>
      <c r="G2311" s="111" t="n">
        <v>51</v>
      </c>
      <c r="H2311" s="152" t="n">
        <v>0</v>
      </c>
      <c r="I2311" s="111">
        <f>G2311*H2311</f>
      </c>
      <c r="J2311" s="153" t="s">
        <v>134</v>
      </c>
      <c r="K2311" s="146"/>
      <c r="Z2311" s="111">
        <f>IF(AQ2311="5",BJ2311,0)</f>
      </c>
      <c r="AB2311" s="111">
        <f>IF(AQ2311="1",BH2311,0)</f>
      </c>
      <c r="AC2311" s="111">
        <f>IF(AQ2311="1",BI2311,0)</f>
      </c>
      <c r="AD2311" s="111">
        <f>IF(AQ2311="7",BH2311,0)</f>
      </c>
      <c r="AE2311" s="111">
        <f>IF(AQ2311="7",BI2311,0)</f>
      </c>
      <c r="AF2311" s="111">
        <f>IF(AQ2311="2",BH2311,0)</f>
      </c>
      <c r="AG2311" s="111">
        <f>IF(AQ2311="2",BI2311,0)</f>
      </c>
      <c r="AH2311" s="111">
        <f>IF(AQ2311="0",BJ2311,0)</f>
      </c>
      <c r="AI2311" s="132" t="s">
        <v>87</v>
      </c>
      <c r="AJ2311" s="111">
        <f>IF(AN2311=0,I2311,0)</f>
      </c>
      <c r="AK2311" s="111">
        <f>IF(AN2311=12,I2311,0)</f>
      </c>
      <c r="AL2311" s="111">
        <f>IF(AN2311=21,I2311,0)</f>
      </c>
      <c r="AN2311" s="111" t="n">
        <v>21</v>
      </c>
      <c r="AO2311" s="111">
        <f>H2311*0.522044591</f>
      </c>
      <c r="AP2311" s="111">
        <f>H2311*(1-0.522044591)</f>
      </c>
      <c r="AQ2311" s="153" t="s">
        <v>173</v>
      </c>
      <c r="AV2311" s="111">
        <f>AW2311+AX2311</f>
      </c>
      <c r="AW2311" s="111">
        <f>G2311*AO2311</f>
      </c>
      <c r="AX2311" s="111">
        <f>G2311*AP2311</f>
      </c>
      <c r="AY2311" s="153" t="s">
        <v>1949</v>
      </c>
      <c r="AZ2311" s="153" t="s">
        <v>3333</v>
      </c>
      <c r="BA2311" s="132" t="s">
        <v>2990</v>
      </c>
      <c r="BC2311" s="111">
        <f>AW2311+AX2311</f>
      </c>
      <c r="BD2311" s="111">
        <f>H2311/(100-BE2311)*100</f>
      </c>
      <c r="BE2311" s="111" t="n">
        <v>0</v>
      </c>
      <c r="BF2311" s="111">
        <f>2311</f>
      </c>
      <c r="BH2311" s="111">
        <f>G2311*AO2311</f>
      </c>
      <c r="BI2311" s="111">
        <f>G2311*AP2311</f>
      </c>
      <c r="BJ2311" s="111">
        <f>G2311*H2311</f>
      </c>
      <c r="BK2311" s="111"/>
      <c r="BL2311" s="111" t="n">
        <v>722</v>
      </c>
      <c r="BW2311" s="111" t="n">
        <v>21</v>
      </c>
      <c r="BX2311" s="14" t="s">
        <v>3512</v>
      </c>
    </row>
    <row r="2312" customHeight="true" ht="13.5">
      <c r="A2312" s="159"/>
      <c r="C2312" s="160" t="s">
        <v>146</v>
      </c>
      <c r="D2312" s="161" t="s">
        <v>3487</v>
      </c>
      <c r="E2312" s="156"/>
      <c r="F2312" s="156"/>
      <c r="G2312" s="156"/>
      <c r="H2312" s="162"/>
      <c r="I2312" s="156"/>
      <c r="J2312" s="156"/>
      <c r="K2312" s="163"/>
    </row>
    <row r="2313">
      <c r="A2313" s="154"/>
      <c r="B2313" s="155"/>
      <c r="C2313" s="155"/>
      <c r="D2313" s="156" t="s">
        <v>480</v>
      </c>
      <c r="E2313" s="156" t="s">
        <v>4</v>
      </c>
      <c r="F2313" s="155"/>
      <c r="G2313" s="157" t="n">
        <v>51</v>
      </c>
      <c r="H2313" s="158"/>
      <c r="I2313" s="155"/>
      <c r="J2313" s="155"/>
      <c r="K2313" s="146"/>
    </row>
    <row r="2314">
      <c r="A2314" s="9" t="s">
        <v>3515</v>
      </c>
      <c r="B2314" s="10" t="s">
        <v>87</v>
      </c>
      <c r="C2314" s="10" t="s">
        <v>3516</v>
      </c>
      <c r="D2314" s="14" t="s">
        <v>3512</v>
      </c>
      <c r="E2314" s="10"/>
      <c r="F2314" s="10" t="s">
        <v>282</v>
      </c>
      <c r="G2314" s="111" t="n">
        <v>52</v>
      </c>
      <c r="H2314" s="152" t="n">
        <v>0</v>
      </c>
      <c r="I2314" s="111">
        <f>G2314*H2314</f>
      </c>
      <c r="J2314" s="153" t="s">
        <v>134</v>
      </c>
      <c r="K2314" s="146"/>
      <c r="Z2314" s="111">
        <f>IF(AQ2314="5",BJ2314,0)</f>
      </c>
      <c r="AB2314" s="111">
        <f>IF(AQ2314="1",BH2314,0)</f>
      </c>
      <c r="AC2314" s="111">
        <f>IF(AQ2314="1",BI2314,0)</f>
      </c>
      <c r="AD2314" s="111">
        <f>IF(AQ2314="7",BH2314,0)</f>
      </c>
      <c r="AE2314" s="111">
        <f>IF(AQ2314="7",BI2314,0)</f>
      </c>
      <c r="AF2314" s="111">
        <f>IF(AQ2314="2",BH2314,0)</f>
      </c>
      <c r="AG2314" s="111">
        <f>IF(AQ2314="2",BI2314,0)</f>
      </c>
      <c r="AH2314" s="111">
        <f>IF(AQ2314="0",BJ2314,0)</f>
      </c>
      <c r="AI2314" s="132" t="s">
        <v>87</v>
      </c>
      <c r="AJ2314" s="111">
        <f>IF(AN2314=0,I2314,0)</f>
      </c>
      <c r="AK2314" s="111">
        <f>IF(AN2314=12,I2314,0)</f>
      </c>
      <c r="AL2314" s="111">
        <f>IF(AN2314=21,I2314,0)</f>
      </c>
      <c r="AN2314" s="111" t="n">
        <v>21</v>
      </c>
      <c r="AO2314" s="111">
        <f>H2314*0.526516129</f>
      </c>
      <c r="AP2314" s="111">
        <f>H2314*(1-0.526516129)</f>
      </c>
      <c r="AQ2314" s="153" t="s">
        <v>173</v>
      </c>
      <c r="AV2314" s="111">
        <f>AW2314+AX2314</f>
      </c>
      <c r="AW2314" s="111">
        <f>G2314*AO2314</f>
      </c>
      <c r="AX2314" s="111">
        <f>G2314*AP2314</f>
      </c>
      <c r="AY2314" s="153" t="s">
        <v>1949</v>
      </c>
      <c r="AZ2314" s="153" t="s">
        <v>3333</v>
      </c>
      <c r="BA2314" s="132" t="s">
        <v>2990</v>
      </c>
      <c r="BC2314" s="111">
        <f>AW2314+AX2314</f>
      </c>
      <c r="BD2314" s="111">
        <f>H2314/(100-BE2314)*100</f>
      </c>
      <c r="BE2314" s="111" t="n">
        <v>0</v>
      </c>
      <c r="BF2314" s="111">
        <f>2314</f>
      </c>
      <c r="BH2314" s="111">
        <f>G2314*AO2314</f>
      </c>
      <c r="BI2314" s="111">
        <f>G2314*AP2314</f>
      </c>
      <c r="BJ2314" s="111">
        <f>G2314*H2314</f>
      </c>
      <c r="BK2314" s="111"/>
      <c r="BL2314" s="111" t="n">
        <v>722</v>
      </c>
      <c r="BW2314" s="111" t="n">
        <v>21</v>
      </c>
      <c r="BX2314" s="14" t="s">
        <v>3512</v>
      </c>
    </row>
    <row r="2315" customHeight="true" ht="13.5">
      <c r="A2315" s="159"/>
      <c r="C2315" s="160" t="s">
        <v>146</v>
      </c>
      <c r="D2315" s="161" t="s">
        <v>3490</v>
      </c>
      <c r="E2315" s="156"/>
      <c r="F2315" s="156"/>
      <c r="G2315" s="156"/>
      <c r="H2315" s="162"/>
      <c r="I2315" s="156"/>
      <c r="J2315" s="156"/>
      <c r="K2315" s="163"/>
    </row>
    <row r="2316">
      <c r="A2316" s="154"/>
      <c r="B2316" s="155"/>
      <c r="C2316" s="155"/>
      <c r="D2316" s="156" t="s">
        <v>484</v>
      </c>
      <c r="E2316" s="156" t="s">
        <v>4</v>
      </c>
      <c r="F2316" s="155"/>
      <c r="G2316" s="157" t="n">
        <v>52</v>
      </c>
      <c r="H2316" s="158"/>
      <c r="I2316" s="155"/>
      <c r="J2316" s="155"/>
      <c r="K2316" s="146"/>
    </row>
    <row r="2317">
      <c r="A2317" s="9" t="s">
        <v>3517</v>
      </c>
      <c r="B2317" s="10" t="s">
        <v>87</v>
      </c>
      <c r="C2317" s="10" t="s">
        <v>3518</v>
      </c>
      <c r="D2317" s="14" t="s">
        <v>3519</v>
      </c>
      <c r="E2317" s="10"/>
      <c r="F2317" s="10" t="s">
        <v>282</v>
      </c>
      <c r="G2317" s="111" t="n">
        <v>9</v>
      </c>
      <c r="H2317" s="152" t="n">
        <v>0</v>
      </c>
      <c r="I2317" s="111">
        <f>G2317*H2317</f>
      </c>
      <c r="J2317" s="153" t="s">
        <v>134</v>
      </c>
      <c r="K2317" s="146"/>
      <c r="Z2317" s="111">
        <f>IF(AQ2317="5",BJ2317,0)</f>
      </c>
      <c r="AB2317" s="111">
        <f>IF(AQ2317="1",BH2317,0)</f>
      </c>
      <c r="AC2317" s="111">
        <f>IF(AQ2317="1",BI2317,0)</f>
      </c>
      <c r="AD2317" s="111">
        <f>IF(AQ2317="7",BH2317,0)</f>
      </c>
      <c r="AE2317" s="111">
        <f>IF(AQ2317="7",BI2317,0)</f>
      </c>
      <c r="AF2317" s="111">
        <f>IF(AQ2317="2",BH2317,0)</f>
      </c>
      <c r="AG2317" s="111">
        <f>IF(AQ2317="2",BI2317,0)</f>
      </c>
      <c r="AH2317" s="111">
        <f>IF(AQ2317="0",BJ2317,0)</f>
      </c>
      <c r="AI2317" s="132" t="s">
        <v>87</v>
      </c>
      <c r="AJ2317" s="111">
        <f>IF(AN2317=0,I2317,0)</f>
      </c>
      <c r="AK2317" s="111">
        <f>IF(AN2317=12,I2317,0)</f>
      </c>
      <c r="AL2317" s="111">
        <f>IF(AN2317=21,I2317,0)</f>
      </c>
      <c r="AN2317" s="111" t="n">
        <v>21</v>
      </c>
      <c r="AO2317" s="111">
        <f>H2317*0.525466347</f>
      </c>
      <c r="AP2317" s="111">
        <f>H2317*(1-0.525466347)</f>
      </c>
      <c r="AQ2317" s="153" t="s">
        <v>173</v>
      </c>
      <c r="AV2317" s="111">
        <f>AW2317+AX2317</f>
      </c>
      <c r="AW2317" s="111">
        <f>G2317*AO2317</f>
      </c>
      <c r="AX2317" s="111">
        <f>G2317*AP2317</f>
      </c>
      <c r="AY2317" s="153" t="s">
        <v>1949</v>
      </c>
      <c r="AZ2317" s="153" t="s">
        <v>3333</v>
      </c>
      <c r="BA2317" s="132" t="s">
        <v>2990</v>
      </c>
      <c r="BC2317" s="111">
        <f>AW2317+AX2317</f>
      </c>
      <c r="BD2317" s="111">
        <f>H2317/(100-BE2317)*100</f>
      </c>
      <c r="BE2317" s="111" t="n">
        <v>0</v>
      </c>
      <c r="BF2317" s="111">
        <f>2317</f>
      </c>
      <c r="BH2317" s="111">
        <f>G2317*AO2317</f>
      </c>
      <c r="BI2317" s="111">
        <f>G2317*AP2317</f>
      </c>
      <c r="BJ2317" s="111">
        <f>G2317*H2317</f>
      </c>
      <c r="BK2317" s="111"/>
      <c r="BL2317" s="111" t="n">
        <v>722</v>
      </c>
      <c r="BW2317" s="111" t="n">
        <v>21</v>
      </c>
      <c r="BX2317" s="14" t="s">
        <v>3519</v>
      </c>
    </row>
    <row r="2318" customHeight="true" ht="13.5">
      <c r="A2318" s="159"/>
      <c r="C2318" s="160" t="s">
        <v>146</v>
      </c>
      <c r="D2318" s="161" t="s">
        <v>3496</v>
      </c>
      <c r="E2318" s="156"/>
      <c r="F2318" s="156"/>
      <c r="G2318" s="156"/>
      <c r="H2318" s="162"/>
      <c r="I2318" s="156"/>
      <c r="J2318" s="156"/>
      <c r="K2318" s="163"/>
    </row>
    <row r="2319">
      <c r="A2319" s="154"/>
      <c r="B2319" s="155"/>
      <c r="C2319" s="155"/>
      <c r="D2319" s="156" t="s">
        <v>183</v>
      </c>
      <c r="E2319" s="156" t="s">
        <v>4</v>
      </c>
      <c r="F2319" s="155"/>
      <c r="G2319" s="157" t="n">
        <v>9</v>
      </c>
      <c r="H2319" s="158"/>
      <c r="I2319" s="155"/>
      <c r="J2319" s="155"/>
      <c r="K2319" s="146"/>
    </row>
    <row r="2320">
      <c r="A2320" s="9" t="s">
        <v>3520</v>
      </c>
      <c r="B2320" s="10" t="s">
        <v>87</v>
      </c>
      <c r="C2320" s="10" t="s">
        <v>3521</v>
      </c>
      <c r="D2320" s="14" t="s">
        <v>3512</v>
      </c>
      <c r="E2320" s="10"/>
      <c r="F2320" s="10" t="s">
        <v>282</v>
      </c>
      <c r="G2320" s="111" t="n">
        <v>9</v>
      </c>
      <c r="H2320" s="152" t="n">
        <v>0</v>
      </c>
      <c r="I2320" s="111">
        <f>G2320*H2320</f>
      </c>
      <c r="J2320" s="153" t="s">
        <v>134</v>
      </c>
      <c r="K2320" s="146"/>
      <c r="Z2320" s="111">
        <f>IF(AQ2320="5",BJ2320,0)</f>
      </c>
      <c r="AB2320" s="111">
        <f>IF(AQ2320="1",BH2320,0)</f>
      </c>
      <c r="AC2320" s="111">
        <f>IF(AQ2320="1",BI2320,0)</f>
      </c>
      <c r="AD2320" s="111">
        <f>IF(AQ2320="7",BH2320,0)</f>
      </c>
      <c r="AE2320" s="111">
        <f>IF(AQ2320="7",BI2320,0)</f>
      </c>
      <c r="AF2320" s="111">
        <f>IF(AQ2320="2",BH2320,0)</f>
      </c>
      <c r="AG2320" s="111">
        <f>IF(AQ2320="2",BI2320,0)</f>
      </c>
      <c r="AH2320" s="111">
        <f>IF(AQ2320="0",BJ2320,0)</f>
      </c>
      <c r="AI2320" s="132" t="s">
        <v>87</v>
      </c>
      <c r="AJ2320" s="111">
        <f>IF(AN2320=0,I2320,0)</f>
      </c>
      <c r="AK2320" s="111">
        <f>IF(AN2320=12,I2320,0)</f>
      </c>
      <c r="AL2320" s="111">
        <f>IF(AN2320=21,I2320,0)</f>
      </c>
      <c r="AN2320" s="111" t="n">
        <v>21</v>
      </c>
      <c r="AO2320" s="111">
        <f>H2320*0.5607</f>
      </c>
      <c r="AP2320" s="111">
        <f>H2320*(1-0.5607)</f>
      </c>
      <c r="AQ2320" s="153" t="s">
        <v>173</v>
      </c>
      <c r="AV2320" s="111">
        <f>AW2320+AX2320</f>
      </c>
      <c r="AW2320" s="111">
        <f>G2320*AO2320</f>
      </c>
      <c r="AX2320" s="111">
        <f>G2320*AP2320</f>
      </c>
      <c r="AY2320" s="153" t="s">
        <v>1949</v>
      </c>
      <c r="AZ2320" s="153" t="s">
        <v>3333</v>
      </c>
      <c r="BA2320" s="132" t="s">
        <v>2990</v>
      </c>
      <c r="BC2320" s="111">
        <f>AW2320+AX2320</f>
      </c>
      <c r="BD2320" s="111">
        <f>H2320/(100-BE2320)*100</f>
      </c>
      <c r="BE2320" s="111" t="n">
        <v>0</v>
      </c>
      <c r="BF2320" s="111">
        <f>2320</f>
      </c>
      <c r="BH2320" s="111">
        <f>G2320*AO2320</f>
      </c>
      <c r="BI2320" s="111">
        <f>G2320*AP2320</f>
      </c>
      <c r="BJ2320" s="111">
        <f>G2320*H2320</f>
      </c>
      <c r="BK2320" s="111"/>
      <c r="BL2320" s="111" t="n">
        <v>722</v>
      </c>
      <c r="BW2320" s="111" t="n">
        <v>21</v>
      </c>
      <c r="BX2320" s="14" t="s">
        <v>3512</v>
      </c>
    </row>
    <row r="2321" customHeight="true" ht="13.5">
      <c r="A2321" s="159"/>
      <c r="C2321" s="160" t="s">
        <v>146</v>
      </c>
      <c r="D2321" s="161" t="s">
        <v>3503</v>
      </c>
      <c r="E2321" s="156"/>
      <c r="F2321" s="156"/>
      <c r="G2321" s="156"/>
      <c r="H2321" s="162"/>
      <c r="I2321" s="156"/>
      <c r="J2321" s="156"/>
      <c r="K2321" s="163"/>
    </row>
    <row r="2322">
      <c r="A2322" s="154"/>
      <c r="B2322" s="155"/>
      <c r="C2322" s="155"/>
      <c r="D2322" s="156" t="s">
        <v>183</v>
      </c>
      <c r="E2322" s="156" t="s">
        <v>4</v>
      </c>
      <c r="F2322" s="155"/>
      <c r="G2322" s="157" t="n">
        <v>9</v>
      </c>
      <c r="H2322" s="158"/>
      <c r="I2322" s="155"/>
      <c r="J2322" s="155"/>
      <c r="K2322" s="146"/>
    </row>
    <row r="2323">
      <c r="A2323" s="9" t="s">
        <v>3522</v>
      </c>
      <c r="B2323" s="10" t="s">
        <v>87</v>
      </c>
      <c r="C2323" s="10" t="s">
        <v>3523</v>
      </c>
      <c r="D2323" s="14" t="s">
        <v>3524</v>
      </c>
      <c r="E2323" s="10"/>
      <c r="F2323" s="10" t="s">
        <v>1962</v>
      </c>
      <c r="G2323" s="111" t="n">
        <v>1</v>
      </c>
      <c r="H2323" s="152" t="n">
        <v>0</v>
      </c>
      <c r="I2323" s="111">
        <f>G2323*H2323</f>
      </c>
      <c r="J2323" s="153" t="s">
        <v>134</v>
      </c>
      <c r="K2323" s="146"/>
      <c r="Z2323" s="111">
        <f>IF(AQ2323="5",BJ2323,0)</f>
      </c>
      <c r="AB2323" s="111">
        <f>IF(AQ2323="1",BH2323,0)</f>
      </c>
      <c r="AC2323" s="111">
        <f>IF(AQ2323="1",BI2323,0)</f>
      </c>
      <c r="AD2323" s="111">
        <f>IF(AQ2323="7",BH2323,0)</f>
      </c>
      <c r="AE2323" s="111">
        <f>IF(AQ2323="7",BI2323,0)</f>
      </c>
      <c r="AF2323" s="111">
        <f>IF(AQ2323="2",BH2323,0)</f>
      </c>
      <c r="AG2323" s="111">
        <f>IF(AQ2323="2",BI2323,0)</f>
      </c>
      <c r="AH2323" s="111">
        <f>IF(AQ2323="0",BJ2323,0)</f>
      </c>
      <c r="AI2323" s="132" t="s">
        <v>87</v>
      </c>
      <c r="AJ2323" s="111">
        <f>IF(AN2323=0,I2323,0)</f>
      </c>
      <c r="AK2323" s="111">
        <f>IF(AN2323=12,I2323,0)</f>
      </c>
      <c r="AL2323" s="111">
        <f>IF(AN2323=21,I2323,0)</f>
      </c>
      <c r="AN2323" s="111" t="n">
        <v>21</v>
      </c>
      <c r="AO2323" s="111">
        <f>H2323*0.714036129</f>
      </c>
      <c r="AP2323" s="111">
        <f>H2323*(1-0.714036129)</f>
      </c>
      <c r="AQ2323" s="153" t="s">
        <v>173</v>
      </c>
      <c r="AV2323" s="111">
        <f>AW2323+AX2323</f>
      </c>
      <c r="AW2323" s="111">
        <f>G2323*AO2323</f>
      </c>
      <c r="AX2323" s="111">
        <f>G2323*AP2323</f>
      </c>
      <c r="AY2323" s="153" t="s">
        <v>1949</v>
      </c>
      <c r="AZ2323" s="153" t="s">
        <v>3333</v>
      </c>
      <c r="BA2323" s="132" t="s">
        <v>2990</v>
      </c>
      <c r="BC2323" s="111">
        <f>AW2323+AX2323</f>
      </c>
      <c r="BD2323" s="111">
        <f>H2323/(100-BE2323)*100</f>
      </c>
      <c r="BE2323" s="111" t="n">
        <v>0</v>
      </c>
      <c r="BF2323" s="111">
        <f>2323</f>
      </c>
      <c r="BH2323" s="111">
        <f>G2323*AO2323</f>
      </c>
      <c r="BI2323" s="111">
        <f>G2323*AP2323</f>
      </c>
      <c r="BJ2323" s="111">
        <f>G2323*H2323</f>
      </c>
      <c r="BK2323" s="111"/>
      <c r="BL2323" s="111" t="n">
        <v>722</v>
      </c>
      <c r="BW2323" s="111" t="n">
        <v>21</v>
      </c>
      <c r="BX2323" s="14" t="s">
        <v>3524</v>
      </c>
    </row>
    <row r="2324">
      <c r="A2324" s="154"/>
      <c r="B2324" s="155"/>
      <c r="C2324" s="155"/>
      <c r="D2324" s="156" t="s">
        <v>130</v>
      </c>
      <c r="E2324" s="156" t="s">
        <v>4</v>
      </c>
      <c r="F2324" s="155"/>
      <c r="G2324" s="157" t="n">
        <v>1</v>
      </c>
      <c r="H2324" s="158"/>
      <c r="I2324" s="155"/>
      <c r="J2324" s="155"/>
      <c r="K2324" s="146"/>
    </row>
    <row r="2325">
      <c r="A2325" s="9" t="s">
        <v>3525</v>
      </c>
      <c r="B2325" s="10" t="s">
        <v>87</v>
      </c>
      <c r="C2325" s="10" t="s">
        <v>3526</v>
      </c>
      <c r="D2325" s="14" t="s">
        <v>3527</v>
      </c>
      <c r="E2325" s="10"/>
      <c r="F2325" s="10" t="s">
        <v>1962</v>
      </c>
      <c r="G2325" s="111" t="n">
        <v>2</v>
      </c>
      <c r="H2325" s="152" t="n">
        <v>0</v>
      </c>
      <c r="I2325" s="111">
        <f>G2325*H2325</f>
      </c>
      <c r="J2325" s="153" t="s">
        <v>134</v>
      </c>
      <c r="K2325" s="146"/>
      <c r="Z2325" s="111">
        <f>IF(AQ2325="5",BJ2325,0)</f>
      </c>
      <c r="AB2325" s="111">
        <f>IF(AQ2325="1",BH2325,0)</f>
      </c>
      <c r="AC2325" s="111">
        <f>IF(AQ2325="1",BI2325,0)</f>
      </c>
      <c r="AD2325" s="111">
        <f>IF(AQ2325="7",BH2325,0)</f>
      </c>
      <c r="AE2325" s="111">
        <f>IF(AQ2325="7",BI2325,0)</f>
      </c>
      <c r="AF2325" s="111">
        <f>IF(AQ2325="2",BH2325,0)</f>
      </c>
      <c r="AG2325" s="111">
        <f>IF(AQ2325="2",BI2325,0)</f>
      </c>
      <c r="AH2325" s="111">
        <f>IF(AQ2325="0",BJ2325,0)</f>
      </c>
      <c r="AI2325" s="132" t="s">
        <v>87</v>
      </c>
      <c r="AJ2325" s="111">
        <f>IF(AN2325=0,I2325,0)</f>
      </c>
      <c r="AK2325" s="111">
        <f>IF(AN2325=12,I2325,0)</f>
      </c>
      <c r="AL2325" s="111">
        <f>IF(AN2325=21,I2325,0)</f>
      </c>
      <c r="AN2325" s="111" t="n">
        <v>21</v>
      </c>
      <c r="AO2325" s="111">
        <f>H2325*0.7500336</f>
      </c>
      <c r="AP2325" s="111">
        <f>H2325*(1-0.7500336)</f>
      </c>
      <c r="AQ2325" s="153" t="s">
        <v>173</v>
      </c>
      <c r="AV2325" s="111">
        <f>AW2325+AX2325</f>
      </c>
      <c r="AW2325" s="111">
        <f>G2325*AO2325</f>
      </c>
      <c r="AX2325" s="111">
        <f>G2325*AP2325</f>
      </c>
      <c r="AY2325" s="153" t="s">
        <v>1949</v>
      </c>
      <c r="AZ2325" s="153" t="s">
        <v>3333</v>
      </c>
      <c r="BA2325" s="132" t="s">
        <v>2990</v>
      </c>
      <c r="BC2325" s="111">
        <f>AW2325+AX2325</f>
      </c>
      <c r="BD2325" s="111">
        <f>H2325/(100-BE2325)*100</f>
      </c>
      <c r="BE2325" s="111" t="n">
        <v>0</v>
      </c>
      <c r="BF2325" s="111">
        <f>2325</f>
      </c>
      <c r="BH2325" s="111">
        <f>G2325*AO2325</f>
      </c>
      <c r="BI2325" s="111">
        <f>G2325*AP2325</f>
      </c>
      <c r="BJ2325" s="111">
        <f>G2325*H2325</f>
      </c>
      <c r="BK2325" s="111"/>
      <c r="BL2325" s="111" t="n">
        <v>722</v>
      </c>
      <c r="BW2325" s="111" t="n">
        <v>21</v>
      </c>
      <c r="BX2325" s="14" t="s">
        <v>3527</v>
      </c>
    </row>
    <row r="2326">
      <c r="A2326" s="154"/>
      <c r="B2326" s="155"/>
      <c r="C2326" s="155"/>
      <c r="D2326" s="156" t="s">
        <v>140</v>
      </c>
      <c r="E2326" s="156" t="s">
        <v>4</v>
      </c>
      <c r="F2326" s="155"/>
      <c r="G2326" s="157" t="n">
        <v>2</v>
      </c>
      <c r="H2326" s="158"/>
      <c r="I2326" s="155"/>
      <c r="J2326" s="155"/>
      <c r="K2326" s="146"/>
    </row>
    <row r="2327">
      <c r="A2327" s="9" t="s">
        <v>3528</v>
      </c>
      <c r="B2327" s="10" t="s">
        <v>87</v>
      </c>
      <c r="C2327" s="10" t="s">
        <v>3529</v>
      </c>
      <c r="D2327" s="14" t="s">
        <v>3530</v>
      </c>
      <c r="E2327" s="10"/>
      <c r="F2327" s="10" t="s">
        <v>133</v>
      </c>
      <c r="G2327" s="111" t="n">
        <v>39</v>
      </c>
      <c r="H2327" s="152" t="n">
        <v>0</v>
      </c>
      <c r="I2327" s="111">
        <f>G2327*H2327</f>
      </c>
      <c r="J2327" s="153" t="s">
        <v>134</v>
      </c>
      <c r="K2327" s="146"/>
      <c r="Z2327" s="111">
        <f>IF(AQ2327="5",BJ2327,0)</f>
      </c>
      <c r="AB2327" s="111">
        <f>IF(AQ2327="1",BH2327,0)</f>
      </c>
      <c r="AC2327" s="111">
        <f>IF(AQ2327="1",BI2327,0)</f>
      </c>
      <c r="AD2327" s="111">
        <f>IF(AQ2327="7",BH2327,0)</f>
      </c>
      <c r="AE2327" s="111">
        <f>IF(AQ2327="7",BI2327,0)</f>
      </c>
      <c r="AF2327" s="111">
        <f>IF(AQ2327="2",BH2327,0)</f>
      </c>
      <c r="AG2327" s="111">
        <f>IF(AQ2327="2",BI2327,0)</f>
      </c>
      <c r="AH2327" s="111">
        <f>IF(AQ2327="0",BJ2327,0)</f>
      </c>
      <c r="AI2327" s="132" t="s">
        <v>87</v>
      </c>
      <c r="AJ2327" s="111">
        <f>IF(AN2327=0,I2327,0)</f>
      </c>
      <c r="AK2327" s="111">
        <f>IF(AN2327=12,I2327,0)</f>
      </c>
      <c r="AL2327" s="111">
        <f>IF(AN2327=21,I2327,0)</f>
      </c>
      <c r="AN2327" s="111" t="n">
        <v>21</v>
      </c>
      <c r="AO2327" s="111">
        <f>H2327*0</f>
      </c>
      <c r="AP2327" s="111">
        <f>H2327*(1-0)</f>
      </c>
      <c r="AQ2327" s="153" t="s">
        <v>173</v>
      </c>
      <c r="AV2327" s="111">
        <f>AW2327+AX2327</f>
      </c>
      <c r="AW2327" s="111">
        <f>G2327*AO2327</f>
      </c>
      <c r="AX2327" s="111">
        <f>G2327*AP2327</f>
      </c>
      <c r="AY2327" s="153" t="s">
        <v>1949</v>
      </c>
      <c r="AZ2327" s="153" t="s">
        <v>3333</v>
      </c>
      <c r="BA2327" s="132" t="s">
        <v>2990</v>
      </c>
      <c r="BC2327" s="111">
        <f>AW2327+AX2327</f>
      </c>
      <c r="BD2327" s="111">
        <f>H2327/(100-BE2327)*100</f>
      </c>
      <c r="BE2327" s="111" t="n">
        <v>0</v>
      </c>
      <c r="BF2327" s="111">
        <f>2327</f>
      </c>
      <c r="BH2327" s="111">
        <f>G2327*AO2327</f>
      </c>
      <c r="BI2327" s="111">
        <f>G2327*AP2327</f>
      </c>
      <c r="BJ2327" s="111">
        <f>G2327*H2327</f>
      </c>
      <c r="BK2327" s="111"/>
      <c r="BL2327" s="111" t="n">
        <v>722</v>
      </c>
      <c r="BW2327" s="111" t="n">
        <v>21</v>
      </c>
      <c r="BX2327" s="14" t="s">
        <v>3530</v>
      </c>
    </row>
    <row r="2328">
      <c r="A2328" s="154"/>
      <c r="B2328" s="155"/>
      <c r="C2328" s="155"/>
      <c r="D2328" s="156" t="s">
        <v>3531</v>
      </c>
      <c r="E2328" s="156" t="s">
        <v>4</v>
      </c>
      <c r="F2328" s="155"/>
      <c r="G2328" s="157" t="n">
        <v>39</v>
      </c>
      <c r="H2328" s="158"/>
      <c r="I2328" s="155"/>
      <c r="J2328" s="155"/>
      <c r="K2328" s="146"/>
    </row>
    <row r="2329">
      <c r="A2329" s="9" t="s">
        <v>3532</v>
      </c>
      <c r="B2329" s="10" t="s">
        <v>87</v>
      </c>
      <c r="C2329" s="10" t="s">
        <v>3533</v>
      </c>
      <c r="D2329" s="14" t="s">
        <v>3534</v>
      </c>
      <c r="E2329" s="10"/>
      <c r="F2329" s="10" t="s">
        <v>133</v>
      </c>
      <c r="G2329" s="111" t="n">
        <v>6</v>
      </c>
      <c r="H2329" s="152" t="n">
        <v>0</v>
      </c>
      <c r="I2329" s="111">
        <f>G2329*H2329</f>
      </c>
      <c r="J2329" s="153" t="s">
        <v>134</v>
      </c>
      <c r="K2329" s="146"/>
      <c r="Z2329" s="111">
        <f>IF(AQ2329="5",BJ2329,0)</f>
      </c>
      <c r="AB2329" s="111">
        <f>IF(AQ2329="1",BH2329,0)</f>
      </c>
      <c r="AC2329" s="111">
        <f>IF(AQ2329="1",BI2329,0)</f>
      </c>
      <c r="AD2329" s="111">
        <f>IF(AQ2329="7",BH2329,0)</f>
      </c>
      <c r="AE2329" s="111">
        <f>IF(AQ2329="7",BI2329,0)</f>
      </c>
      <c r="AF2329" s="111">
        <f>IF(AQ2329="2",BH2329,0)</f>
      </c>
      <c r="AG2329" s="111">
        <f>IF(AQ2329="2",BI2329,0)</f>
      </c>
      <c r="AH2329" s="111">
        <f>IF(AQ2329="0",BJ2329,0)</f>
      </c>
      <c r="AI2329" s="132" t="s">
        <v>87</v>
      </c>
      <c r="AJ2329" s="111">
        <f>IF(AN2329=0,I2329,0)</f>
      </c>
      <c r="AK2329" s="111">
        <f>IF(AN2329=12,I2329,0)</f>
      </c>
      <c r="AL2329" s="111">
        <f>IF(AN2329=21,I2329,0)</f>
      </c>
      <c r="AN2329" s="111" t="n">
        <v>21</v>
      </c>
      <c r="AO2329" s="111">
        <f>H2329*0</f>
      </c>
      <c r="AP2329" s="111">
        <f>H2329*(1-0)</f>
      </c>
      <c r="AQ2329" s="153" t="s">
        <v>173</v>
      </c>
      <c r="AV2329" s="111">
        <f>AW2329+AX2329</f>
      </c>
      <c r="AW2329" s="111">
        <f>G2329*AO2329</f>
      </c>
      <c r="AX2329" s="111">
        <f>G2329*AP2329</f>
      </c>
      <c r="AY2329" s="153" t="s">
        <v>1949</v>
      </c>
      <c r="AZ2329" s="153" t="s">
        <v>3333</v>
      </c>
      <c r="BA2329" s="132" t="s">
        <v>2990</v>
      </c>
      <c r="BC2329" s="111">
        <f>AW2329+AX2329</f>
      </c>
      <c r="BD2329" s="111">
        <f>H2329/(100-BE2329)*100</f>
      </c>
      <c r="BE2329" s="111" t="n">
        <v>0</v>
      </c>
      <c r="BF2329" s="111">
        <f>2329</f>
      </c>
      <c r="BH2329" s="111">
        <f>G2329*AO2329</f>
      </c>
      <c r="BI2329" s="111">
        <f>G2329*AP2329</f>
      </c>
      <c r="BJ2329" s="111">
        <f>G2329*H2329</f>
      </c>
      <c r="BK2329" s="111"/>
      <c r="BL2329" s="111" t="n">
        <v>722</v>
      </c>
      <c r="BW2329" s="111" t="n">
        <v>21</v>
      </c>
      <c r="BX2329" s="14" t="s">
        <v>3534</v>
      </c>
    </row>
    <row r="2330">
      <c r="A2330" s="154"/>
      <c r="B2330" s="155"/>
      <c r="C2330" s="155"/>
      <c r="D2330" s="156" t="s">
        <v>165</v>
      </c>
      <c r="E2330" s="156" t="s">
        <v>4</v>
      </c>
      <c r="F2330" s="155"/>
      <c r="G2330" s="157" t="n">
        <v>6</v>
      </c>
      <c r="H2330" s="158"/>
      <c r="I2330" s="155"/>
      <c r="J2330" s="155"/>
      <c r="K2330" s="146"/>
    </row>
    <row r="2331">
      <c r="A2331" s="9" t="s">
        <v>3535</v>
      </c>
      <c r="B2331" s="10" t="s">
        <v>87</v>
      </c>
      <c r="C2331" s="10" t="s">
        <v>3536</v>
      </c>
      <c r="D2331" s="14" t="s">
        <v>3537</v>
      </c>
      <c r="E2331" s="10"/>
      <c r="F2331" s="10" t="s">
        <v>1962</v>
      </c>
      <c r="G2331" s="111" t="n">
        <v>20</v>
      </c>
      <c r="H2331" s="152" t="n">
        <v>0</v>
      </c>
      <c r="I2331" s="111">
        <f>G2331*H2331</f>
      </c>
      <c r="J2331" s="153" t="s">
        <v>134</v>
      </c>
      <c r="K2331" s="146"/>
      <c r="Z2331" s="111">
        <f>IF(AQ2331="5",BJ2331,0)</f>
      </c>
      <c r="AB2331" s="111">
        <f>IF(AQ2331="1",BH2331,0)</f>
      </c>
      <c r="AC2331" s="111">
        <f>IF(AQ2331="1",BI2331,0)</f>
      </c>
      <c r="AD2331" s="111">
        <f>IF(AQ2331="7",BH2331,0)</f>
      </c>
      <c r="AE2331" s="111">
        <f>IF(AQ2331="7",BI2331,0)</f>
      </c>
      <c r="AF2331" s="111">
        <f>IF(AQ2331="2",BH2331,0)</f>
      </c>
      <c r="AG2331" s="111">
        <f>IF(AQ2331="2",BI2331,0)</f>
      </c>
      <c r="AH2331" s="111">
        <f>IF(AQ2331="0",BJ2331,0)</f>
      </c>
      <c r="AI2331" s="132" t="s">
        <v>87</v>
      </c>
      <c r="AJ2331" s="111">
        <f>IF(AN2331=0,I2331,0)</f>
      </c>
      <c r="AK2331" s="111">
        <f>IF(AN2331=12,I2331,0)</f>
      </c>
      <c r="AL2331" s="111">
        <f>IF(AN2331=21,I2331,0)</f>
      </c>
      <c r="AN2331" s="111" t="n">
        <v>21</v>
      </c>
      <c r="AO2331" s="111">
        <f>H2331*0.73411236</f>
      </c>
      <c r="AP2331" s="111">
        <f>H2331*(1-0.73411236)</f>
      </c>
      <c r="AQ2331" s="153" t="s">
        <v>173</v>
      </c>
      <c r="AV2331" s="111">
        <f>AW2331+AX2331</f>
      </c>
      <c r="AW2331" s="111">
        <f>G2331*AO2331</f>
      </c>
      <c r="AX2331" s="111">
        <f>G2331*AP2331</f>
      </c>
      <c r="AY2331" s="153" t="s">
        <v>1949</v>
      </c>
      <c r="AZ2331" s="153" t="s">
        <v>3333</v>
      </c>
      <c r="BA2331" s="132" t="s">
        <v>2990</v>
      </c>
      <c r="BC2331" s="111">
        <f>AW2331+AX2331</f>
      </c>
      <c r="BD2331" s="111">
        <f>H2331/(100-BE2331)*100</f>
      </c>
      <c r="BE2331" s="111" t="n">
        <v>0</v>
      </c>
      <c r="BF2331" s="111">
        <f>2331</f>
      </c>
      <c r="BH2331" s="111">
        <f>G2331*AO2331</f>
      </c>
      <c r="BI2331" s="111">
        <f>G2331*AP2331</f>
      </c>
      <c r="BJ2331" s="111">
        <f>G2331*H2331</f>
      </c>
      <c r="BK2331" s="111"/>
      <c r="BL2331" s="111" t="n">
        <v>722</v>
      </c>
      <c r="BW2331" s="111" t="n">
        <v>21</v>
      </c>
      <c r="BX2331" s="14" t="s">
        <v>3537</v>
      </c>
    </row>
    <row r="2332">
      <c r="A2332" s="154"/>
      <c r="B2332" s="155"/>
      <c r="C2332" s="155"/>
      <c r="D2332" s="156" t="s">
        <v>3538</v>
      </c>
      <c r="E2332" s="156" t="s">
        <v>4</v>
      </c>
      <c r="F2332" s="155"/>
      <c r="G2332" s="157" t="n">
        <v>20</v>
      </c>
      <c r="H2332" s="158"/>
      <c r="I2332" s="155"/>
      <c r="J2332" s="155"/>
      <c r="K2332" s="146"/>
    </row>
    <row r="2333">
      <c r="A2333" s="9" t="s">
        <v>3539</v>
      </c>
      <c r="B2333" s="10" t="s">
        <v>87</v>
      </c>
      <c r="C2333" s="10" t="s">
        <v>3540</v>
      </c>
      <c r="D2333" s="14" t="s">
        <v>3541</v>
      </c>
      <c r="E2333" s="10"/>
      <c r="F2333" s="10" t="s">
        <v>1962</v>
      </c>
      <c r="G2333" s="111" t="n">
        <v>5</v>
      </c>
      <c r="H2333" s="152" t="n">
        <v>0</v>
      </c>
      <c r="I2333" s="111">
        <f>G2333*H2333</f>
      </c>
      <c r="J2333" s="153" t="s">
        <v>134</v>
      </c>
      <c r="K2333" s="146"/>
      <c r="Z2333" s="111">
        <f>IF(AQ2333="5",BJ2333,0)</f>
      </c>
      <c r="AB2333" s="111">
        <f>IF(AQ2333="1",BH2333,0)</f>
      </c>
      <c r="AC2333" s="111">
        <f>IF(AQ2333="1",BI2333,0)</f>
      </c>
      <c r="AD2333" s="111">
        <f>IF(AQ2333="7",BH2333,0)</f>
      </c>
      <c r="AE2333" s="111">
        <f>IF(AQ2333="7",BI2333,0)</f>
      </c>
      <c r="AF2333" s="111">
        <f>IF(AQ2333="2",BH2333,0)</f>
      </c>
      <c r="AG2333" s="111">
        <f>IF(AQ2333="2",BI2333,0)</f>
      </c>
      <c r="AH2333" s="111">
        <f>IF(AQ2333="0",BJ2333,0)</f>
      </c>
      <c r="AI2333" s="132" t="s">
        <v>87</v>
      </c>
      <c r="AJ2333" s="111">
        <f>IF(AN2333=0,I2333,0)</f>
      </c>
      <c r="AK2333" s="111">
        <f>IF(AN2333=12,I2333,0)</f>
      </c>
      <c r="AL2333" s="111">
        <f>IF(AN2333=21,I2333,0)</f>
      </c>
      <c r="AN2333" s="111" t="n">
        <v>21</v>
      </c>
      <c r="AO2333" s="111">
        <f>H2333*0.776332703</f>
      </c>
      <c r="AP2333" s="111">
        <f>H2333*(1-0.776332703)</f>
      </c>
      <c r="AQ2333" s="153" t="s">
        <v>173</v>
      </c>
      <c r="AV2333" s="111">
        <f>AW2333+AX2333</f>
      </c>
      <c r="AW2333" s="111">
        <f>G2333*AO2333</f>
      </c>
      <c r="AX2333" s="111">
        <f>G2333*AP2333</f>
      </c>
      <c r="AY2333" s="153" t="s">
        <v>1949</v>
      </c>
      <c r="AZ2333" s="153" t="s">
        <v>3333</v>
      </c>
      <c r="BA2333" s="132" t="s">
        <v>2990</v>
      </c>
      <c r="BC2333" s="111">
        <f>AW2333+AX2333</f>
      </c>
      <c r="BD2333" s="111">
        <f>H2333/(100-BE2333)*100</f>
      </c>
      <c r="BE2333" s="111" t="n">
        <v>0</v>
      </c>
      <c r="BF2333" s="111">
        <f>2333</f>
      </c>
      <c r="BH2333" s="111">
        <f>G2333*AO2333</f>
      </c>
      <c r="BI2333" s="111">
        <f>G2333*AP2333</f>
      </c>
      <c r="BJ2333" s="111">
        <f>G2333*H2333</f>
      </c>
      <c r="BK2333" s="111"/>
      <c r="BL2333" s="111" t="n">
        <v>722</v>
      </c>
      <c r="BW2333" s="111" t="n">
        <v>21</v>
      </c>
      <c r="BX2333" s="14" t="s">
        <v>3541</v>
      </c>
    </row>
    <row r="2334">
      <c r="A2334" s="154"/>
      <c r="B2334" s="155"/>
      <c r="C2334" s="155"/>
      <c r="D2334" s="156" t="s">
        <v>156</v>
      </c>
      <c r="E2334" s="156" t="s">
        <v>4</v>
      </c>
      <c r="F2334" s="155"/>
      <c r="G2334" s="157" t="n">
        <v>5</v>
      </c>
      <c r="H2334" s="158"/>
      <c r="I2334" s="155"/>
      <c r="J2334" s="155"/>
      <c r="K2334" s="146"/>
    </row>
    <row r="2335">
      <c r="A2335" s="9" t="s">
        <v>3542</v>
      </c>
      <c r="B2335" s="10" t="s">
        <v>87</v>
      </c>
      <c r="C2335" s="10" t="s">
        <v>3543</v>
      </c>
      <c r="D2335" s="14" t="s">
        <v>3544</v>
      </c>
      <c r="E2335" s="10"/>
      <c r="F2335" s="10" t="s">
        <v>1962</v>
      </c>
      <c r="G2335" s="111" t="n">
        <v>15</v>
      </c>
      <c r="H2335" s="152" t="n">
        <v>0</v>
      </c>
      <c r="I2335" s="111">
        <f>G2335*H2335</f>
      </c>
      <c r="J2335" s="153" t="s">
        <v>134</v>
      </c>
      <c r="K2335" s="146"/>
      <c r="Z2335" s="111">
        <f>IF(AQ2335="5",BJ2335,0)</f>
      </c>
      <c r="AB2335" s="111">
        <f>IF(AQ2335="1",BH2335,0)</f>
      </c>
      <c r="AC2335" s="111">
        <f>IF(AQ2335="1",BI2335,0)</f>
      </c>
      <c r="AD2335" s="111">
        <f>IF(AQ2335="7",BH2335,0)</f>
      </c>
      <c r="AE2335" s="111">
        <f>IF(AQ2335="7",BI2335,0)</f>
      </c>
      <c r="AF2335" s="111">
        <f>IF(AQ2335="2",BH2335,0)</f>
      </c>
      <c r="AG2335" s="111">
        <f>IF(AQ2335="2",BI2335,0)</f>
      </c>
      <c r="AH2335" s="111">
        <f>IF(AQ2335="0",BJ2335,0)</f>
      </c>
      <c r="AI2335" s="132" t="s">
        <v>87</v>
      </c>
      <c r="AJ2335" s="111">
        <f>IF(AN2335=0,I2335,0)</f>
      </c>
      <c r="AK2335" s="111">
        <f>IF(AN2335=12,I2335,0)</f>
      </c>
      <c r="AL2335" s="111">
        <f>IF(AN2335=21,I2335,0)</f>
      </c>
      <c r="AN2335" s="111" t="n">
        <v>21</v>
      </c>
      <c r="AO2335" s="111">
        <f>H2335*0.632508124</f>
      </c>
      <c r="AP2335" s="111">
        <f>H2335*(1-0.632508124)</f>
      </c>
      <c r="AQ2335" s="153" t="s">
        <v>173</v>
      </c>
      <c r="AV2335" s="111">
        <f>AW2335+AX2335</f>
      </c>
      <c r="AW2335" s="111">
        <f>G2335*AO2335</f>
      </c>
      <c r="AX2335" s="111">
        <f>G2335*AP2335</f>
      </c>
      <c r="AY2335" s="153" t="s">
        <v>1949</v>
      </c>
      <c r="AZ2335" s="153" t="s">
        <v>3333</v>
      </c>
      <c r="BA2335" s="132" t="s">
        <v>2990</v>
      </c>
      <c r="BC2335" s="111">
        <f>AW2335+AX2335</f>
      </c>
      <c r="BD2335" s="111">
        <f>H2335/(100-BE2335)*100</f>
      </c>
      <c r="BE2335" s="111" t="n">
        <v>0</v>
      </c>
      <c r="BF2335" s="111">
        <f>2335</f>
      </c>
      <c r="BH2335" s="111">
        <f>G2335*AO2335</f>
      </c>
      <c r="BI2335" s="111">
        <f>G2335*AP2335</f>
      </c>
      <c r="BJ2335" s="111">
        <f>G2335*H2335</f>
      </c>
      <c r="BK2335" s="111"/>
      <c r="BL2335" s="111" t="n">
        <v>722</v>
      </c>
      <c r="BW2335" s="111" t="n">
        <v>21</v>
      </c>
      <c r="BX2335" s="14" t="s">
        <v>3544</v>
      </c>
    </row>
    <row r="2336">
      <c r="A2336" s="154"/>
      <c r="B2336" s="155"/>
      <c r="C2336" s="155"/>
      <c r="D2336" s="156" t="s">
        <v>224</v>
      </c>
      <c r="E2336" s="156" t="s">
        <v>4</v>
      </c>
      <c r="F2336" s="155"/>
      <c r="G2336" s="157" t="n">
        <v>15</v>
      </c>
      <c r="H2336" s="158"/>
      <c r="I2336" s="155"/>
      <c r="J2336" s="155"/>
      <c r="K2336" s="146"/>
    </row>
    <row r="2337">
      <c r="A2337" s="9" t="s">
        <v>3545</v>
      </c>
      <c r="B2337" s="10" t="s">
        <v>87</v>
      </c>
      <c r="C2337" s="10" t="s">
        <v>3546</v>
      </c>
      <c r="D2337" s="14" t="s">
        <v>3547</v>
      </c>
      <c r="E2337" s="10"/>
      <c r="F2337" s="10" t="s">
        <v>133</v>
      </c>
      <c r="G2337" s="111" t="n">
        <v>1</v>
      </c>
      <c r="H2337" s="152" t="n">
        <v>0</v>
      </c>
      <c r="I2337" s="111">
        <f>G2337*H2337</f>
      </c>
      <c r="J2337" s="153" t="s">
        <v>134</v>
      </c>
      <c r="K2337" s="146"/>
      <c r="Z2337" s="111">
        <f>IF(AQ2337="5",BJ2337,0)</f>
      </c>
      <c r="AB2337" s="111">
        <f>IF(AQ2337="1",BH2337,0)</f>
      </c>
      <c r="AC2337" s="111">
        <f>IF(AQ2337="1",BI2337,0)</f>
      </c>
      <c r="AD2337" s="111">
        <f>IF(AQ2337="7",BH2337,0)</f>
      </c>
      <c r="AE2337" s="111">
        <f>IF(AQ2337="7",BI2337,0)</f>
      </c>
      <c r="AF2337" s="111">
        <f>IF(AQ2337="2",BH2337,0)</f>
      </c>
      <c r="AG2337" s="111">
        <f>IF(AQ2337="2",BI2337,0)</f>
      </c>
      <c r="AH2337" s="111">
        <f>IF(AQ2337="0",BJ2337,0)</f>
      </c>
      <c r="AI2337" s="132" t="s">
        <v>87</v>
      </c>
      <c r="AJ2337" s="111">
        <f>IF(AN2337=0,I2337,0)</f>
      </c>
      <c r="AK2337" s="111">
        <f>IF(AN2337=12,I2337,0)</f>
      </c>
      <c r="AL2337" s="111">
        <f>IF(AN2337=21,I2337,0)</f>
      </c>
      <c r="AN2337" s="111" t="n">
        <v>21</v>
      </c>
      <c r="AO2337" s="111">
        <f>H2337*0.928205782</f>
      </c>
      <c r="AP2337" s="111">
        <f>H2337*(1-0.928205782)</f>
      </c>
      <c r="AQ2337" s="153" t="s">
        <v>173</v>
      </c>
      <c r="AV2337" s="111">
        <f>AW2337+AX2337</f>
      </c>
      <c r="AW2337" s="111">
        <f>G2337*AO2337</f>
      </c>
      <c r="AX2337" s="111">
        <f>G2337*AP2337</f>
      </c>
      <c r="AY2337" s="153" t="s">
        <v>1949</v>
      </c>
      <c r="AZ2337" s="153" t="s">
        <v>3333</v>
      </c>
      <c r="BA2337" s="132" t="s">
        <v>2990</v>
      </c>
      <c r="BC2337" s="111">
        <f>AW2337+AX2337</f>
      </c>
      <c r="BD2337" s="111">
        <f>H2337/(100-BE2337)*100</f>
      </c>
      <c r="BE2337" s="111" t="n">
        <v>0</v>
      </c>
      <c r="BF2337" s="111">
        <f>2337</f>
      </c>
      <c r="BH2337" s="111">
        <f>G2337*AO2337</f>
      </c>
      <c r="BI2337" s="111">
        <f>G2337*AP2337</f>
      </c>
      <c r="BJ2337" s="111">
        <f>G2337*H2337</f>
      </c>
      <c r="BK2337" s="111"/>
      <c r="BL2337" s="111" t="n">
        <v>722</v>
      </c>
      <c r="BW2337" s="111" t="n">
        <v>21</v>
      </c>
      <c r="BX2337" s="14" t="s">
        <v>3547</v>
      </c>
    </row>
    <row r="2338">
      <c r="A2338" s="154"/>
      <c r="B2338" s="155"/>
      <c r="C2338" s="155"/>
      <c r="D2338" s="156" t="s">
        <v>130</v>
      </c>
      <c r="E2338" s="156" t="s">
        <v>4</v>
      </c>
      <c r="F2338" s="155"/>
      <c r="G2338" s="157" t="n">
        <v>1</v>
      </c>
      <c r="H2338" s="158"/>
      <c r="I2338" s="155"/>
      <c r="J2338" s="155"/>
      <c r="K2338" s="146"/>
    </row>
    <row r="2339">
      <c r="A2339" s="9" t="s">
        <v>3548</v>
      </c>
      <c r="B2339" s="10" t="s">
        <v>87</v>
      </c>
      <c r="C2339" s="10" t="s">
        <v>3549</v>
      </c>
      <c r="D2339" s="14" t="s">
        <v>3550</v>
      </c>
      <c r="E2339" s="10"/>
      <c r="F2339" s="10" t="s">
        <v>133</v>
      </c>
      <c r="G2339" s="111" t="n">
        <v>47</v>
      </c>
      <c r="H2339" s="152" t="n">
        <v>0</v>
      </c>
      <c r="I2339" s="111">
        <f>G2339*H2339</f>
      </c>
      <c r="J2339" s="153" t="s">
        <v>134</v>
      </c>
      <c r="K2339" s="146"/>
      <c r="Z2339" s="111">
        <f>IF(AQ2339="5",BJ2339,0)</f>
      </c>
      <c r="AB2339" s="111">
        <f>IF(AQ2339="1",BH2339,0)</f>
      </c>
      <c r="AC2339" s="111">
        <f>IF(AQ2339="1",BI2339,0)</f>
      </c>
      <c r="AD2339" s="111">
        <f>IF(AQ2339="7",BH2339,0)</f>
      </c>
      <c r="AE2339" s="111">
        <f>IF(AQ2339="7",BI2339,0)</f>
      </c>
      <c r="AF2339" s="111">
        <f>IF(AQ2339="2",BH2339,0)</f>
      </c>
      <c r="AG2339" s="111">
        <f>IF(AQ2339="2",BI2339,0)</f>
      </c>
      <c r="AH2339" s="111">
        <f>IF(AQ2339="0",BJ2339,0)</f>
      </c>
      <c r="AI2339" s="132" t="s">
        <v>87</v>
      </c>
      <c r="AJ2339" s="111">
        <f>IF(AN2339=0,I2339,0)</f>
      </c>
      <c r="AK2339" s="111">
        <f>IF(AN2339=12,I2339,0)</f>
      </c>
      <c r="AL2339" s="111">
        <f>IF(AN2339=21,I2339,0)</f>
      </c>
      <c r="AN2339" s="111" t="n">
        <v>21</v>
      </c>
      <c r="AO2339" s="111">
        <f>H2339*0.522836625</f>
      </c>
      <c r="AP2339" s="111">
        <f>H2339*(1-0.522836625)</f>
      </c>
      <c r="AQ2339" s="153" t="s">
        <v>173</v>
      </c>
      <c r="AV2339" s="111">
        <f>AW2339+AX2339</f>
      </c>
      <c r="AW2339" s="111">
        <f>G2339*AO2339</f>
      </c>
      <c r="AX2339" s="111">
        <f>G2339*AP2339</f>
      </c>
      <c r="AY2339" s="153" t="s">
        <v>1949</v>
      </c>
      <c r="AZ2339" s="153" t="s">
        <v>3333</v>
      </c>
      <c r="BA2339" s="132" t="s">
        <v>2990</v>
      </c>
      <c r="BC2339" s="111">
        <f>AW2339+AX2339</f>
      </c>
      <c r="BD2339" s="111">
        <f>H2339/(100-BE2339)*100</f>
      </c>
      <c r="BE2339" s="111" t="n">
        <v>0</v>
      </c>
      <c r="BF2339" s="111">
        <f>2339</f>
      </c>
      <c r="BH2339" s="111">
        <f>G2339*AO2339</f>
      </c>
      <c r="BI2339" s="111">
        <f>G2339*AP2339</f>
      </c>
      <c r="BJ2339" s="111">
        <f>G2339*H2339</f>
      </c>
      <c r="BK2339" s="111"/>
      <c r="BL2339" s="111" t="n">
        <v>722</v>
      </c>
      <c r="BW2339" s="111" t="n">
        <v>21</v>
      </c>
      <c r="BX2339" s="14" t="s">
        <v>3550</v>
      </c>
    </row>
    <row r="2340">
      <c r="A2340" s="154"/>
      <c r="B2340" s="155"/>
      <c r="C2340" s="155"/>
      <c r="D2340" s="156" t="s">
        <v>3551</v>
      </c>
      <c r="E2340" s="156" t="s">
        <v>4</v>
      </c>
      <c r="F2340" s="155"/>
      <c r="G2340" s="157" t="n">
        <v>47</v>
      </c>
      <c r="H2340" s="158"/>
      <c r="I2340" s="155"/>
      <c r="J2340" s="155"/>
      <c r="K2340" s="146"/>
    </row>
    <row r="2341">
      <c r="A2341" s="9" t="s">
        <v>3552</v>
      </c>
      <c r="B2341" s="10" t="s">
        <v>87</v>
      </c>
      <c r="C2341" s="10" t="s">
        <v>3553</v>
      </c>
      <c r="D2341" s="14" t="s">
        <v>3554</v>
      </c>
      <c r="E2341" s="10"/>
      <c r="F2341" s="10" t="s">
        <v>3555</v>
      </c>
      <c r="G2341" s="111" t="n">
        <v>5</v>
      </c>
      <c r="H2341" s="152" t="n">
        <v>0</v>
      </c>
      <c r="I2341" s="111">
        <f>G2341*H2341</f>
      </c>
      <c r="J2341" s="153" t="s">
        <v>134</v>
      </c>
      <c r="K2341" s="146"/>
      <c r="Z2341" s="111">
        <f>IF(AQ2341="5",BJ2341,0)</f>
      </c>
      <c r="AB2341" s="111">
        <f>IF(AQ2341="1",BH2341,0)</f>
      </c>
      <c r="AC2341" s="111">
        <f>IF(AQ2341="1",BI2341,0)</f>
      </c>
      <c r="AD2341" s="111">
        <f>IF(AQ2341="7",BH2341,0)</f>
      </c>
      <c r="AE2341" s="111">
        <f>IF(AQ2341="7",BI2341,0)</f>
      </c>
      <c r="AF2341" s="111">
        <f>IF(AQ2341="2",BH2341,0)</f>
      </c>
      <c r="AG2341" s="111">
        <f>IF(AQ2341="2",BI2341,0)</f>
      </c>
      <c r="AH2341" s="111">
        <f>IF(AQ2341="0",BJ2341,0)</f>
      </c>
      <c r="AI2341" s="132" t="s">
        <v>87</v>
      </c>
      <c r="AJ2341" s="111">
        <f>IF(AN2341=0,I2341,0)</f>
      </c>
      <c r="AK2341" s="111">
        <f>IF(AN2341=12,I2341,0)</f>
      </c>
      <c r="AL2341" s="111">
        <f>IF(AN2341=21,I2341,0)</f>
      </c>
      <c r="AN2341" s="111" t="n">
        <v>21</v>
      </c>
      <c r="AO2341" s="111">
        <f>H2341*0.529750446</f>
      </c>
      <c r="AP2341" s="111">
        <f>H2341*(1-0.529750446)</f>
      </c>
      <c r="AQ2341" s="153" t="s">
        <v>173</v>
      </c>
      <c r="AV2341" s="111">
        <f>AW2341+AX2341</f>
      </c>
      <c r="AW2341" s="111">
        <f>G2341*AO2341</f>
      </c>
      <c r="AX2341" s="111">
        <f>G2341*AP2341</f>
      </c>
      <c r="AY2341" s="153" t="s">
        <v>1949</v>
      </c>
      <c r="AZ2341" s="153" t="s">
        <v>3333</v>
      </c>
      <c r="BA2341" s="132" t="s">
        <v>2990</v>
      </c>
      <c r="BC2341" s="111">
        <f>AW2341+AX2341</f>
      </c>
      <c r="BD2341" s="111">
        <f>H2341/(100-BE2341)*100</f>
      </c>
      <c r="BE2341" s="111" t="n">
        <v>0</v>
      </c>
      <c r="BF2341" s="111">
        <f>2341</f>
      </c>
      <c r="BH2341" s="111">
        <f>G2341*AO2341</f>
      </c>
      <c r="BI2341" s="111">
        <f>G2341*AP2341</f>
      </c>
      <c r="BJ2341" s="111">
        <f>G2341*H2341</f>
      </c>
      <c r="BK2341" s="111"/>
      <c r="BL2341" s="111" t="n">
        <v>722</v>
      </c>
      <c r="BW2341" s="111" t="n">
        <v>21</v>
      </c>
      <c r="BX2341" s="14" t="s">
        <v>3554</v>
      </c>
    </row>
    <row r="2342">
      <c r="A2342" s="154"/>
      <c r="B2342" s="155"/>
      <c r="C2342" s="155"/>
      <c r="D2342" s="156" t="s">
        <v>3556</v>
      </c>
      <c r="E2342" s="156" t="s">
        <v>4</v>
      </c>
      <c r="F2342" s="155"/>
      <c r="G2342" s="157" t="n">
        <v>5</v>
      </c>
      <c r="H2342" s="158"/>
      <c r="I2342" s="155"/>
      <c r="J2342" s="155"/>
      <c r="K2342" s="146"/>
    </row>
    <row r="2343">
      <c r="A2343" s="9" t="s">
        <v>3557</v>
      </c>
      <c r="B2343" s="10" t="s">
        <v>87</v>
      </c>
      <c r="C2343" s="10" t="s">
        <v>3558</v>
      </c>
      <c r="D2343" s="14" t="s">
        <v>3559</v>
      </c>
      <c r="E2343" s="10"/>
      <c r="F2343" s="10" t="s">
        <v>133</v>
      </c>
      <c r="G2343" s="111" t="n">
        <v>2</v>
      </c>
      <c r="H2343" s="152" t="n">
        <v>0</v>
      </c>
      <c r="I2343" s="111">
        <f>G2343*H2343</f>
      </c>
      <c r="J2343" s="153" t="s">
        <v>134</v>
      </c>
      <c r="K2343" s="146"/>
      <c r="Z2343" s="111">
        <f>IF(AQ2343="5",BJ2343,0)</f>
      </c>
      <c r="AB2343" s="111">
        <f>IF(AQ2343="1",BH2343,0)</f>
      </c>
      <c r="AC2343" s="111">
        <f>IF(AQ2343="1",BI2343,0)</f>
      </c>
      <c r="AD2343" s="111">
        <f>IF(AQ2343="7",BH2343,0)</f>
      </c>
      <c r="AE2343" s="111">
        <f>IF(AQ2343="7",BI2343,0)</f>
      </c>
      <c r="AF2343" s="111">
        <f>IF(AQ2343="2",BH2343,0)</f>
      </c>
      <c r="AG2343" s="111">
        <f>IF(AQ2343="2",BI2343,0)</f>
      </c>
      <c r="AH2343" s="111">
        <f>IF(AQ2343="0",BJ2343,0)</f>
      </c>
      <c r="AI2343" s="132" t="s">
        <v>87</v>
      </c>
      <c r="AJ2343" s="111">
        <f>IF(AN2343=0,I2343,0)</f>
      </c>
      <c r="AK2343" s="111">
        <f>IF(AN2343=12,I2343,0)</f>
      </c>
      <c r="AL2343" s="111">
        <f>IF(AN2343=21,I2343,0)</f>
      </c>
      <c r="AN2343" s="111" t="n">
        <v>21</v>
      </c>
      <c r="AO2343" s="111">
        <f>H2343*0.852020634</f>
      </c>
      <c r="AP2343" s="111">
        <f>H2343*(1-0.852020634)</f>
      </c>
      <c r="AQ2343" s="153" t="s">
        <v>173</v>
      </c>
      <c r="AV2343" s="111">
        <f>AW2343+AX2343</f>
      </c>
      <c r="AW2343" s="111">
        <f>G2343*AO2343</f>
      </c>
      <c r="AX2343" s="111">
        <f>G2343*AP2343</f>
      </c>
      <c r="AY2343" s="153" t="s">
        <v>1949</v>
      </c>
      <c r="AZ2343" s="153" t="s">
        <v>3333</v>
      </c>
      <c r="BA2343" s="132" t="s">
        <v>2990</v>
      </c>
      <c r="BC2343" s="111">
        <f>AW2343+AX2343</f>
      </c>
      <c r="BD2343" s="111">
        <f>H2343/(100-BE2343)*100</f>
      </c>
      <c r="BE2343" s="111" t="n">
        <v>0</v>
      </c>
      <c r="BF2343" s="111">
        <f>2343</f>
      </c>
      <c r="BH2343" s="111">
        <f>G2343*AO2343</f>
      </c>
      <c r="BI2343" s="111">
        <f>G2343*AP2343</f>
      </c>
      <c r="BJ2343" s="111">
        <f>G2343*H2343</f>
      </c>
      <c r="BK2343" s="111"/>
      <c r="BL2343" s="111" t="n">
        <v>722</v>
      </c>
      <c r="BW2343" s="111" t="n">
        <v>21</v>
      </c>
      <c r="BX2343" s="14" t="s">
        <v>3559</v>
      </c>
    </row>
    <row r="2344">
      <c r="A2344" s="154"/>
      <c r="B2344" s="155"/>
      <c r="C2344" s="155"/>
      <c r="D2344" s="156" t="s">
        <v>140</v>
      </c>
      <c r="E2344" s="156" t="s">
        <v>4</v>
      </c>
      <c r="F2344" s="155"/>
      <c r="G2344" s="157" t="n">
        <v>2</v>
      </c>
      <c r="H2344" s="158"/>
      <c r="I2344" s="155"/>
      <c r="J2344" s="155"/>
      <c r="K2344" s="146"/>
    </row>
    <row r="2345">
      <c r="A2345" s="9" t="s">
        <v>3560</v>
      </c>
      <c r="B2345" s="10" t="s">
        <v>87</v>
      </c>
      <c r="C2345" s="10" t="s">
        <v>3561</v>
      </c>
      <c r="D2345" s="14" t="s">
        <v>3562</v>
      </c>
      <c r="E2345" s="10"/>
      <c r="F2345" s="10" t="s">
        <v>133</v>
      </c>
      <c r="G2345" s="111" t="n">
        <v>1</v>
      </c>
      <c r="H2345" s="152" t="n">
        <v>0</v>
      </c>
      <c r="I2345" s="111">
        <f>G2345*H2345</f>
      </c>
      <c r="J2345" s="153" t="s">
        <v>134</v>
      </c>
      <c r="K2345" s="146"/>
      <c r="Z2345" s="111">
        <f>IF(AQ2345="5",BJ2345,0)</f>
      </c>
      <c r="AB2345" s="111">
        <f>IF(AQ2345="1",BH2345,0)</f>
      </c>
      <c r="AC2345" s="111">
        <f>IF(AQ2345="1",BI2345,0)</f>
      </c>
      <c r="AD2345" s="111">
        <f>IF(AQ2345="7",BH2345,0)</f>
      </c>
      <c r="AE2345" s="111">
        <f>IF(AQ2345="7",BI2345,0)</f>
      </c>
      <c r="AF2345" s="111">
        <f>IF(AQ2345="2",BH2345,0)</f>
      </c>
      <c r="AG2345" s="111">
        <f>IF(AQ2345="2",BI2345,0)</f>
      </c>
      <c r="AH2345" s="111">
        <f>IF(AQ2345="0",BJ2345,0)</f>
      </c>
      <c r="AI2345" s="132" t="s">
        <v>87</v>
      </c>
      <c r="AJ2345" s="111">
        <f>IF(AN2345=0,I2345,0)</f>
      </c>
      <c r="AK2345" s="111">
        <f>IF(AN2345=12,I2345,0)</f>
      </c>
      <c r="AL2345" s="111">
        <f>IF(AN2345=21,I2345,0)</f>
      </c>
      <c r="AN2345" s="111" t="n">
        <v>21</v>
      </c>
      <c r="AO2345" s="111">
        <f>H2345*0.950420124</f>
      </c>
      <c r="AP2345" s="111">
        <f>H2345*(1-0.950420124)</f>
      </c>
      <c r="AQ2345" s="153" t="s">
        <v>173</v>
      </c>
      <c r="AV2345" s="111">
        <f>AW2345+AX2345</f>
      </c>
      <c r="AW2345" s="111">
        <f>G2345*AO2345</f>
      </c>
      <c r="AX2345" s="111">
        <f>G2345*AP2345</f>
      </c>
      <c r="AY2345" s="153" t="s">
        <v>1949</v>
      </c>
      <c r="AZ2345" s="153" t="s">
        <v>3333</v>
      </c>
      <c r="BA2345" s="132" t="s">
        <v>2990</v>
      </c>
      <c r="BC2345" s="111">
        <f>AW2345+AX2345</f>
      </c>
      <c r="BD2345" s="111">
        <f>H2345/(100-BE2345)*100</f>
      </c>
      <c r="BE2345" s="111" t="n">
        <v>0</v>
      </c>
      <c r="BF2345" s="111">
        <f>2345</f>
      </c>
      <c r="BH2345" s="111">
        <f>G2345*AO2345</f>
      </c>
      <c r="BI2345" s="111">
        <f>G2345*AP2345</f>
      </c>
      <c r="BJ2345" s="111">
        <f>G2345*H2345</f>
      </c>
      <c r="BK2345" s="111"/>
      <c r="BL2345" s="111" t="n">
        <v>722</v>
      </c>
      <c r="BW2345" s="111" t="n">
        <v>21</v>
      </c>
      <c r="BX2345" s="14" t="s">
        <v>3562</v>
      </c>
    </row>
    <row r="2346">
      <c r="A2346" s="154"/>
      <c r="B2346" s="155"/>
      <c r="C2346" s="155"/>
      <c r="D2346" s="156" t="s">
        <v>130</v>
      </c>
      <c r="E2346" s="156" t="s">
        <v>4</v>
      </c>
      <c r="F2346" s="155"/>
      <c r="G2346" s="157" t="n">
        <v>1</v>
      </c>
      <c r="H2346" s="158"/>
      <c r="I2346" s="155"/>
      <c r="J2346" s="155"/>
      <c r="K2346" s="146"/>
    </row>
    <row r="2347">
      <c r="A2347" s="9" t="s">
        <v>3563</v>
      </c>
      <c r="B2347" s="10" t="s">
        <v>87</v>
      </c>
      <c r="C2347" s="10" t="s">
        <v>3564</v>
      </c>
      <c r="D2347" s="14" t="s">
        <v>3565</v>
      </c>
      <c r="E2347" s="10"/>
      <c r="F2347" s="10" t="s">
        <v>133</v>
      </c>
      <c r="G2347" s="111" t="n">
        <v>7</v>
      </c>
      <c r="H2347" s="152" t="n">
        <v>0</v>
      </c>
      <c r="I2347" s="111">
        <f>G2347*H2347</f>
      </c>
      <c r="J2347" s="153" t="s">
        <v>134</v>
      </c>
      <c r="K2347" s="146"/>
      <c r="Z2347" s="111">
        <f>IF(AQ2347="5",BJ2347,0)</f>
      </c>
      <c r="AB2347" s="111">
        <f>IF(AQ2347="1",BH2347,0)</f>
      </c>
      <c r="AC2347" s="111">
        <f>IF(AQ2347="1",BI2347,0)</f>
      </c>
      <c r="AD2347" s="111">
        <f>IF(AQ2347="7",BH2347,0)</f>
      </c>
      <c r="AE2347" s="111">
        <f>IF(AQ2347="7",BI2347,0)</f>
      </c>
      <c r="AF2347" s="111">
        <f>IF(AQ2347="2",BH2347,0)</f>
      </c>
      <c r="AG2347" s="111">
        <f>IF(AQ2347="2",BI2347,0)</f>
      </c>
      <c r="AH2347" s="111">
        <f>IF(AQ2347="0",BJ2347,0)</f>
      </c>
      <c r="AI2347" s="132" t="s">
        <v>87</v>
      </c>
      <c r="AJ2347" s="111">
        <f>IF(AN2347=0,I2347,0)</f>
      </c>
      <c r="AK2347" s="111">
        <f>IF(AN2347=12,I2347,0)</f>
      </c>
      <c r="AL2347" s="111">
        <f>IF(AN2347=21,I2347,0)</f>
      </c>
      <c r="AN2347" s="111" t="n">
        <v>21</v>
      </c>
      <c r="AO2347" s="111">
        <f>H2347*0.657605893</f>
      </c>
      <c r="AP2347" s="111">
        <f>H2347*(1-0.657605893)</f>
      </c>
      <c r="AQ2347" s="153" t="s">
        <v>173</v>
      </c>
      <c r="AV2347" s="111">
        <f>AW2347+AX2347</f>
      </c>
      <c r="AW2347" s="111">
        <f>G2347*AO2347</f>
      </c>
      <c r="AX2347" s="111">
        <f>G2347*AP2347</f>
      </c>
      <c r="AY2347" s="153" t="s">
        <v>1949</v>
      </c>
      <c r="AZ2347" s="153" t="s">
        <v>3333</v>
      </c>
      <c r="BA2347" s="132" t="s">
        <v>2990</v>
      </c>
      <c r="BC2347" s="111">
        <f>AW2347+AX2347</f>
      </c>
      <c r="BD2347" s="111">
        <f>H2347/(100-BE2347)*100</f>
      </c>
      <c r="BE2347" s="111" t="n">
        <v>0</v>
      </c>
      <c r="BF2347" s="111">
        <f>2347</f>
      </c>
      <c r="BH2347" s="111">
        <f>G2347*AO2347</f>
      </c>
      <c r="BI2347" s="111">
        <f>G2347*AP2347</f>
      </c>
      <c r="BJ2347" s="111">
        <f>G2347*H2347</f>
      </c>
      <c r="BK2347" s="111"/>
      <c r="BL2347" s="111" t="n">
        <v>722</v>
      </c>
      <c r="BW2347" s="111" t="n">
        <v>21</v>
      </c>
      <c r="BX2347" s="14" t="s">
        <v>3565</v>
      </c>
    </row>
    <row r="2348">
      <c r="A2348" s="154"/>
      <c r="B2348" s="155"/>
      <c r="C2348" s="155"/>
      <c r="D2348" s="156" t="s">
        <v>173</v>
      </c>
      <c r="E2348" s="156" t="s">
        <v>4</v>
      </c>
      <c r="F2348" s="155"/>
      <c r="G2348" s="157" t="n">
        <v>7</v>
      </c>
      <c r="H2348" s="158"/>
      <c r="I2348" s="155"/>
      <c r="J2348" s="155"/>
      <c r="K2348" s="146"/>
    </row>
    <row r="2349">
      <c r="A2349" s="9" t="s">
        <v>3566</v>
      </c>
      <c r="B2349" s="10" t="s">
        <v>87</v>
      </c>
      <c r="C2349" s="10" t="s">
        <v>3567</v>
      </c>
      <c r="D2349" s="14" t="s">
        <v>3568</v>
      </c>
      <c r="E2349" s="10"/>
      <c r="F2349" s="10" t="s">
        <v>133</v>
      </c>
      <c r="G2349" s="111" t="n">
        <v>12</v>
      </c>
      <c r="H2349" s="152" t="n">
        <v>0</v>
      </c>
      <c r="I2349" s="111">
        <f>G2349*H2349</f>
      </c>
      <c r="J2349" s="153" t="s">
        <v>134</v>
      </c>
      <c r="K2349" s="146"/>
      <c r="Z2349" s="111">
        <f>IF(AQ2349="5",BJ2349,0)</f>
      </c>
      <c r="AB2349" s="111">
        <f>IF(AQ2349="1",BH2349,0)</f>
      </c>
      <c r="AC2349" s="111">
        <f>IF(AQ2349="1",BI2349,0)</f>
      </c>
      <c r="AD2349" s="111">
        <f>IF(AQ2349="7",BH2349,0)</f>
      </c>
      <c r="AE2349" s="111">
        <f>IF(AQ2349="7",BI2349,0)</f>
      </c>
      <c r="AF2349" s="111">
        <f>IF(AQ2349="2",BH2349,0)</f>
      </c>
      <c r="AG2349" s="111">
        <f>IF(AQ2349="2",BI2349,0)</f>
      </c>
      <c r="AH2349" s="111">
        <f>IF(AQ2349="0",BJ2349,0)</f>
      </c>
      <c r="AI2349" s="132" t="s">
        <v>87</v>
      </c>
      <c r="AJ2349" s="111">
        <f>IF(AN2349=0,I2349,0)</f>
      </c>
      <c r="AK2349" s="111">
        <f>IF(AN2349=12,I2349,0)</f>
      </c>
      <c r="AL2349" s="111">
        <f>IF(AN2349=21,I2349,0)</f>
      </c>
      <c r="AN2349" s="111" t="n">
        <v>21</v>
      </c>
      <c r="AO2349" s="111">
        <f>H2349*0.676952909</f>
      </c>
      <c r="AP2349" s="111">
        <f>H2349*(1-0.676952909)</f>
      </c>
      <c r="AQ2349" s="153" t="s">
        <v>173</v>
      </c>
      <c r="AV2349" s="111">
        <f>AW2349+AX2349</f>
      </c>
      <c r="AW2349" s="111">
        <f>G2349*AO2349</f>
      </c>
      <c r="AX2349" s="111">
        <f>G2349*AP2349</f>
      </c>
      <c r="AY2349" s="153" t="s">
        <v>1949</v>
      </c>
      <c r="AZ2349" s="153" t="s">
        <v>3333</v>
      </c>
      <c r="BA2349" s="132" t="s">
        <v>2990</v>
      </c>
      <c r="BC2349" s="111">
        <f>AW2349+AX2349</f>
      </c>
      <c r="BD2349" s="111">
        <f>H2349/(100-BE2349)*100</f>
      </c>
      <c r="BE2349" s="111" t="n">
        <v>0</v>
      </c>
      <c r="BF2349" s="111">
        <f>2349</f>
      </c>
      <c r="BH2349" s="111">
        <f>G2349*AO2349</f>
      </c>
      <c r="BI2349" s="111">
        <f>G2349*AP2349</f>
      </c>
      <c r="BJ2349" s="111">
        <f>G2349*H2349</f>
      </c>
      <c r="BK2349" s="111"/>
      <c r="BL2349" s="111" t="n">
        <v>722</v>
      </c>
      <c r="BW2349" s="111" t="n">
        <v>21</v>
      </c>
      <c r="BX2349" s="14" t="s">
        <v>3568</v>
      </c>
    </row>
    <row r="2350">
      <c r="A2350" s="154"/>
      <c r="B2350" s="155"/>
      <c r="C2350" s="155"/>
      <c r="D2350" s="156" t="s">
        <v>154</v>
      </c>
      <c r="E2350" s="156" t="s">
        <v>4</v>
      </c>
      <c r="F2350" s="155"/>
      <c r="G2350" s="157" t="n">
        <v>12</v>
      </c>
      <c r="H2350" s="158"/>
      <c r="I2350" s="155"/>
      <c r="J2350" s="155"/>
      <c r="K2350" s="146"/>
    </row>
    <row r="2351">
      <c r="A2351" s="9" t="s">
        <v>3569</v>
      </c>
      <c r="B2351" s="10" t="s">
        <v>87</v>
      </c>
      <c r="C2351" s="10" t="s">
        <v>3570</v>
      </c>
      <c r="D2351" s="14" t="s">
        <v>3571</v>
      </c>
      <c r="E2351" s="10"/>
      <c r="F2351" s="10" t="s">
        <v>133</v>
      </c>
      <c r="G2351" s="111" t="n">
        <v>6</v>
      </c>
      <c r="H2351" s="152" t="n">
        <v>0</v>
      </c>
      <c r="I2351" s="111">
        <f>G2351*H2351</f>
      </c>
      <c r="J2351" s="153" t="s">
        <v>134</v>
      </c>
      <c r="K2351" s="146"/>
      <c r="Z2351" s="111">
        <f>IF(AQ2351="5",BJ2351,0)</f>
      </c>
      <c r="AB2351" s="111">
        <f>IF(AQ2351="1",BH2351,0)</f>
      </c>
      <c r="AC2351" s="111">
        <f>IF(AQ2351="1",BI2351,0)</f>
      </c>
      <c r="AD2351" s="111">
        <f>IF(AQ2351="7",BH2351,0)</f>
      </c>
      <c r="AE2351" s="111">
        <f>IF(AQ2351="7",BI2351,0)</f>
      </c>
      <c r="AF2351" s="111">
        <f>IF(AQ2351="2",BH2351,0)</f>
      </c>
      <c r="AG2351" s="111">
        <f>IF(AQ2351="2",BI2351,0)</f>
      </c>
      <c r="AH2351" s="111">
        <f>IF(AQ2351="0",BJ2351,0)</f>
      </c>
      <c r="AI2351" s="132" t="s">
        <v>87</v>
      </c>
      <c r="AJ2351" s="111">
        <f>IF(AN2351=0,I2351,0)</f>
      </c>
      <c r="AK2351" s="111">
        <f>IF(AN2351=12,I2351,0)</f>
      </c>
      <c r="AL2351" s="111">
        <f>IF(AN2351=21,I2351,0)</f>
      </c>
      <c r="AN2351" s="111" t="n">
        <v>21</v>
      </c>
      <c r="AO2351" s="111">
        <f>H2351*0.767472727</f>
      </c>
      <c r="AP2351" s="111">
        <f>H2351*(1-0.767472727)</f>
      </c>
      <c r="AQ2351" s="153" t="s">
        <v>173</v>
      </c>
      <c r="AV2351" s="111">
        <f>AW2351+AX2351</f>
      </c>
      <c r="AW2351" s="111">
        <f>G2351*AO2351</f>
      </c>
      <c r="AX2351" s="111">
        <f>G2351*AP2351</f>
      </c>
      <c r="AY2351" s="153" t="s">
        <v>1949</v>
      </c>
      <c r="AZ2351" s="153" t="s">
        <v>3333</v>
      </c>
      <c r="BA2351" s="132" t="s">
        <v>2990</v>
      </c>
      <c r="BC2351" s="111">
        <f>AW2351+AX2351</f>
      </c>
      <c r="BD2351" s="111">
        <f>H2351/(100-BE2351)*100</f>
      </c>
      <c r="BE2351" s="111" t="n">
        <v>0</v>
      </c>
      <c r="BF2351" s="111">
        <f>2351</f>
      </c>
      <c r="BH2351" s="111">
        <f>G2351*AO2351</f>
      </c>
      <c r="BI2351" s="111">
        <f>G2351*AP2351</f>
      </c>
      <c r="BJ2351" s="111">
        <f>G2351*H2351</f>
      </c>
      <c r="BK2351" s="111"/>
      <c r="BL2351" s="111" t="n">
        <v>722</v>
      </c>
      <c r="BW2351" s="111" t="n">
        <v>21</v>
      </c>
      <c r="BX2351" s="14" t="s">
        <v>3571</v>
      </c>
    </row>
    <row r="2352">
      <c r="A2352" s="154"/>
      <c r="B2352" s="155"/>
      <c r="C2352" s="155"/>
      <c r="D2352" s="156" t="s">
        <v>165</v>
      </c>
      <c r="E2352" s="156" t="s">
        <v>4</v>
      </c>
      <c r="F2352" s="155"/>
      <c r="G2352" s="157" t="n">
        <v>6</v>
      </c>
      <c r="H2352" s="158"/>
      <c r="I2352" s="155"/>
      <c r="J2352" s="155"/>
      <c r="K2352" s="146"/>
    </row>
    <row r="2353">
      <c r="A2353" s="9" t="s">
        <v>3572</v>
      </c>
      <c r="B2353" s="10" t="s">
        <v>87</v>
      </c>
      <c r="C2353" s="10" t="s">
        <v>3573</v>
      </c>
      <c r="D2353" s="14" t="s">
        <v>3574</v>
      </c>
      <c r="E2353" s="10"/>
      <c r="F2353" s="10" t="s">
        <v>133</v>
      </c>
      <c r="G2353" s="111" t="n">
        <v>1</v>
      </c>
      <c r="H2353" s="152" t="n">
        <v>0</v>
      </c>
      <c r="I2353" s="111">
        <f>G2353*H2353</f>
      </c>
      <c r="J2353" s="153" t="s">
        <v>134</v>
      </c>
      <c r="K2353" s="146"/>
      <c r="Z2353" s="111">
        <f>IF(AQ2353="5",BJ2353,0)</f>
      </c>
      <c r="AB2353" s="111">
        <f>IF(AQ2353="1",BH2353,0)</f>
      </c>
      <c r="AC2353" s="111">
        <f>IF(AQ2353="1",BI2353,0)</f>
      </c>
      <c r="AD2353" s="111">
        <f>IF(AQ2353="7",BH2353,0)</f>
      </c>
      <c r="AE2353" s="111">
        <f>IF(AQ2353="7",BI2353,0)</f>
      </c>
      <c r="AF2353" s="111">
        <f>IF(AQ2353="2",BH2353,0)</f>
      </c>
      <c r="AG2353" s="111">
        <f>IF(AQ2353="2",BI2353,0)</f>
      </c>
      <c r="AH2353" s="111">
        <f>IF(AQ2353="0",BJ2353,0)</f>
      </c>
      <c r="AI2353" s="132" t="s">
        <v>87</v>
      </c>
      <c r="AJ2353" s="111">
        <f>IF(AN2353=0,I2353,0)</f>
      </c>
      <c r="AK2353" s="111">
        <f>IF(AN2353=12,I2353,0)</f>
      </c>
      <c r="AL2353" s="111">
        <f>IF(AN2353=21,I2353,0)</f>
      </c>
      <c r="AN2353" s="111" t="n">
        <v>21</v>
      </c>
      <c r="AO2353" s="111">
        <f>H2353*0.814731051</f>
      </c>
      <c r="AP2353" s="111">
        <f>H2353*(1-0.814731051)</f>
      </c>
      <c r="AQ2353" s="153" t="s">
        <v>173</v>
      </c>
      <c r="AV2353" s="111">
        <f>AW2353+AX2353</f>
      </c>
      <c r="AW2353" s="111">
        <f>G2353*AO2353</f>
      </c>
      <c r="AX2353" s="111">
        <f>G2353*AP2353</f>
      </c>
      <c r="AY2353" s="153" t="s">
        <v>1949</v>
      </c>
      <c r="AZ2353" s="153" t="s">
        <v>3333</v>
      </c>
      <c r="BA2353" s="132" t="s">
        <v>2990</v>
      </c>
      <c r="BC2353" s="111">
        <f>AW2353+AX2353</f>
      </c>
      <c r="BD2353" s="111">
        <f>H2353/(100-BE2353)*100</f>
      </c>
      <c r="BE2353" s="111" t="n">
        <v>0</v>
      </c>
      <c r="BF2353" s="111">
        <f>2353</f>
      </c>
      <c r="BH2353" s="111">
        <f>G2353*AO2353</f>
      </c>
      <c r="BI2353" s="111">
        <f>G2353*AP2353</f>
      </c>
      <c r="BJ2353" s="111">
        <f>G2353*H2353</f>
      </c>
      <c r="BK2353" s="111"/>
      <c r="BL2353" s="111" t="n">
        <v>722</v>
      </c>
      <c r="BW2353" s="111" t="n">
        <v>21</v>
      </c>
      <c r="BX2353" s="14" t="s">
        <v>3574</v>
      </c>
    </row>
    <row r="2354">
      <c r="A2354" s="154"/>
      <c r="B2354" s="155"/>
      <c r="C2354" s="155"/>
      <c r="D2354" s="156" t="s">
        <v>130</v>
      </c>
      <c r="E2354" s="156" t="s">
        <v>4</v>
      </c>
      <c r="F2354" s="155"/>
      <c r="G2354" s="157" t="n">
        <v>1</v>
      </c>
      <c r="H2354" s="158"/>
      <c r="I2354" s="155"/>
      <c r="J2354" s="155"/>
      <c r="K2354" s="146"/>
    </row>
    <row r="2355">
      <c r="A2355" s="9" t="s">
        <v>3575</v>
      </c>
      <c r="B2355" s="10" t="s">
        <v>87</v>
      </c>
      <c r="C2355" s="10" t="s">
        <v>3576</v>
      </c>
      <c r="D2355" s="14" t="s">
        <v>3577</v>
      </c>
      <c r="E2355" s="10"/>
      <c r="F2355" s="10" t="s">
        <v>133</v>
      </c>
      <c r="G2355" s="111" t="n">
        <v>3</v>
      </c>
      <c r="H2355" s="152" t="n">
        <v>0</v>
      </c>
      <c r="I2355" s="111">
        <f>G2355*H2355</f>
      </c>
      <c r="J2355" s="153" t="s">
        <v>134</v>
      </c>
      <c r="K2355" s="146"/>
      <c r="Z2355" s="111">
        <f>IF(AQ2355="5",BJ2355,0)</f>
      </c>
      <c r="AB2355" s="111">
        <f>IF(AQ2355="1",BH2355,0)</f>
      </c>
      <c r="AC2355" s="111">
        <f>IF(AQ2355="1",BI2355,0)</f>
      </c>
      <c r="AD2355" s="111">
        <f>IF(AQ2355="7",BH2355,0)</f>
      </c>
      <c r="AE2355" s="111">
        <f>IF(AQ2355="7",BI2355,0)</f>
      </c>
      <c r="AF2355" s="111">
        <f>IF(AQ2355="2",BH2355,0)</f>
      </c>
      <c r="AG2355" s="111">
        <f>IF(AQ2355="2",BI2355,0)</f>
      </c>
      <c r="AH2355" s="111">
        <f>IF(AQ2355="0",BJ2355,0)</f>
      </c>
      <c r="AI2355" s="132" t="s">
        <v>87</v>
      </c>
      <c r="AJ2355" s="111">
        <f>IF(AN2355=0,I2355,0)</f>
      </c>
      <c r="AK2355" s="111">
        <f>IF(AN2355=12,I2355,0)</f>
      </c>
      <c r="AL2355" s="111">
        <f>IF(AN2355=21,I2355,0)</f>
      </c>
      <c r="AN2355" s="111" t="n">
        <v>21</v>
      </c>
      <c r="AO2355" s="111">
        <f>H2355*0.831255706</f>
      </c>
      <c r="AP2355" s="111">
        <f>H2355*(1-0.831255706)</f>
      </c>
      <c r="AQ2355" s="153" t="s">
        <v>173</v>
      </c>
      <c r="AV2355" s="111">
        <f>AW2355+AX2355</f>
      </c>
      <c r="AW2355" s="111">
        <f>G2355*AO2355</f>
      </c>
      <c r="AX2355" s="111">
        <f>G2355*AP2355</f>
      </c>
      <c r="AY2355" s="153" t="s">
        <v>1949</v>
      </c>
      <c r="AZ2355" s="153" t="s">
        <v>3333</v>
      </c>
      <c r="BA2355" s="132" t="s">
        <v>2990</v>
      </c>
      <c r="BC2355" s="111">
        <f>AW2355+AX2355</f>
      </c>
      <c r="BD2355" s="111">
        <f>H2355/(100-BE2355)*100</f>
      </c>
      <c r="BE2355" s="111" t="n">
        <v>0</v>
      </c>
      <c r="BF2355" s="111">
        <f>2355</f>
      </c>
      <c r="BH2355" s="111">
        <f>G2355*AO2355</f>
      </c>
      <c r="BI2355" s="111">
        <f>G2355*AP2355</f>
      </c>
      <c r="BJ2355" s="111">
        <f>G2355*H2355</f>
      </c>
      <c r="BK2355" s="111"/>
      <c r="BL2355" s="111" t="n">
        <v>722</v>
      </c>
      <c r="BW2355" s="111" t="n">
        <v>21</v>
      </c>
      <c r="BX2355" s="14" t="s">
        <v>3577</v>
      </c>
    </row>
    <row r="2356">
      <c r="A2356" s="154"/>
      <c r="B2356" s="155"/>
      <c r="C2356" s="155"/>
      <c r="D2356" s="156" t="s">
        <v>138</v>
      </c>
      <c r="E2356" s="156" t="s">
        <v>4</v>
      </c>
      <c r="F2356" s="155"/>
      <c r="G2356" s="157" t="n">
        <v>3</v>
      </c>
      <c r="H2356" s="158"/>
      <c r="I2356" s="155"/>
      <c r="J2356" s="155"/>
      <c r="K2356" s="146"/>
    </row>
    <row r="2357">
      <c r="A2357" s="9" t="s">
        <v>3578</v>
      </c>
      <c r="B2357" s="10" t="s">
        <v>87</v>
      </c>
      <c r="C2357" s="10" t="s">
        <v>3579</v>
      </c>
      <c r="D2357" s="14" t="s">
        <v>3580</v>
      </c>
      <c r="E2357" s="10"/>
      <c r="F2357" s="10" t="s">
        <v>133</v>
      </c>
      <c r="G2357" s="111" t="n">
        <v>4</v>
      </c>
      <c r="H2357" s="152" t="n">
        <v>0</v>
      </c>
      <c r="I2357" s="111">
        <f>G2357*H2357</f>
      </c>
      <c r="J2357" s="153" t="s">
        <v>134</v>
      </c>
      <c r="K2357" s="146"/>
      <c r="Z2357" s="111">
        <f>IF(AQ2357="5",BJ2357,0)</f>
      </c>
      <c r="AB2357" s="111">
        <f>IF(AQ2357="1",BH2357,0)</f>
      </c>
      <c r="AC2357" s="111">
        <f>IF(AQ2357="1",BI2357,0)</f>
      </c>
      <c r="AD2357" s="111">
        <f>IF(AQ2357="7",BH2357,0)</f>
      </c>
      <c r="AE2357" s="111">
        <f>IF(AQ2357="7",BI2357,0)</f>
      </c>
      <c r="AF2357" s="111">
        <f>IF(AQ2357="2",BH2357,0)</f>
      </c>
      <c r="AG2357" s="111">
        <f>IF(AQ2357="2",BI2357,0)</f>
      </c>
      <c r="AH2357" s="111">
        <f>IF(AQ2357="0",BJ2357,0)</f>
      </c>
      <c r="AI2357" s="132" t="s">
        <v>87</v>
      </c>
      <c r="AJ2357" s="111">
        <f>IF(AN2357=0,I2357,0)</f>
      </c>
      <c r="AK2357" s="111">
        <f>IF(AN2357=12,I2357,0)</f>
      </c>
      <c r="AL2357" s="111">
        <f>IF(AN2357=21,I2357,0)</f>
      </c>
      <c r="AN2357" s="111" t="n">
        <v>21</v>
      </c>
      <c r="AO2357" s="111">
        <f>H2357*0.822933333</f>
      </c>
      <c r="AP2357" s="111">
        <f>H2357*(1-0.822933333)</f>
      </c>
      <c r="AQ2357" s="153" t="s">
        <v>173</v>
      </c>
      <c r="AV2357" s="111">
        <f>AW2357+AX2357</f>
      </c>
      <c r="AW2357" s="111">
        <f>G2357*AO2357</f>
      </c>
      <c r="AX2357" s="111">
        <f>G2357*AP2357</f>
      </c>
      <c r="AY2357" s="153" t="s">
        <v>1949</v>
      </c>
      <c r="AZ2357" s="153" t="s">
        <v>3333</v>
      </c>
      <c r="BA2357" s="132" t="s">
        <v>2990</v>
      </c>
      <c r="BC2357" s="111">
        <f>AW2357+AX2357</f>
      </c>
      <c r="BD2357" s="111">
        <f>H2357/(100-BE2357)*100</f>
      </c>
      <c r="BE2357" s="111" t="n">
        <v>0</v>
      </c>
      <c r="BF2357" s="111">
        <f>2357</f>
      </c>
      <c r="BH2357" s="111">
        <f>G2357*AO2357</f>
      </c>
      <c r="BI2357" s="111">
        <f>G2357*AP2357</f>
      </c>
      <c r="BJ2357" s="111">
        <f>G2357*H2357</f>
      </c>
      <c r="BK2357" s="111"/>
      <c r="BL2357" s="111" t="n">
        <v>722</v>
      </c>
      <c r="BW2357" s="111" t="n">
        <v>21</v>
      </c>
      <c r="BX2357" s="14" t="s">
        <v>3580</v>
      </c>
    </row>
    <row r="2358">
      <c r="A2358" s="154"/>
      <c r="B2358" s="155"/>
      <c r="C2358" s="155"/>
      <c r="D2358" s="156" t="s">
        <v>149</v>
      </c>
      <c r="E2358" s="156" t="s">
        <v>4</v>
      </c>
      <c r="F2358" s="155"/>
      <c r="G2358" s="157" t="n">
        <v>4</v>
      </c>
      <c r="H2358" s="158"/>
      <c r="I2358" s="155"/>
      <c r="J2358" s="155"/>
      <c r="K2358" s="146"/>
    </row>
    <row r="2359">
      <c r="A2359" s="9" t="s">
        <v>3581</v>
      </c>
      <c r="B2359" s="10" t="s">
        <v>87</v>
      </c>
      <c r="C2359" s="10" t="s">
        <v>3582</v>
      </c>
      <c r="D2359" s="14" t="s">
        <v>3583</v>
      </c>
      <c r="E2359" s="10"/>
      <c r="F2359" s="10" t="s">
        <v>133</v>
      </c>
      <c r="G2359" s="111" t="n">
        <v>3</v>
      </c>
      <c r="H2359" s="152" t="n">
        <v>0</v>
      </c>
      <c r="I2359" s="111">
        <f>G2359*H2359</f>
      </c>
      <c r="J2359" s="153" t="s">
        <v>134</v>
      </c>
      <c r="K2359" s="146"/>
      <c r="Z2359" s="111">
        <f>IF(AQ2359="5",BJ2359,0)</f>
      </c>
      <c r="AB2359" s="111">
        <f>IF(AQ2359="1",BH2359,0)</f>
      </c>
      <c r="AC2359" s="111">
        <f>IF(AQ2359="1",BI2359,0)</f>
      </c>
      <c r="AD2359" s="111">
        <f>IF(AQ2359="7",BH2359,0)</f>
      </c>
      <c r="AE2359" s="111">
        <f>IF(AQ2359="7",BI2359,0)</f>
      </c>
      <c r="AF2359" s="111">
        <f>IF(AQ2359="2",BH2359,0)</f>
      </c>
      <c r="AG2359" s="111">
        <f>IF(AQ2359="2",BI2359,0)</f>
      </c>
      <c r="AH2359" s="111">
        <f>IF(AQ2359="0",BJ2359,0)</f>
      </c>
      <c r="AI2359" s="132" t="s">
        <v>87</v>
      </c>
      <c r="AJ2359" s="111">
        <f>IF(AN2359=0,I2359,0)</f>
      </c>
      <c r="AK2359" s="111">
        <f>IF(AN2359=12,I2359,0)</f>
      </c>
      <c r="AL2359" s="111">
        <f>IF(AN2359=21,I2359,0)</f>
      </c>
      <c r="AN2359" s="111" t="n">
        <v>21</v>
      </c>
      <c r="AO2359" s="111">
        <f>H2359*0.825940299</f>
      </c>
      <c r="AP2359" s="111">
        <f>H2359*(1-0.825940299)</f>
      </c>
      <c r="AQ2359" s="153" t="s">
        <v>173</v>
      </c>
      <c r="AV2359" s="111">
        <f>AW2359+AX2359</f>
      </c>
      <c r="AW2359" s="111">
        <f>G2359*AO2359</f>
      </c>
      <c r="AX2359" s="111">
        <f>G2359*AP2359</f>
      </c>
      <c r="AY2359" s="153" t="s">
        <v>1949</v>
      </c>
      <c r="AZ2359" s="153" t="s">
        <v>3333</v>
      </c>
      <c r="BA2359" s="132" t="s">
        <v>2990</v>
      </c>
      <c r="BC2359" s="111">
        <f>AW2359+AX2359</f>
      </c>
      <c r="BD2359" s="111">
        <f>H2359/(100-BE2359)*100</f>
      </c>
      <c r="BE2359" s="111" t="n">
        <v>0</v>
      </c>
      <c r="BF2359" s="111">
        <f>2359</f>
      </c>
      <c r="BH2359" s="111">
        <f>G2359*AO2359</f>
      </c>
      <c r="BI2359" s="111">
        <f>G2359*AP2359</f>
      </c>
      <c r="BJ2359" s="111">
        <f>G2359*H2359</f>
      </c>
      <c r="BK2359" s="111"/>
      <c r="BL2359" s="111" t="n">
        <v>722</v>
      </c>
      <c r="BW2359" s="111" t="n">
        <v>21</v>
      </c>
      <c r="BX2359" s="14" t="s">
        <v>3583</v>
      </c>
    </row>
    <row r="2360">
      <c r="A2360" s="154"/>
      <c r="B2360" s="155"/>
      <c r="C2360" s="155"/>
      <c r="D2360" s="156" t="s">
        <v>138</v>
      </c>
      <c r="E2360" s="156" t="s">
        <v>4</v>
      </c>
      <c r="F2360" s="155"/>
      <c r="G2360" s="157" t="n">
        <v>3</v>
      </c>
      <c r="H2360" s="158"/>
      <c r="I2360" s="155"/>
      <c r="J2360" s="155"/>
      <c r="K2360" s="146"/>
    </row>
    <row r="2361">
      <c r="A2361" s="9" t="s">
        <v>3584</v>
      </c>
      <c r="B2361" s="10" t="s">
        <v>87</v>
      </c>
      <c r="C2361" s="10" t="s">
        <v>3585</v>
      </c>
      <c r="D2361" s="14" t="s">
        <v>3586</v>
      </c>
      <c r="E2361" s="10"/>
      <c r="F2361" s="10" t="s">
        <v>133</v>
      </c>
      <c r="G2361" s="111" t="n">
        <v>3</v>
      </c>
      <c r="H2361" s="152" t="n">
        <v>0</v>
      </c>
      <c r="I2361" s="111">
        <f>G2361*H2361</f>
      </c>
      <c r="J2361" s="153" t="s">
        <v>134</v>
      </c>
      <c r="K2361" s="146"/>
      <c r="Z2361" s="111">
        <f>IF(AQ2361="5",BJ2361,0)</f>
      </c>
      <c r="AB2361" s="111">
        <f>IF(AQ2361="1",BH2361,0)</f>
      </c>
      <c r="AC2361" s="111">
        <f>IF(AQ2361="1",BI2361,0)</f>
      </c>
      <c r="AD2361" s="111">
        <f>IF(AQ2361="7",BH2361,0)</f>
      </c>
      <c r="AE2361" s="111">
        <f>IF(AQ2361="7",BI2361,0)</f>
      </c>
      <c r="AF2361" s="111">
        <f>IF(AQ2361="2",BH2361,0)</f>
      </c>
      <c r="AG2361" s="111">
        <f>IF(AQ2361="2",BI2361,0)</f>
      </c>
      <c r="AH2361" s="111">
        <f>IF(AQ2361="0",BJ2361,0)</f>
      </c>
      <c r="AI2361" s="132" t="s">
        <v>87</v>
      </c>
      <c r="AJ2361" s="111">
        <f>IF(AN2361=0,I2361,0)</f>
      </c>
      <c r="AK2361" s="111">
        <f>IF(AN2361=12,I2361,0)</f>
      </c>
      <c r="AL2361" s="111">
        <f>IF(AN2361=21,I2361,0)</f>
      </c>
      <c r="AN2361" s="111" t="n">
        <v>21</v>
      </c>
      <c r="AO2361" s="111">
        <f>H2361*0.869366701</f>
      </c>
      <c r="AP2361" s="111">
        <f>H2361*(1-0.869366701)</f>
      </c>
      <c r="AQ2361" s="153" t="s">
        <v>173</v>
      </c>
      <c r="AV2361" s="111">
        <f>AW2361+AX2361</f>
      </c>
      <c r="AW2361" s="111">
        <f>G2361*AO2361</f>
      </c>
      <c r="AX2361" s="111">
        <f>G2361*AP2361</f>
      </c>
      <c r="AY2361" s="153" t="s">
        <v>1949</v>
      </c>
      <c r="AZ2361" s="153" t="s">
        <v>3333</v>
      </c>
      <c r="BA2361" s="132" t="s">
        <v>2990</v>
      </c>
      <c r="BC2361" s="111">
        <f>AW2361+AX2361</f>
      </c>
      <c r="BD2361" s="111">
        <f>H2361/(100-BE2361)*100</f>
      </c>
      <c r="BE2361" s="111" t="n">
        <v>0</v>
      </c>
      <c r="BF2361" s="111">
        <f>2361</f>
      </c>
      <c r="BH2361" s="111">
        <f>G2361*AO2361</f>
      </c>
      <c r="BI2361" s="111">
        <f>G2361*AP2361</f>
      </c>
      <c r="BJ2361" s="111">
        <f>G2361*H2361</f>
      </c>
      <c r="BK2361" s="111"/>
      <c r="BL2361" s="111" t="n">
        <v>722</v>
      </c>
      <c r="BW2361" s="111" t="n">
        <v>21</v>
      </c>
      <c r="BX2361" s="14" t="s">
        <v>3586</v>
      </c>
    </row>
    <row r="2362">
      <c r="A2362" s="154"/>
      <c r="B2362" s="155"/>
      <c r="C2362" s="155"/>
      <c r="D2362" s="156" t="s">
        <v>138</v>
      </c>
      <c r="E2362" s="156" t="s">
        <v>4</v>
      </c>
      <c r="F2362" s="155"/>
      <c r="G2362" s="157" t="n">
        <v>3</v>
      </c>
      <c r="H2362" s="158"/>
      <c r="I2362" s="155"/>
      <c r="J2362" s="155"/>
      <c r="K2362" s="146"/>
    </row>
    <row r="2363">
      <c r="A2363" s="9" t="s">
        <v>3587</v>
      </c>
      <c r="B2363" s="10" t="s">
        <v>87</v>
      </c>
      <c r="C2363" s="10" t="s">
        <v>3588</v>
      </c>
      <c r="D2363" s="14" t="s">
        <v>3589</v>
      </c>
      <c r="E2363" s="10"/>
      <c r="F2363" s="10" t="s">
        <v>133</v>
      </c>
      <c r="G2363" s="111" t="n">
        <v>4</v>
      </c>
      <c r="H2363" s="152" t="n">
        <v>0</v>
      </c>
      <c r="I2363" s="111">
        <f>G2363*H2363</f>
      </c>
      <c r="J2363" s="153" t="s">
        <v>134</v>
      </c>
      <c r="K2363" s="146"/>
      <c r="Z2363" s="111">
        <f>IF(AQ2363="5",BJ2363,0)</f>
      </c>
      <c r="AB2363" s="111">
        <f>IF(AQ2363="1",BH2363,0)</f>
      </c>
      <c r="AC2363" s="111">
        <f>IF(AQ2363="1",BI2363,0)</f>
      </c>
      <c r="AD2363" s="111">
        <f>IF(AQ2363="7",BH2363,0)</f>
      </c>
      <c r="AE2363" s="111">
        <f>IF(AQ2363="7",BI2363,0)</f>
      </c>
      <c r="AF2363" s="111">
        <f>IF(AQ2363="2",BH2363,0)</f>
      </c>
      <c r="AG2363" s="111">
        <f>IF(AQ2363="2",BI2363,0)</f>
      </c>
      <c r="AH2363" s="111">
        <f>IF(AQ2363="0",BJ2363,0)</f>
      </c>
      <c r="AI2363" s="132" t="s">
        <v>87</v>
      </c>
      <c r="AJ2363" s="111">
        <f>IF(AN2363=0,I2363,0)</f>
      </c>
      <c r="AK2363" s="111">
        <f>IF(AN2363=12,I2363,0)</f>
      </c>
      <c r="AL2363" s="111">
        <f>IF(AN2363=21,I2363,0)</f>
      </c>
      <c r="AN2363" s="111" t="n">
        <v>21</v>
      </c>
      <c r="AO2363" s="111">
        <f>H2363*0.887574184</f>
      </c>
      <c r="AP2363" s="111">
        <f>H2363*(1-0.887574184)</f>
      </c>
      <c r="AQ2363" s="153" t="s">
        <v>173</v>
      </c>
      <c r="AV2363" s="111">
        <f>AW2363+AX2363</f>
      </c>
      <c r="AW2363" s="111">
        <f>G2363*AO2363</f>
      </c>
      <c r="AX2363" s="111">
        <f>G2363*AP2363</f>
      </c>
      <c r="AY2363" s="153" t="s">
        <v>1949</v>
      </c>
      <c r="AZ2363" s="153" t="s">
        <v>3333</v>
      </c>
      <c r="BA2363" s="132" t="s">
        <v>2990</v>
      </c>
      <c r="BC2363" s="111">
        <f>AW2363+AX2363</f>
      </c>
      <c r="BD2363" s="111">
        <f>H2363/(100-BE2363)*100</f>
      </c>
      <c r="BE2363" s="111" t="n">
        <v>0</v>
      </c>
      <c r="BF2363" s="111">
        <f>2363</f>
      </c>
      <c r="BH2363" s="111">
        <f>G2363*AO2363</f>
      </c>
      <c r="BI2363" s="111">
        <f>G2363*AP2363</f>
      </c>
      <c r="BJ2363" s="111">
        <f>G2363*H2363</f>
      </c>
      <c r="BK2363" s="111"/>
      <c r="BL2363" s="111" t="n">
        <v>722</v>
      </c>
      <c r="BW2363" s="111" t="n">
        <v>21</v>
      </c>
      <c r="BX2363" s="14" t="s">
        <v>3589</v>
      </c>
    </row>
    <row r="2364">
      <c r="A2364" s="154"/>
      <c r="B2364" s="155"/>
      <c r="C2364" s="155"/>
      <c r="D2364" s="156" t="s">
        <v>149</v>
      </c>
      <c r="E2364" s="156" t="s">
        <v>4</v>
      </c>
      <c r="F2364" s="155"/>
      <c r="G2364" s="157" t="n">
        <v>4</v>
      </c>
      <c r="H2364" s="158"/>
      <c r="I2364" s="155"/>
      <c r="J2364" s="155"/>
      <c r="K2364" s="146"/>
    </row>
    <row r="2365">
      <c r="A2365" s="9" t="s">
        <v>3590</v>
      </c>
      <c r="B2365" s="10" t="s">
        <v>87</v>
      </c>
      <c r="C2365" s="10" t="s">
        <v>3591</v>
      </c>
      <c r="D2365" s="14" t="s">
        <v>3592</v>
      </c>
      <c r="E2365" s="10"/>
      <c r="F2365" s="10" t="s">
        <v>133</v>
      </c>
      <c r="G2365" s="111" t="n">
        <v>3</v>
      </c>
      <c r="H2365" s="152" t="n">
        <v>0</v>
      </c>
      <c r="I2365" s="111">
        <f>G2365*H2365</f>
      </c>
      <c r="J2365" s="153" t="s">
        <v>134</v>
      </c>
      <c r="K2365" s="146"/>
      <c r="Z2365" s="111">
        <f>IF(AQ2365="5",BJ2365,0)</f>
      </c>
      <c r="AB2365" s="111">
        <f>IF(AQ2365="1",BH2365,0)</f>
      </c>
      <c r="AC2365" s="111">
        <f>IF(AQ2365="1",BI2365,0)</f>
      </c>
      <c r="AD2365" s="111">
        <f>IF(AQ2365="7",BH2365,0)</f>
      </c>
      <c r="AE2365" s="111">
        <f>IF(AQ2365="7",BI2365,0)</f>
      </c>
      <c r="AF2365" s="111">
        <f>IF(AQ2365="2",BH2365,0)</f>
      </c>
      <c r="AG2365" s="111">
        <f>IF(AQ2365="2",BI2365,0)</f>
      </c>
      <c r="AH2365" s="111">
        <f>IF(AQ2365="0",BJ2365,0)</f>
      </c>
      <c r="AI2365" s="132" t="s">
        <v>87</v>
      </c>
      <c r="AJ2365" s="111">
        <f>IF(AN2365=0,I2365,0)</f>
      </c>
      <c r="AK2365" s="111">
        <f>IF(AN2365=12,I2365,0)</f>
      </c>
      <c r="AL2365" s="111">
        <f>IF(AN2365=21,I2365,0)</f>
      </c>
      <c r="AN2365" s="111" t="n">
        <v>21</v>
      </c>
      <c r="AO2365" s="111">
        <f>H2365*0.893386019</f>
      </c>
      <c r="AP2365" s="111">
        <f>H2365*(1-0.893386019)</f>
      </c>
      <c r="AQ2365" s="153" t="s">
        <v>173</v>
      </c>
      <c r="AV2365" s="111">
        <f>AW2365+AX2365</f>
      </c>
      <c r="AW2365" s="111">
        <f>G2365*AO2365</f>
      </c>
      <c r="AX2365" s="111">
        <f>G2365*AP2365</f>
      </c>
      <c r="AY2365" s="153" t="s">
        <v>1949</v>
      </c>
      <c r="AZ2365" s="153" t="s">
        <v>3333</v>
      </c>
      <c r="BA2365" s="132" t="s">
        <v>2990</v>
      </c>
      <c r="BC2365" s="111">
        <f>AW2365+AX2365</f>
      </c>
      <c r="BD2365" s="111">
        <f>H2365/(100-BE2365)*100</f>
      </c>
      <c r="BE2365" s="111" t="n">
        <v>0</v>
      </c>
      <c r="BF2365" s="111">
        <f>2365</f>
      </c>
      <c r="BH2365" s="111">
        <f>G2365*AO2365</f>
      </c>
      <c r="BI2365" s="111">
        <f>G2365*AP2365</f>
      </c>
      <c r="BJ2365" s="111">
        <f>G2365*H2365</f>
      </c>
      <c r="BK2365" s="111"/>
      <c r="BL2365" s="111" t="n">
        <v>722</v>
      </c>
      <c r="BW2365" s="111" t="n">
        <v>21</v>
      </c>
      <c r="BX2365" s="14" t="s">
        <v>3592</v>
      </c>
    </row>
    <row r="2366">
      <c r="A2366" s="154"/>
      <c r="B2366" s="155"/>
      <c r="C2366" s="155"/>
      <c r="D2366" s="156" t="s">
        <v>138</v>
      </c>
      <c r="E2366" s="156" t="s">
        <v>4</v>
      </c>
      <c r="F2366" s="155"/>
      <c r="G2366" s="157" t="n">
        <v>3</v>
      </c>
      <c r="H2366" s="158"/>
      <c r="I2366" s="155"/>
      <c r="J2366" s="155"/>
      <c r="K2366" s="146"/>
    </row>
    <row r="2367">
      <c r="A2367" s="9" t="s">
        <v>3593</v>
      </c>
      <c r="B2367" s="10" t="s">
        <v>87</v>
      </c>
      <c r="C2367" s="10" t="s">
        <v>3594</v>
      </c>
      <c r="D2367" s="14" t="s">
        <v>3595</v>
      </c>
      <c r="E2367" s="10"/>
      <c r="F2367" s="10" t="s">
        <v>133</v>
      </c>
      <c r="G2367" s="111" t="n">
        <v>3</v>
      </c>
      <c r="H2367" s="152" t="n">
        <v>0</v>
      </c>
      <c r="I2367" s="111">
        <f>G2367*H2367</f>
      </c>
      <c r="J2367" s="153" t="s">
        <v>134</v>
      </c>
      <c r="K2367" s="146"/>
      <c r="Z2367" s="111">
        <f>IF(AQ2367="5",BJ2367,0)</f>
      </c>
      <c r="AB2367" s="111">
        <f>IF(AQ2367="1",BH2367,0)</f>
      </c>
      <c r="AC2367" s="111">
        <f>IF(AQ2367="1",BI2367,0)</f>
      </c>
      <c r="AD2367" s="111">
        <f>IF(AQ2367="7",BH2367,0)</f>
      </c>
      <c r="AE2367" s="111">
        <f>IF(AQ2367="7",BI2367,0)</f>
      </c>
      <c r="AF2367" s="111">
        <f>IF(AQ2367="2",BH2367,0)</f>
      </c>
      <c r="AG2367" s="111">
        <f>IF(AQ2367="2",BI2367,0)</f>
      </c>
      <c r="AH2367" s="111">
        <f>IF(AQ2367="0",BJ2367,0)</f>
      </c>
      <c r="AI2367" s="132" t="s">
        <v>87</v>
      </c>
      <c r="AJ2367" s="111">
        <f>IF(AN2367=0,I2367,0)</f>
      </c>
      <c r="AK2367" s="111">
        <f>IF(AN2367=12,I2367,0)</f>
      </c>
      <c r="AL2367" s="111">
        <f>IF(AN2367=21,I2367,0)</f>
      </c>
      <c r="AN2367" s="111" t="n">
        <v>21</v>
      </c>
      <c r="AO2367" s="111">
        <f>H2367*0.914685714</f>
      </c>
      <c r="AP2367" s="111">
        <f>H2367*(1-0.914685714)</f>
      </c>
      <c r="AQ2367" s="153" t="s">
        <v>173</v>
      </c>
      <c r="AV2367" s="111">
        <f>AW2367+AX2367</f>
      </c>
      <c r="AW2367" s="111">
        <f>G2367*AO2367</f>
      </c>
      <c r="AX2367" s="111">
        <f>G2367*AP2367</f>
      </c>
      <c r="AY2367" s="153" t="s">
        <v>1949</v>
      </c>
      <c r="AZ2367" s="153" t="s">
        <v>3333</v>
      </c>
      <c r="BA2367" s="132" t="s">
        <v>2990</v>
      </c>
      <c r="BC2367" s="111">
        <f>AW2367+AX2367</f>
      </c>
      <c r="BD2367" s="111">
        <f>H2367/(100-BE2367)*100</f>
      </c>
      <c r="BE2367" s="111" t="n">
        <v>0</v>
      </c>
      <c r="BF2367" s="111">
        <f>2367</f>
      </c>
      <c r="BH2367" s="111">
        <f>G2367*AO2367</f>
      </c>
      <c r="BI2367" s="111">
        <f>G2367*AP2367</f>
      </c>
      <c r="BJ2367" s="111">
        <f>G2367*H2367</f>
      </c>
      <c r="BK2367" s="111"/>
      <c r="BL2367" s="111" t="n">
        <v>722</v>
      </c>
      <c r="BW2367" s="111" t="n">
        <v>21</v>
      </c>
      <c r="BX2367" s="14" t="s">
        <v>3595</v>
      </c>
    </row>
    <row r="2368">
      <c r="A2368" s="154"/>
      <c r="B2368" s="155"/>
      <c r="C2368" s="155"/>
      <c r="D2368" s="156" t="s">
        <v>138</v>
      </c>
      <c r="E2368" s="156" t="s">
        <v>4</v>
      </c>
      <c r="F2368" s="155"/>
      <c r="G2368" s="157" t="n">
        <v>3</v>
      </c>
      <c r="H2368" s="158"/>
      <c r="I2368" s="155"/>
      <c r="J2368" s="155"/>
      <c r="K2368" s="146"/>
    </row>
    <row r="2369">
      <c r="A2369" s="9" t="s">
        <v>3596</v>
      </c>
      <c r="B2369" s="10" t="s">
        <v>87</v>
      </c>
      <c r="C2369" s="10" t="s">
        <v>3597</v>
      </c>
      <c r="D2369" s="14" t="s">
        <v>3598</v>
      </c>
      <c r="E2369" s="10"/>
      <c r="F2369" s="10" t="s">
        <v>133</v>
      </c>
      <c r="G2369" s="111" t="n">
        <v>2</v>
      </c>
      <c r="H2369" s="152" t="n">
        <v>0</v>
      </c>
      <c r="I2369" s="111">
        <f>G2369*H2369</f>
      </c>
      <c r="J2369" s="153" t="s">
        <v>134</v>
      </c>
      <c r="K2369" s="146"/>
      <c r="Z2369" s="111">
        <f>IF(AQ2369="5",BJ2369,0)</f>
      </c>
      <c r="AB2369" s="111">
        <f>IF(AQ2369="1",BH2369,0)</f>
      </c>
      <c r="AC2369" s="111">
        <f>IF(AQ2369="1",BI2369,0)</f>
      </c>
      <c r="AD2369" s="111">
        <f>IF(AQ2369="7",BH2369,0)</f>
      </c>
      <c r="AE2369" s="111">
        <f>IF(AQ2369="7",BI2369,0)</f>
      </c>
      <c r="AF2369" s="111">
        <f>IF(AQ2369="2",BH2369,0)</f>
      </c>
      <c r="AG2369" s="111">
        <f>IF(AQ2369="2",BI2369,0)</f>
      </c>
      <c r="AH2369" s="111">
        <f>IF(AQ2369="0",BJ2369,0)</f>
      </c>
      <c r="AI2369" s="132" t="s">
        <v>87</v>
      </c>
      <c r="AJ2369" s="111">
        <f>IF(AN2369=0,I2369,0)</f>
      </c>
      <c r="AK2369" s="111">
        <f>IF(AN2369=12,I2369,0)</f>
      </c>
      <c r="AL2369" s="111">
        <f>IF(AN2369=21,I2369,0)</f>
      </c>
      <c r="AN2369" s="111" t="n">
        <v>21</v>
      </c>
      <c r="AO2369" s="111">
        <f>H2369*0.926629834</f>
      </c>
      <c r="AP2369" s="111">
        <f>H2369*(1-0.926629834)</f>
      </c>
      <c r="AQ2369" s="153" t="s">
        <v>173</v>
      </c>
      <c r="AV2369" s="111">
        <f>AW2369+AX2369</f>
      </c>
      <c r="AW2369" s="111">
        <f>G2369*AO2369</f>
      </c>
      <c r="AX2369" s="111">
        <f>G2369*AP2369</f>
      </c>
      <c r="AY2369" s="153" t="s">
        <v>1949</v>
      </c>
      <c r="AZ2369" s="153" t="s">
        <v>3333</v>
      </c>
      <c r="BA2369" s="132" t="s">
        <v>2990</v>
      </c>
      <c r="BC2369" s="111">
        <f>AW2369+AX2369</f>
      </c>
      <c r="BD2369" s="111">
        <f>H2369/(100-BE2369)*100</f>
      </c>
      <c r="BE2369" s="111" t="n">
        <v>0</v>
      </c>
      <c r="BF2369" s="111">
        <f>2369</f>
      </c>
      <c r="BH2369" s="111">
        <f>G2369*AO2369</f>
      </c>
      <c r="BI2369" s="111">
        <f>G2369*AP2369</f>
      </c>
      <c r="BJ2369" s="111">
        <f>G2369*H2369</f>
      </c>
      <c r="BK2369" s="111"/>
      <c r="BL2369" s="111" t="n">
        <v>722</v>
      </c>
      <c r="BW2369" s="111" t="n">
        <v>21</v>
      </c>
      <c r="BX2369" s="14" t="s">
        <v>3598</v>
      </c>
    </row>
    <row r="2370">
      <c r="A2370" s="154"/>
      <c r="B2370" s="155"/>
      <c r="C2370" s="155"/>
      <c r="D2370" s="156" t="s">
        <v>140</v>
      </c>
      <c r="E2370" s="156" t="s">
        <v>4</v>
      </c>
      <c r="F2370" s="155"/>
      <c r="G2370" s="157" t="n">
        <v>2</v>
      </c>
      <c r="H2370" s="158"/>
      <c r="I2370" s="155"/>
      <c r="J2370" s="155"/>
      <c r="K2370" s="146"/>
    </row>
    <row r="2371">
      <c r="A2371" s="9" t="s">
        <v>3599</v>
      </c>
      <c r="B2371" s="10" t="s">
        <v>87</v>
      </c>
      <c r="C2371" s="10" t="s">
        <v>3600</v>
      </c>
      <c r="D2371" s="14" t="s">
        <v>3601</v>
      </c>
      <c r="E2371" s="10"/>
      <c r="F2371" s="10" t="s">
        <v>133</v>
      </c>
      <c r="G2371" s="111" t="n">
        <v>5</v>
      </c>
      <c r="H2371" s="152" t="n">
        <v>0</v>
      </c>
      <c r="I2371" s="111">
        <f>G2371*H2371</f>
      </c>
      <c r="J2371" s="153" t="s">
        <v>134</v>
      </c>
      <c r="K2371" s="146"/>
      <c r="Z2371" s="111">
        <f>IF(AQ2371="5",BJ2371,0)</f>
      </c>
      <c r="AB2371" s="111">
        <f>IF(AQ2371="1",BH2371,0)</f>
      </c>
      <c r="AC2371" s="111">
        <f>IF(AQ2371="1",BI2371,0)</f>
      </c>
      <c r="AD2371" s="111">
        <f>IF(AQ2371="7",BH2371,0)</f>
      </c>
      <c r="AE2371" s="111">
        <f>IF(AQ2371="7",BI2371,0)</f>
      </c>
      <c r="AF2371" s="111">
        <f>IF(AQ2371="2",BH2371,0)</f>
      </c>
      <c r="AG2371" s="111">
        <f>IF(AQ2371="2",BI2371,0)</f>
      </c>
      <c r="AH2371" s="111">
        <f>IF(AQ2371="0",BJ2371,0)</f>
      </c>
      <c r="AI2371" s="132" t="s">
        <v>87</v>
      </c>
      <c r="AJ2371" s="111">
        <f>IF(AN2371=0,I2371,0)</f>
      </c>
      <c r="AK2371" s="111">
        <f>IF(AN2371=12,I2371,0)</f>
      </c>
      <c r="AL2371" s="111">
        <f>IF(AN2371=21,I2371,0)</f>
      </c>
      <c r="AN2371" s="111" t="n">
        <v>21</v>
      </c>
      <c r="AO2371" s="111">
        <f>H2371*0.916040317</f>
      </c>
      <c r="AP2371" s="111">
        <f>H2371*(1-0.916040317)</f>
      </c>
      <c r="AQ2371" s="153" t="s">
        <v>173</v>
      </c>
      <c r="AV2371" s="111">
        <f>AW2371+AX2371</f>
      </c>
      <c r="AW2371" s="111">
        <f>G2371*AO2371</f>
      </c>
      <c r="AX2371" s="111">
        <f>G2371*AP2371</f>
      </c>
      <c r="AY2371" s="153" t="s">
        <v>1949</v>
      </c>
      <c r="AZ2371" s="153" t="s">
        <v>3333</v>
      </c>
      <c r="BA2371" s="132" t="s">
        <v>2990</v>
      </c>
      <c r="BC2371" s="111">
        <f>AW2371+AX2371</f>
      </c>
      <c r="BD2371" s="111">
        <f>H2371/(100-BE2371)*100</f>
      </c>
      <c r="BE2371" s="111" t="n">
        <v>0</v>
      </c>
      <c r="BF2371" s="111">
        <f>2371</f>
      </c>
      <c r="BH2371" s="111">
        <f>G2371*AO2371</f>
      </c>
      <c r="BI2371" s="111">
        <f>G2371*AP2371</f>
      </c>
      <c r="BJ2371" s="111">
        <f>G2371*H2371</f>
      </c>
      <c r="BK2371" s="111"/>
      <c r="BL2371" s="111" t="n">
        <v>722</v>
      </c>
      <c r="BW2371" s="111" t="n">
        <v>21</v>
      </c>
      <c r="BX2371" s="14" t="s">
        <v>3601</v>
      </c>
    </row>
    <row r="2372">
      <c r="A2372" s="154"/>
      <c r="B2372" s="155"/>
      <c r="C2372" s="155"/>
      <c r="D2372" s="156" t="s">
        <v>156</v>
      </c>
      <c r="E2372" s="156" t="s">
        <v>4</v>
      </c>
      <c r="F2372" s="155"/>
      <c r="G2372" s="157" t="n">
        <v>5</v>
      </c>
      <c r="H2372" s="158"/>
      <c r="I2372" s="155"/>
      <c r="J2372" s="155"/>
      <c r="K2372" s="146"/>
    </row>
    <row r="2373">
      <c r="A2373" s="9" t="s">
        <v>3602</v>
      </c>
      <c r="B2373" s="10" t="s">
        <v>87</v>
      </c>
      <c r="C2373" s="10" t="s">
        <v>3603</v>
      </c>
      <c r="D2373" s="14" t="s">
        <v>3604</v>
      </c>
      <c r="E2373" s="10"/>
      <c r="F2373" s="10" t="s">
        <v>133</v>
      </c>
      <c r="G2373" s="111" t="n">
        <v>2</v>
      </c>
      <c r="H2373" s="152" t="n">
        <v>0</v>
      </c>
      <c r="I2373" s="111">
        <f>G2373*H2373</f>
      </c>
      <c r="J2373" s="153" t="s">
        <v>134</v>
      </c>
      <c r="K2373" s="146"/>
      <c r="Z2373" s="111">
        <f>IF(AQ2373="5",BJ2373,0)</f>
      </c>
      <c r="AB2373" s="111">
        <f>IF(AQ2373="1",BH2373,0)</f>
      </c>
      <c r="AC2373" s="111">
        <f>IF(AQ2373="1",BI2373,0)</f>
      </c>
      <c r="AD2373" s="111">
        <f>IF(AQ2373="7",BH2373,0)</f>
      </c>
      <c r="AE2373" s="111">
        <f>IF(AQ2373="7",BI2373,0)</f>
      </c>
      <c r="AF2373" s="111">
        <f>IF(AQ2373="2",BH2373,0)</f>
      </c>
      <c r="AG2373" s="111">
        <f>IF(AQ2373="2",BI2373,0)</f>
      </c>
      <c r="AH2373" s="111">
        <f>IF(AQ2373="0",BJ2373,0)</f>
      </c>
      <c r="AI2373" s="132" t="s">
        <v>87</v>
      </c>
      <c r="AJ2373" s="111">
        <f>IF(AN2373=0,I2373,0)</f>
      </c>
      <c r="AK2373" s="111">
        <f>IF(AN2373=12,I2373,0)</f>
      </c>
      <c r="AL2373" s="111">
        <f>IF(AN2373=21,I2373,0)</f>
      </c>
      <c r="AN2373" s="111" t="n">
        <v>21</v>
      </c>
      <c r="AO2373" s="111">
        <f>H2373*0.945346154</f>
      </c>
      <c r="AP2373" s="111">
        <f>H2373*(1-0.945346154)</f>
      </c>
      <c r="AQ2373" s="153" t="s">
        <v>173</v>
      </c>
      <c r="AV2373" s="111">
        <f>AW2373+AX2373</f>
      </c>
      <c r="AW2373" s="111">
        <f>G2373*AO2373</f>
      </c>
      <c r="AX2373" s="111">
        <f>G2373*AP2373</f>
      </c>
      <c r="AY2373" s="153" t="s">
        <v>1949</v>
      </c>
      <c r="AZ2373" s="153" t="s">
        <v>3333</v>
      </c>
      <c r="BA2373" s="132" t="s">
        <v>2990</v>
      </c>
      <c r="BC2373" s="111">
        <f>AW2373+AX2373</f>
      </c>
      <c r="BD2373" s="111">
        <f>H2373/(100-BE2373)*100</f>
      </c>
      <c r="BE2373" s="111" t="n">
        <v>0</v>
      </c>
      <c r="BF2373" s="111">
        <f>2373</f>
      </c>
      <c r="BH2373" s="111">
        <f>G2373*AO2373</f>
      </c>
      <c r="BI2373" s="111">
        <f>G2373*AP2373</f>
      </c>
      <c r="BJ2373" s="111">
        <f>G2373*H2373</f>
      </c>
      <c r="BK2373" s="111"/>
      <c r="BL2373" s="111" t="n">
        <v>722</v>
      </c>
      <c r="BW2373" s="111" t="n">
        <v>21</v>
      </c>
      <c r="BX2373" s="14" t="s">
        <v>3604</v>
      </c>
    </row>
    <row r="2374">
      <c r="A2374" s="154"/>
      <c r="B2374" s="155"/>
      <c r="C2374" s="155"/>
      <c r="D2374" s="156" t="s">
        <v>140</v>
      </c>
      <c r="E2374" s="156" t="s">
        <v>4</v>
      </c>
      <c r="F2374" s="155"/>
      <c r="G2374" s="157" t="n">
        <v>2</v>
      </c>
      <c r="H2374" s="158"/>
      <c r="I2374" s="155"/>
      <c r="J2374" s="155"/>
      <c r="K2374" s="146"/>
    </row>
    <row r="2375">
      <c r="A2375" s="9" t="s">
        <v>3605</v>
      </c>
      <c r="B2375" s="10" t="s">
        <v>87</v>
      </c>
      <c r="C2375" s="10" t="s">
        <v>3606</v>
      </c>
      <c r="D2375" s="14" t="s">
        <v>3607</v>
      </c>
      <c r="E2375" s="10"/>
      <c r="F2375" s="10" t="s">
        <v>133</v>
      </c>
      <c r="G2375" s="111" t="n">
        <v>1</v>
      </c>
      <c r="H2375" s="152" t="n">
        <v>0</v>
      </c>
      <c r="I2375" s="111">
        <f>G2375*H2375</f>
      </c>
      <c r="J2375" s="153" t="s">
        <v>134</v>
      </c>
      <c r="K2375" s="146"/>
      <c r="Z2375" s="111">
        <f>IF(AQ2375="5",BJ2375,0)</f>
      </c>
      <c r="AB2375" s="111">
        <f>IF(AQ2375="1",BH2375,0)</f>
      </c>
      <c r="AC2375" s="111">
        <f>IF(AQ2375="1",BI2375,0)</f>
      </c>
      <c r="AD2375" s="111">
        <f>IF(AQ2375="7",BH2375,0)</f>
      </c>
      <c r="AE2375" s="111">
        <f>IF(AQ2375="7",BI2375,0)</f>
      </c>
      <c r="AF2375" s="111">
        <f>IF(AQ2375="2",BH2375,0)</f>
      </c>
      <c r="AG2375" s="111">
        <f>IF(AQ2375="2",BI2375,0)</f>
      </c>
      <c r="AH2375" s="111">
        <f>IF(AQ2375="0",BJ2375,0)</f>
      </c>
      <c r="AI2375" s="132" t="s">
        <v>87</v>
      </c>
      <c r="AJ2375" s="111">
        <f>IF(AN2375=0,I2375,0)</f>
      </c>
      <c r="AK2375" s="111">
        <f>IF(AN2375=12,I2375,0)</f>
      </c>
      <c r="AL2375" s="111">
        <f>IF(AN2375=21,I2375,0)</f>
      </c>
      <c r="AN2375" s="111" t="n">
        <v>21</v>
      </c>
      <c r="AO2375" s="111">
        <f>H2375*0.95688478</f>
      </c>
      <c r="AP2375" s="111">
        <f>H2375*(1-0.95688478)</f>
      </c>
      <c r="AQ2375" s="153" t="s">
        <v>173</v>
      </c>
      <c r="AV2375" s="111">
        <f>AW2375+AX2375</f>
      </c>
      <c r="AW2375" s="111">
        <f>G2375*AO2375</f>
      </c>
      <c r="AX2375" s="111">
        <f>G2375*AP2375</f>
      </c>
      <c r="AY2375" s="153" t="s">
        <v>1949</v>
      </c>
      <c r="AZ2375" s="153" t="s">
        <v>3333</v>
      </c>
      <c r="BA2375" s="132" t="s">
        <v>2990</v>
      </c>
      <c r="BC2375" s="111">
        <f>AW2375+AX2375</f>
      </c>
      <c r="BD2375" s="111">
        <f>H2375/(100-BE2375)*100</f>
      </c>
      <c r="BE2375" s="111" t="n">
        <v>0</v>
      </c>
      <c r="BF2375" s="111">
        <f>2375</f>
      </c>
      <c r="BH2375" s="111">
        <f>G2375*AO2375</f>
      </c>
      <c r="BI2375" s="111">
        <f>G2375*AP2375</f>
      </c>
      <c r="BJ2375" s="111">
        <f>G2375*H2375</f>
      </c>
      <c r="BK2375" s="111"/>
      <c r="BL2375" s="111" t="n">
        <v>722</v>
      </c>
      <c r="BW2375" s="111" t="n">
        <v>21</v>
      </c>
      <c r="BX2375" s="14" t="s">
        <v>3607</v>
      </c>
    </row>
    <row r="2376">
      <c r="A2376" s="154"/>
      <c r="B2376" s="155"/>
      <c r="C2376" s="155"/>
      <c r="D2376" s="156" t="s">
        <v>130</v>
      </c>
      <c r="E2376" s="156" t="s">
        <v>4</v>
      </c>
      <c r="F2376" s="155"/>
      <c r="G2376" s="157" t="n">
        <v>1</v>
      </c>
      <c r="H2376" s="158"/>
      <c r="I2376" s="155"/>
      <c r="J2376" s="155"/>
      <c r="K2376" s="146"/>
    </row>
    <row r="2377">
      <c r="A2377" s="9" t="s">
        <v>3608</v>
      </c>
      <c r="B2377" s="10" t="s">
        <v>87</v>
      </c>
      <c r="C2377" s="10" t="s">
        <v>3609</v>
      </c>
      <c r="D2377" s="14" t="s">
        <v>3610</v>
      </c>
      <c r="E2377" s="10"/>
      <c r="F2377" s="10" t="s">
        <v>133</v>
      </c>
      <c r="G2377" s="111" t="n">
        <v>1</v>
      </c>
      <c r="H2377" s="152" t="n">
        <v>0</v>
      </c>
      <c r="I2377" s="111">
        <f>G2377*H2377</f>
      </c>
      <c r="J2377" s="153" t="s">
        <v>134</v>
      </c>
      <c r="K2377" s="146"/>
      <c r="Z2377" s="111">
        <f>IF(AQ2377="5",BJ2377,0)</f>
      </c>
      <c r="AB2377" s="111">
        <f>IF(AQ2377="1",BH2377,0)</f>
      </c>
      <c r="AC2377" s="111">
        <f>IF(AQ2377="1",BI2377,0)</f>
      </c>
      <c r="AD2377" s="111">
        <f>IF(AQ2377="7",BH2377,0)</f>
      </c>
      <c r="AE2377" s="111">
        <f>IF(AQ2377="7",BI2377,0)</f>
      </c>
      <c r="AF2377" s="111">
        <f>IF(AQ2377="2",BH2377,0)</f>
      </c>
      <c r="AG2377" s="111">
        <f>IF(AQ2377="2",BI2377,0)</f>
      </c>
      <c r="AH2377" s="111">
        <f>IF(AQ2377="0",BJ2377,0)</f>
      </c>
      <c r="AI2377" s="132" t="s">
        <v>87</v>
      </c>
      <c r="AJ2377" s="111">
        <f>IF(AN2377=0,I2377,0)</f>
      </c>
      <c r="AK2377" s="111">
        <f>IF(AN2377=12,I2377,0)</f>
      </c>
      <c r="AL2377" s="111">
        <f>IF(AN2377=21,I2377,0)</f>
      </c>
      <c r="AN2377" s="111" t="n">
        <v>21</v>
      </c>
      <c r="AO2377" s="111">
        <f>H2377*0.962790286</f>
      </c>
      <c r="AP2377" s="111">
        <f>H2377*(1-0.962790286)</f>
      </c>
      <c r="AQ2377" s="153" t="s">
        <v>173</v>
      </c>
      <c r="AV2377" s="111">
        <f>AW2377+AX2377</f>
      </c>
      <c r="AW2377" s="111">
        <f>G2377*AO2377</f>
      </c>
      <c r="AX2377" s="111">
        <f>G2377*AP2377</f>
      </c>
      <c r="AY2377" s="153" t="s">
        <v>1949</v>
      </c>
      <c r="AZ2377" s="153" t="s">
        <v>3333</v>
      </c>
      <c r="BA2377" s="132" t="s">
        <v>2990</v>
      </c>
      <c r="BC2377" s="111">
        <f>AW2377+AX2377</f>
      </c>
      <c r="BD2377" s="111">
        <f>H2377/(100-BE2377)*100</f>
      </c>
      <c r="BE2377" s="111" t="n">
        <v>0</v>
      </c>
      <c r="BF2377" s="111">
        <f>2377</f>
      </c>
      <c r="BH2377" s="111">
        <f>G2377*AO2377</f>
      </c>
      <c r="BI2377" s="111">
        <f>G2377*AP2377</f>
      </c>
      <c r="BJ2377" s="111">
        <f>G2377*H2377</f>
      </c>
      <c r="BK2377" s="111"/>
      <c r="BL2377" s="111" t="n">
        <v>722</v>
      </c>
      <c r="BW2377" s="111" t="n">
        <v>21</v>
      </c>
      <c r="BX2377" s="14" t="s">
        <v>3610</v>
      </c>
    </row>
    <row r="2378">
      <c r="A2378" s="154"/>
      <c r="B2378" s="155"/>
      <c r="C2378" s="155"/>
      <c r="D2378" s="156" t="s">
        <v>130</v>
      </c>
      <c r="E2378" s="156" t="s">
        <v>4</v>
      </c>
      <c r="F2378" s="155"/>
      <c r="G2378" s="157" t="n">
        <v>1</v>
      </c>
      <c r="H2378" s="158"/>
      <c r="I2378" s="155"/>
      <c r="J2378" s="155"/>
      <c r="K2378" s="146"/>
    </row>
    <row r="2379">
      <c r="A2379" s="9" t="s">
        <v>3611</v>
      </c>
      <c r="B2379" s="10" t="s">
        <v>87</v>
      </c>
      <c r="C2379" s="10" t="s">
        <v>3612</v>
      </c>
      <c r="D2379" s="14" t="s">
        <v>3613</v>
      </c>
      <c r="E2379" s="10"/>
      <c r="F2379" s="10" t="s">
        <v>133</v>
      </c>
      <c r="G2379" s="111" t="n">
        <v>2</v>
      </c>
      <c r="H2379" s="152" t="n">
        <v>0</v>
      </c>
      <c r="I2379" s="111">
        <f>G2379*H2379</f>
      </c>
      <c r="J2379" s="153" t="s">
        <v>134</v>
      </c>
      <c r="K2379" s="146"/>
      <c r="Z2379" s="111">
        <f>IF(AQ2379="5",BJ2379,0)</f>
      </c>
      <c r="AB2379" s="111">
        <f>IF(AQ2379="1",BH2379,0)</f>
      </c>
      <c r="AC2379" s="111">
        <f>IF(AQ2379="1",BI2379,0)</f>
      </c>
      <c r="AD2379" s="111">
        <f>IF(AQ2379="7",BH2379,0)</f>
      </c>
      <c r="AE2379" s="111">
        <f>IF(AQ2379="7",BI2379,0)</f>
      </c>
      <c r="AF2379" s="111">
        <f>IF(AQ2379="2",BH2379,0)</f>
      </c>
      <c r="AG2379" s="111">
        <f>IF(AQ2379="2",BI2379,0)</f>
      </c>
      <c r="AH2379" s="111">
        <f>IF(AQ2379="0",BJ2379,0)</f>
      </c>
      <c r="AI2379" s="132" t="s">
        <v>87</v>
      </c>
      <c r="AJ2379" s="111">
        <f>IF(AN2379=0,I2379,0)</f>
      </c>
      <c r="AK2379" s="111">
        <f>IF(AN2379=12,I2379,0)</f>
      </c>
      <c r="AL2379" s="111">
        <f>IF(AN2379=21,I2379,0)</f>
      </c>
      <c r="AN2379" s="111" t="n">
        <v>21</v>
      </c>
      <c r="AO2379" s="111">
        <f>H2379*0.86</f>
      </c>
      <c r="AP2379" s="111">
        <f>H2379*(1-0.86)</f>
      </c>
      <c r="AQ2379" s="153" t="s">
        <v>173</v>
      </c>
      <c r="AV2379" s="111">
        <f>AW2379+AX2379</f>
      </c>
      <c r="AW2379" s="111">
        <f>G2379*AO2379</f>
      </c>
      <c r="AX2379" s="111">
        <f>G2379*AP2379</f>
      </c>
      <c r="AY2379" s="153" t="s">
        <v>1949</v>
      </c>
      <c r="AZ2379" s="153" t="s">
        <v>3333</v>
      </c>
      <c r="BA2379" s="132" t="s">
        <v>2990</v>
      </c>
      <c r="BC2379" s="111">
        <f>AW2379+AX2379</f>
      </c>
      <c r="BD2379" s="111">
        <f>H2379/(100-BE2379)*100</f>
      </c>
      <c r="BE2379" s="111" t="n">
        <v>0</v>
      </c>
      <c r="BF2379" s="111">
        <f>2379</f>
      </c>
      <c r="BH2379" s="111">
        <f>G2379*AO2379</f>
      </c>
      <c r="BI2379" s="111">
        <f>G2379*AP2379</f>
      </c>
      <c r="BJ2379" s="111">
        <f>G2379*H2379</f>
      </c>
      <c r="BK2379" s="111"/>
      <c r="BL2379" s="111" t="n">
        <v>722</v>
      </c>
      <c r="BW2379" s="111" t="n">
        <v>21</v>
      </c>
      <c r="BX2379" s="14" t="s">
        <v>3613</v>
      </c>
    </row>
    <row r="2380">
      <c r="A2380" s="154"/>
      <c r="B2380" s="155"/>
      <c r="C2380" s="155"/>
      <c r="D2380" s="156" t="s">
        <v>140</v>
      </c>
      <c r="E2380" s="156" t="s">
        <v>4</v>
      </c>
      <c r="F2380" s="155"/>
      <c r="G2380" s="157" t="n">
        <v>2</v>
      </c>
      <c r="H2380" s="158"/>
      <c r="I2380" s="155"/>
      <c r="J2380" s="155"/>
      <c r="K2380" s="146"/>
    </row>
    <row r="2381">
      <c r="A2381" s="9" t="s">
        <v>3614</v>
      </c>
      <c r="B2381" s="10" t="s">
        <v>87</v>
      </c>
      <c r="C2381" s="10" t="s">
        <v>3615</v>
      </c>
      <c r="D2381" s="14" t="s">
        <v>3616</v>
      </c>
      <c r="E2381" s="10"/>
      <c r="F2381" s="10" t="s">
        <v>133</v>
      </c>
      <c r="G2381" s="111" t="n">
        <v>5</v>
      </c>
      <c r="H2381" s="152" t="n">
        <v>0</v>
      </c>
      <c r="I2381" s="111">
        <f>G2381*H2381</f>
      </c>
      <c r="J2381" s="153" t="s">
        <v>134</v>
      </c>
      <c r="K2381" s="146"/>
      <c r="Z2381" s="111">
        <f>IF(AQ2381="5",BJ2381,0)</f>
      </c>
      <c r="AB2381" s="111">
        <f>IF(AQ2381="1",BH2381,0)</f>
      </c>
      <c r="AC2381" s="111">
        <f>IF(AQ2381="1",BI2381,0)</f>
      </c>
      <c r="AD2381" s="111">
        <f>IF(AQ2381="7",BH2381,0)</f>
      </c>
      <c r="AE2381" s="111">
        <f>IF(AQ2381="7",BI2381,0)</f>
      </c>
      <c r="AF2381" s="111">
        <f>IF(AQ2381="2",BH2381,0)</f>
      </c>
      <c r="AG2381" s="111">
        <f>IF(AQ2381="2",BI2381,0)</f>
      </c>
      <c r="AH2381" s="111">
        <f>IF(AQ2381="0",BJ2381,0)</f>
      </c>
      <c r="AI2381" s="132" t="s">
        <v>87</v>
      </c>
      <c r="AJ2381" s="111">
        <f>IF(AN2381=0,I2381,0)</f>
      </c>
      <c r="AK2381" s="111">
        <f>IF(AN2381=12,I2381,0)</f>
      </c>
      <c r="AL2381" s="111">
        <f>IF(AN2381=21,I2381,0)</f>
      </c>
      <c r="AN2381" s="111" t="n">
        <v>21</v>
      </c>
      <c r="AO2381" s="111">
        <f>H2381*0.874331897</f>
      </c>
      <c r="AP2381" s="111">
        <f>H2381*(1-0.874331897)</f>
      </c>
      <c r="AQ2381" s="153" t="s">
        <v>173</v>
      </c>
      <c r="AV2381" s="111">
        <f>AW2381+AX2381</f>
      </c>
      <c r="AW2381" s="111">
        <f>G2381*AO2381</f>
      </c>
      <c r="AX2381" s="111">
        <f>G2381*AP2381</f>
      </c>
      <c r="AY2381" s="153" t="s">
        <v>1949</v>
      </c>
      <c r="AZ2381" s="153" t="s">
        <v>3333</v>
      </c>
      <c r="BA2381" s="132" t="s">
        <v>2990</v>
      </c>
      <c r="BC2381" s="111">
        <f>AW2381+AX2381</f>
      </c>
      <c r="BD2381" s="111">
        <f>H2381/(100-BE2381)*100</f>
      </c>
      <c r="BE2381" s="111" t="n">
        <v>0</v>
      </c>
      <c r="BF2381" s="111">
        <f>2381</f>
      </c>
      <c r="BH2381" s="111">
        <f>G2381*AO2381</f>
      </c>
      <c r="BI2381" s="111">
        <f>G2381*AP2381</f>
      </c>
      <c r="BJ2381" s="111">
        <f>G2381*H2381</f>
      </c>
      <c r="BK2381" s="111"/>
      <c r="BL2381" s="111" t="n">
        <v>722</v>
      </c>
      <c r="BW2381" s="111" t="n">
        <v>21</v>
      </c>
      <c r="BX2381" s="14" t="s">
        <v>3616</v>
      </c>
    </row>
    <row r="2382">
      <c r="A2382" s="154"/>
      <c r="B2382" s="155"/>
      <c r="C2382" s="155"/>
      <c r="D2382" s="156" t="s">
        <v>156</v>
      </c>
      <c r="E2382" s="156" t="s">
        <v>4</v>
      </c>
      <c r="F2382" s="155"/>
      <c r="G2382" s="157" t="n">
        <v>5</v>
      </c>
      <c r="H2382" s="158"/>
      <c r="I2382" s="155"/>
      <c r="J2382" s="155"/>
      <c r="K2382" s="146"/>
    </row>
    <row r="2383">
      <c r="A2383" s="9" t="s">
        <v>3617</v>
      </c>
      <c r="B2383" s="10" t="s">
        <v>87</v>
      </c>
      <c r="C2383" s="10" t="s">
        <v>3618</v>
      </c>
      <c r="D2383" s="14" t="s">
        <v>3619</v>
      </c>
      <c r="E2383" s="10"/>
      <c r="F2383" s="10" t="s">
        <v>133</v>
      </c>
      <c r="G2383" s="111" t="n">
        <v>2</v>
      </c>
      <c r="H2383" s="152" t="n">
        <v>0</v>
      </c>
      <c r="I2383" s="111">
        <f>G2383*H2383</f>
      </c>
      <c r="J2383" s="153" t="s">
        <v>134</v>
      </c>
      <c r="K2383" s="146"/>
      <c r="Z2383" s="111">
        <f>IF(AQ2383="5",BJ2383,0)</f>
      </c>
      <c r="AB2383" s="111">
        <f>IF(AQ2383="1",BH2383,0)</f>
      </c>
      <c r="AC2383" s="111">
        <f>IF(AQ2383="1",BI2383,0)</f>
      </c>
      <c r="AD2383" s="111">
        <f>IF(AQ2383="7",BH2383,0)</f>
      </c>
      <c r="AE2383" s="111">
        <f>IF(AQ2383="7",BI2383,0)</f>
      </c>
      <c r="AF2383" s="111">
        <f>IF(AQ2383="2",BH2383,0)</f>
      </c>
      <c r="AG2383" s="111">
        <f>IF(AQ2383="2",BI2383,0)</f>
      </c>
      <c r="AH2383" s="111">
        <f>IF(AQ2383="0",BJ2383,0)</f>
      </c>
      <c r="AI2383" s="132" t="s">
        <v>87</v>
      </c>
      <c r="AJ2383" s="111">
        <f>IF(AN2383=0,I2383,0)</f>
      </c>
      <c r="AK2383" s="111">
        <f>IF(AN2383=12,I2383,0)</f>
      </c>
      <c r="AL2383" s="111">
        <f>IF(AN2383=21,I2383,0)</f>
      </c>
      <c r="AN2383" s="111" t="n">
        <v>21</v>
      </c>
      <c r="AO2383" s="111">
        <f>H2383*0.901698693</f>
      </c>
      <c r="AP2383" s="111">
        <f>H2383*(1-0.901698693)</f>
      </c>
      <c r="AQ2383" s="153" t="s">
        <v>173</v>
      </c>
      <c r="AV2383" s="111">
        <f>AW2383+AX2383</f>
      </c>
      <c r="AW2383" s="111">
        <f>G2383*AO2383</f>
      </c>
      <c r="AX2383" s="111">
        <f>G2383*AP2383</f>
      </c>
      <c r="AY2383" s="153" t="s">
        <v>1949</v>
      </c>
      <c r="AZ2383" s="153" t="s">
        <v>3333</v>
      </c>
      <c r="BA2383" s="132" t="s">
        <v>2990</v>
      </c>
      <c r="BC2383" s="111">
        <f>AW2383+AX2383</f>
      </c>
      <c r="BD2383" s="111">
        <f>H2383/(100-BE2383)*100</f>
      </c>
      <c r="BE2383" s="111" t="n">
        <v>0</v>
      </c>
      <c r="BF2383" s="111">
        <f>2383</f>
      </c>
      <c r="BH2383" s="111">
        <f>G2383*AO2383</f>
      </c>
      <c r="BI2383" s="111">
        <f>G2383*AP2383</f>
      </c>
      <c r="BJ2383" s="111">
        <f>G2383*H2383</f>
      </c>
      <c r="BK2383" s="111"/>
      <c r="BL2383" s="111" t="n">
        <v>722</v>
      </c>
      <c r="BW2383" s="111" t="n">
        <v>21</v>
      </c>
      <c r="BX2383" s="14" t="s">
        <v>3619</v>
      </c>
    </row>
    <row r="2384">
      <c r="A2384" s="154"/>
      <c r="B2384" s="155"/>
      <c r="C2384" s="155"/>
      <c r="D2384" s="156" t="s">
        <v>140</v>
      </c>
      <c r="E2384" s="156" t="s">
        <v>4</v>
      </c>
      <c r="F2384" s="155"/>
      <c r="G2384" s="157" t="n">
        <v>2</v>
      </c>
      <c r="H2384" s="158"/>
      <c r="I2384" s="155"/>
      <c r="J2384" s="155"/>
      <c r="K2384" s="146"/>
    </row>
    <row r="2385">
      <c r="A2385" s="9" t="s">
        <v>3620</v>
      </c>
      <c r="B2385" s="10" t="s">
        <v>87</v>
      </c>
      <c r="C2385" s="10" t="s">
        <v>3621</v>
      </c>
      <c r="D2385" s="14" t="s">
        <v>3622</v>
      </c>
      <c r="E2385" s="10"/>
      <c r="F2385" s="10" t="s">
        <v>133</v>
      </c>
      <c r="G2385" s="111" t="n">
        <v>1</v>
      </c>
      <c r="H2385" s="152" t="n">
        <v>0</v>
      </c>
      <c r="I2385" s="111">
        <f>G2385*H2385</f>
      </c>
      <c r="J2385" s="153" t="s">
        <v>134</v>
      </c>
      <c r="K2385" s="146"/>
      <c r="Z2385" s="111">
        <f>IF(AQ2385="5",BJ2385,0)</f>
      </c>
      <c r="AB2385" s="111">
        <f>IF(AQ2385="1",BH2385,0)</f>
      </c>
      <c r="AC2385" s="111">
        <f>IF(AQ2385="1",BI2385,0)</f>
      </c>
      <c r="AD2385" s="111">
        <f>IF(AQ2385="7",BH2385,0)</f>
      </c>
      <c r="AE2385" s="111">
        <f>IF(AQ2385="7",BI2385,0)</f>
      </c>
      <c r="AF2385" s="111">
        <f>IF(AQ2385="2",BH2385,0)</f>
      </c>
      <c r="AG2385" s="111">
        <f>IF(AQ2385="2",BI2385,0)</f>
      </c>
      <c r="AH2385" s="111">
        <f>IF(AQ2385="0",BJ2385,0)</f>
      </c>
      <c r="AI2385" s="132" t="s">
        <v>87</v>
      </c>
      <c r="AJ2385" s="111">
        <f>IF(AN2385=0,I2385,0)</f>
      </c>
      <c r="AK2385" s="111">
        <f>IF(AN2385=12,I2385,0)</f>
      </c>
      <c r="AL2385" s="111">
        <f>IF(AN2385=21,I2385,0)</f>
      </c>
      <c r="AN2385" s="111" t="n">
        <v>21</v>
      </c>
      <c r="AO2385" s="111">
        <f>H2385*0.929993168</f>
      </c>
      <c r="AP2385" s="111">
        <f>H2385*(1-0.929993168)</f>
      </c>
      <c r="AQ2385" s="153" t="s">
        <v>173</v>
      </c>
      <c r="AV2385" s="111">
        <f>AW2385+AX2385</f>
      </c>
      <c r="AW2385" s="111">
        <f>G2385*AO2385</f>
      </c>
      <c r="AX2385" s="111">
        <f>G2385*AP2385</f>
      </c>
      <c r="AY2385" s="153" t="s">
        <v>1949</v>
      </c>
      <c r="AZ2385" s="153" t="s">
        <v>3333</v>
      </c>
      <c r="BA2385" s="132" t="s">
        <v>2990</v>
      </c>
      <c r="BC2385" s="111">
        <f>AW2385+AX2385</f>
      </c>
      <c r="BD2385" s="111">
        <f>H2385/(100-BE2385)*100</f>
      </c>
      <c r="BE2385" s="111" t="n">
        <v>0</v>
      </c>
      <c r="BF2385" s="111">
        <f>2385</f>
      </c>
      <c r="BH2385" s="111">
        <f>G2385*AO2385</f>
      </c>
      <c r="BI2385" s="111">
        <f>G2385*AP2385</f>
      </c>
      <c r="BJ2385" s="111">
        <f>G2385*H2385</f>
      </c>
      <c r="BK2385" s="111"/>
      <c r="BL2385" s="111" t="n">
        <v>722</v>
      </c>
      <c r="BW2385" s="111" t="n">
        <v>21</v>
      </c>
      <c r="BX2385" s="14" t="s">
        <v>3622</v>
      </c>
    </row>
    <row r="2386">
      <c r="A2386" s="154"/>
      <c r="B2386" s="155"/>
      <c r="C2386" s="155"/>
      <c r="D2386" s="156" t="s">
        <v>130</v>
      </c>
      <c r="E2386" s="156" t="s">
        <v>4</v>
      </c>
      <c r="F2386" s="155"/>
      <c r="G2386" s="157" t="n">
        <v>1</v>
      </c>
      <c r="H2386" s="158"/>
      <c r="I2386" s="155"/>
      <c r="J2386" s="155"/>
      <c r="K2386" s="146"/>
    </row>
    <row r="2387">
      <c r="A2387" s="9" t="s">
        <v>3623</v>
      </c>
      <c r="B2387" s="10" t="s">
        <v>87</v>
      </c>
      <c r="C2387" s="10" t="s">
        <v>3624</v>
      </c>
      <c r="D2387" s="14" t="s">
        <v>3625</v>
      </c>
      <c r="E2387" s="10"/>
      <c r="F2387" s="10" t="s">
        <v>133</v>
      </c>
      <c r="G2387" s="111" t="n">
        <v>4</v>
      </c>
      <c r="H2387" s="152" t="n">
        <v>0</v>
      </c>
      <c r="I2387" s="111">
        <f>G2387*H2387</f>
      </c>
      <c r="J2387" s="153" t="s">
        <v>134</v>
      </c>
      <c r="K2387" s="146"/>
      <c r="Z2387" s="111">
        <f>IF(AQ2387="5",BJ2387,0)</f>
      </c>
      <c r="AB2387" s="111">
        <f>IF(AQ2387="1",BH2387,0)</f>
      </c>
      <c r="AC2387" s="111">
        <f>IF(AQ2387="1",BI2387,0)</f>
      </c>
      <c r="AD2387" s="111">
        <f>IF(AQ2387="7",BH2387,0)</f>
      </c>
      <c r="AE2387" s="111">
        <f>IF(AQ2387="7",BI2387,0)</f>
      </c>
      <c r="AF2387" s="111">
        <f>IF(AQ2387="2",BH2387,0)</f>
      </c>
      <c r="AG2387" s="111">
        <f>IF(AQ2387="2",BI2387,0)</f>
      </c>
      <c r="AH2387" s="111">
        <f>IF(AQ2387="0",BJ2387,0)</f>
      </c>
      <c r="AI2387" s="132" t="s">
        <v>87</v>
      </c>
      <c r="AJ2387" s="111">
        <f>IF(AN2387=0,I2387,0)</f>
      </c>
      <c r="AK2387" s="111">
        <f>IF(AN2387=12,I2387,0)</f>
      </c>
      <c r="AL2387" s="111">
        <f>IF(AN2387=21,I2387,0)</f>
      </c>
      <c r="AN2387" s="111" t="n">
        <v>21</v>
      </c>
      <c r="AO2387" s="111">
        <f>H2387*0.040454076</f>
      </c>
      <c r="AP2387" s="111">
        <f>H2387*(1-0.040454076)</f>
      </c>
      <c r="AQ2387" s="153" t="s">
        <v>173</v>
      </c>
      <c r="AV2387" s="111">
        <f>AW2387+AX2387</f>
      </c>
      <c r="AW2387" s="111">
        <f>G2387*AO2387</f>
      </c>
      <c r="AX2387" s="111">
        <f>G2387*AP2387</f>
      </c>
      <c r="AY2387" s="153" t="s">
        <v>1949</v>
      </c>
      <c r="AZ2387" s="153" t="s">
        <v>3333</v>
      </c>
      <c r="BA2387" s="132" t="s">
        <v>2990</v>
      </c>
      <c r="BC2387" s="111">
        <f>AW2387+AX2387</f>
      </c>
      <c r="BD2387" s="111">
        <f>H2387/(100-BE2387)*100</f>
      </c>
      <c r="BE2387" s="111" t="n">
        <v>0</v>
      </c>
      <c r="BF2387" s="111">
        <f>2387</f>
      </c>
      <c r="BH2387" s="111">
        <f>G2387*AO2387</f>
      </c>
      <c r="BI2387" s="111">
        <f>G2387*AP2387</f>
      </c>
      <c r="BJ2387" s="111">
        <f>G2387*H2387</f>
      </c>
      <c r="BK2387" s="111"/>
      <c r="BL2387" s="111" t="n">
        <v>722</v>
      </c>
      <c r="BW2387" s="111" t="n">
        <v>21</v>
      </c>
      <c r="BX2387" s="14" t="s">
        <v>3625</v>
      </c>
    </row>
    <row r="2388">
      <c r="A2388" s="154"/>
      <c r="B2388" s="155"/>
      <c r="C2388" s="155"/>
      <c r="D2388" s="156" t="s">
        <v>3626</v>
      </c>
      <c r="E2388" s="156" t="s">
        <v>4</v>
      </c>
      <c r="F2388" s="155"/>
      <c r="G2388" s="157" t="n">
        <v>4</v>
      </c>
      <c r="H2388" s="158"/>
      <c r="I2388" s="155"/>
      <c r="J2388" s="155"/>
      <c r="K2388" s="146"/>
    </row>
    <row r="2389">
      <c r="A2389" s="9" t="s">
        <v>3627</v>
      </c>
      <c r="B2389" s="10" t="s">
        <v>87</v>
      </c>
      <c r="C2389" s="10" t="s">
        <v>3628</v>
      </c>
      <c r="D2389" s="14" t="s">
        <v>3629</v>
      </c>
      <c r="E2389" s="10"/>
      <c r="F2389" s="10" t="s">
        <v>133</v>
      </c>
      <c r="G2389" s="111" t="n">
        <v>5</v>
      </c>
      <c r="H2389" s="152" t="n">
        <v>0</v>
      </c>
      <c r="I2389" s="111">
        <f>G2389*H2389</f>
      </c>
      <c r="J2389" s="153" t="s">
        <v>134</v>
      </c>
      <c r="K2389" s="146"/>
      <c r="Z2389" s="111">
        <f>IF(AQ2389="5",BJ2389,0)</f>
      </c>
      <c r="AB2389" s="111">
        <f>IF(AQ2389="1",BH2389,0)</f>
      </c>
      <c r="AC2389" s="111">
        <f>IF(AQ2389="1",BI2389,0)</f>
      </c>
      <c r="AD2389" s="111">
        <f>IF(AQ2389="7",BH2389,0)</f>
      </c>
      <c r="AE2389" s="111">
        <f>IF(AQ2389="7",BI2389,0)</f>
      </c>
      <c r="AF2389" s="111">
        <f>IF(AQ2389="2",BH2389,0)</f>
      </c>
      <c r="AG2389" s="111">
        <f>IF(AQ2389="2",BI2389,0)</f>
      </c>
      <c r="AH2389" s="111">
        <f>IF(AQ2389="0",BJ2389,0)</f>
      </c>
      <c r="AI2389" s="132" t="s">
        <v>87</v>
      </c>
      <c r="AJ2389" s="111">
        <f>IF(AN2389=0,I2389,0)</f>
      </c>
      <c r="AK2389" s="111">
        <f>IF(AN2389=12,I2389,0)</f>
      </c>
      <c r="AL2389" s="111">
        <f>IF(AN2389=21,I2389,0)</f>
      </c>
      <c r="AN2389" s="111" t="n">
        <v>21</v>
      </c>
      <c r="AO2389" s="111">
        <f>H2389*0.042786885</f>
      </c>
      <c r="AP2389" s="111">
        <f>H2389*(1-0.042786885)</f>
      </c>
      <c r="AQ2389" s="153" t="s">
        <v>173</v>
      </c>
      <c r="AV2389" s="111">
        <f>AW2389+AX2389</f>
      </c>
      <c r="AW2389" s="111">
        <f>G2389*AO2389</f>
      </c>
      <c r="AX2389" s="111">
        <f>G2389*AP2389</f>
      </c>
      <c r="AY2389" s="153" t="s">
        <v>1949</v>
      </c>
      <c r="AZ2389" s="153" t="s">
        <v>3333</v>
      </c>
      <c r="BA2389" s="132" t="s">
        <v>2990</v>
      </c>
      <c r="BC2389" s="111">
        <f>AW2389+AX2389</f>
      </c>
      <c r="BD2389" s="111">
        <f>H2389/(100-BE2389)*100</f>
      </c>
      <c r="BE2389" s="111" t="n">
        <v>0</v>
      </c>
      <c r="BF2389" s="111">
        <f>2389</f>
      </c>
      <c r="BH2389" s="111">
        <f>G2389*AO2389</f>
      </c>
      <c r="BI2389" s="111">
        <f>G2389*AP2389</f>
      </c>
      <c r="BJ2389" s="111">
        <f>G2389*H2389</f>
      </c>
      <c r="BK2389" s="111"/>
      <c r="BL2389" s="111" t="n">
        <v>722</v>
      </c>
      <c r="BW2389" s="111" t="n">
        <v>21</v>
      </c>
      <c r="BX2389" s="14" t="s">
        <v>3629</v>
      </c>
    </row>
    <row r="2390">
      <c r="A2390" s="154"/>
      <c r="B2390" s="155"/>
      <c r="C2390" s="155"/>
      <c r="D2390" s="156" t="s">
        <v>156</v>
      </c>
      <c r="E2390" s="156" t="s">
        <v>4</v>
      </c>
      <c r="F2390" s="155"/>
      <c r="G2390" s="157" t="n">
        <v>5</v>
      </c>
      <c r="H2390" s="158"/>
      <c r="I2390" s="155"/>
      <c r="J2390" s="155"/>
      <c r="K2390" s="146"/>
    </row>
    <row r="2391">
      <c r="A2391" s="9" t="s">
        <v>3630</v>
      </c>
      <c r="B2391" s="10" t="s">
        <v>87</v>
      </c>
      <c r="C2391" s="10" t="s">
        <v>3631</v>
      </c>
      <c r="D2391" s="14" t="s">
        <v>3632</v>
      </c>
      <c r="E2391" s="10"/>
      <c r="F2391" s="10" t="s">
        <v>133</v>
      </c>
      <c r="G2391" s="111" t="n">
        <v>1</v>
      </c>
      <c r="H2391" s="152" t="n">
        <v>0</v>
      </c>
      <c r="I2391" s="111">
        <f>G2391*H2391</f>
      </c>
      <c r="J2391" s="153" t="s">
        <v>134</v>
      </c>
      <c r="K2391" s="146"/>
      <c r="Z2391" s="111">
        <f>IF(AQ2391="5",BJ2391,0)</f>
      </c>
      <c r="AB2391" s="111">
        <f>IF(AQ2391="1",BH2391,0)</f>
      </c>
      <c r="AC2391" s="111">
        <f>IF(AQ2391="1",BI2391,0)</f>
      </c>
      <c r="AD2391" s="111">
        <f>IF(AQ2391="7",BH2391,0)</f>
      </c>
      <c r="AE2391" s="111">
        <f>IF(AQ2391="7",BI2391,0)</f>
      </c>
      <c r="AF2391" s="111">
        <f>IF(AQ2391="2",BH2391,0)</f>
      </c>
      <c r="AG2391" s="111">
        <f>IF(AQ2391="2",BI2391,0)</f>
      </c>
      <c r="AH2391" s="111">
        <f>IF(AQ2391="0",BJ2391,0)</f>
      </c>
      <c r="AI2391" s="132" t="s">
        <v>87</v>
      </c>
      <c r="AJ2391" s="111">
        <f>IF(AN2391=0,I2391,0)</f>
      </c>
      <c r="AK2391" s="111">
        <f>IF(AN2391=12,I2391,0)</f>
      </c>
      <c r="AL2391" s="111">
        <f>IF(AN2391=21,I2391,0)</f>
      </c>
      <c r="AN2391" s="111" t="n">
        <v>21</v>
      </c>
      <c r="AO2391" s="111">
        <f>H2391*0.0575</f>
      </c>
      <c r="AP2391" s="111">
        <f>H2391*(1-0.0575)</f>
      </c>
      <c r="AQ2391" s="153" t="s">
        <v>173</v>
      </c>
      <c r="AV2391" s="111">
        <f>AW2391+AX2391</f>
      </c>
      <c r="AW2391" s="111">
        <f>G2391*AO2391</f>
      </c>
      <c r="AX2391" s="111">
        <f>G2391*AP2391</f>
      </c>
      <c r="AY2391" s="153" t="s">
        <v>1949</v>
      </c>
      <c r="AZ2391" s="153" t="s">
        <v>3333</v>
      </c>
      <c r="BA2391" s="132" t="s">
        <v>2990</v>
      </c>
      <c r="BC2391" s="111">
        <f>AW2391+AX2391</f>
      </c>
      <c r="BD2391" s="111">
        <f>H2391/(100-BE2391)*100</f>
      </c>
      <c r="BE2391" s="111" t="n">
        <v>0</v>
      </c>
      <c r="BF2391" s="111">
        <f>2391</f>
      </c>
      <c r="BH2391" s="111">
        <f>G2391*AO2391</f>
      </c>
      <c r="BI2391" s="111">
        <f>G2391*AP2391</f>
      </c>
      <c r="BJ2391" s="111">
        <f>G2391*H2391</f>
      </c>
      <c r="BK2391" s="111"/>
      <c r="BL2391" s="111" t="n">
        <v>722</v>
      </c>
      <c r="BW2391" s="111" t="n">
        <v>21</v>
      </c>
      <c r="BX2391" s="14" t="s">
        <v>3632</v>
      </c>
    </row>
    <row r="2392">
      <c r="A2392" s="154"/>
      <c r="B2392" s="155"/>
      <c r="C2392" s="155"/>
      <c r="D2392" s="156" t="s">
        <v>130</v>
      </c>
      <c r="E2392" s="156" t="s">
        <v>4</v>
      </c>
      <c r="F2392" s="155"/>
      <c r="G2392" s="157" t="n">
        <v>1</v>
      </c>
      <c r="H2392" s="158"/>
      <c r="I2392" s="155"/>
      <c r="J2392" s="155"/>
      <c r="K2392" s="146"/>
    </row>
    <row r="2393">
      <c r="A2393" s="9" t="s">
        <v>3633</v>
      </c>
      <c r="B2393" s="10" t="s">
        <v>87</v>
      </c>
      <c r="C2393" s="10" t="s">
        <v>3634</v>
      </c>
      <c r="D2393" s="14" t="s">
        <v>3635</v>
      </c>
      <c r="E2393" s="10"/>
      <c r="F2393" s="10" t="s">
        <v>133</v>
      </c>
      <c r="G2393" s="111" t="n">
        <v>1</v>
      </c>
      <c r="H2393" s="152" t="n">
        <v>0</v>
      </c>
      <c r="I2393" s="111">
        <f>G2393*H2393</f>
      </c>
      <c r="J2393" s="153" t="s">
        <v>134</v>
      </c>
      <c r="K2393" s="146"/>
      <c r="Z2393" s="111">
        <f>IF(AQ2393="5",BJ2393,0)</f>
      </c>
      <c r="AB2393" s="111">
        <f>IF(AQ2393="1",BH2393,0)</f>
      </c>
      <c r="AC2393" s="111">
        <f>IF(AQ2393="1",BI2393,0)</f>
      </c>
      <c r="AD2393" s="111">
        <f>IF(AQ2393="7",BH2393,0)</f>
      </c>
      <c r="AE2393" s="111">
        <f>IF(AQ2393="7",BI2393,0)</f>
      </c>
      <c r="AF2393" s="111">
        <f>IF(AQ2393="2",BH2393,0)</f>
      </c>
      <c r="AG2393" s="111">
        <f>IF(AQ2393="2",BI2393,0)</f>
      </c>
      <c r="AH2393" s="111">
        <f>IF(AQ2393="0",BJ2393,0)</f>
      </c>
      <c r="AI2393" s="132" t="s">
        <v>87</v>
      </c>
      <c r="AJ2393" s="111">
        <f>IF(AN2393=0,I2393,0)</f>
      </c>
      <c r="AK2393" s="111">
        <f>IF(AN2393=12,I2393,0)</f>
      </c>
      <c r="AL2393" s="111">
        <f>IF(AN2393=21,I2393,0)</f>
      </c>
      <c r="AN2393" s="111" t="n">
        <v>21</v>
      </c>
      <c r="AO2393" s="111">
        <f>H2393*0.064444444</f>
      </c>
      <c r="AP2393" s="111">
        <f>H2393*(1-0.064444444)</f>
      </c>
      <c r="AQ2393" s="153" t="s">
        <v>173</v>
      </c>
      <c r="AV2393" s="111">
        <f>AW2393+AX2393</f>
      </c>
      <c r="AW2393" s="111">
        <f>G2393*AO2393</f>
      </c>
      <c r="AX2393" s="111">
        <f>G2393*AP2393</f>
      </c>
      <c r="AY2393" s="153" t="s">
        <v>1949</v>
      </c>
      <c r="AZ2393" s="153" t="s">
        <v>3333</v>
      </c>
      <c r="BA2393" s="132" t="s">
        <v>2990</v>
      </c>
      <c r="BC2393" s="111">
        <f>AW2393+AX2393</f>
      </c>
      <c r="BD2393" s="111">
        <f>H2393/(100-BE2393)*100</f>
      </c>
      <c r="BE2393" s="111" t="n">
        <v>0</v>
      </c>
      <c r="BF2393" s="111">
        <f>2393</f>
      </c>
      <c r="BH2393" s="111">
        <f>G2393*AO2393</f>
      </c>
      <c r="BI2393" s="111">
        <f>G2393*AP2393</f>
      </c>
      <c r="BJ2393" s="111">
        <f>G2393*H2393</f>
      </c>
      <c r="BK2393" s="111"/>
      <c r="BL2393" s="111" t="n">
        <v>722</v>
      </c>
      <c r="BW2393" s="111" t="n">
        <v>21</v>
      </c>
      <c r="BX2393" s="14" t="s">
        <v>3635</v>
      </c>
    </row>
    <row r="2394">
      <c r="A2394" s="154"/>
      <c r="B2394" s="155"/>
      <c r="C2394" s="155"/>
      <c r="D2394" s="156" t="s">
        <v>130</v>
      </c>
      <c r="E2394" s="156" t="s">
        <v>4</v>
      </c>
      <c r="F2394" s="155"/>
      <c r="G2394" s="157" t="n">
        <v>1</v>
      </c>
      <c r="H2394" s="158"/>
      <c r="I2394" s="155"/>
      <c r="J2394" s="155"/>
      <c r="K2394" s="146"/>
    </row>
    <row r="2395">
      <c r="A2395" s="9" t="s">
        <v>3636</v>
      </c>
      <c r="B2395" s="10" t="s">
        <v>87</v>
      </c>
      <c r="C2395" s="10" t="s">
        <v>3637</v>
      </c>
      <c r="D2395" s="14" t="s">
        <v>3638</v>
      </c>
      <c r="E2395" s="10"/>
      <c r="F2395" s="10" t="s">
        <v>133</v>
      </c>
      <c r="G2395" s="111" t="n">
        <v>1</v>
      </c>
      <c r="H2395" s="152" t="n">
        <v>0</v>
      </c>
      <c r="I2395" s="111">
        <f>G2395*H2395</f>
      </c>
      <c r="J2395" s="153" t="s">
        <v>134</v>
      </c>
      <c r="K2395" s="146"/>
      <c r="Z2395" s="111">
        <f>IF(AQ2395="5",BJ2395,0)</f>
      </c>
      <c r="AB2395" s="111">
        <f>IF(AQ2395="1",BH2395,0)</f>
      </c>
      <c r="AC2395" s="111">
        <f>IF(AQ2395="1",BI2395,0)</f>
      </c>
      <c r="AD2395" s="111">
        <f>IF(AQ2395="7",BH2395,0)</f>
      </c>
      <c r="AE2395" s="111">
        <f>IF(AQ2395="7",BI2395,0)</f>
      </c>
      <c r="AF2395" s="111">
        <f>IF(AQ2395="2",BH2395,0)</f>
      </c>
      <c r="AG2395" s="111">
        <f>IF(AQ2395="2",BI2395,0)</f>
      </c>
      <c r="AH2395" s="111">
        <f>IF(AQ2395="0",BJ2395,0)</f>
      </c>
      <c r="AI2395" s="132" t="s">
        <v>87</v>
      </c>
      <c r="AJ2395" s="111">
        <f>IF(AN2395=0,I2395,0)</f>
      </c>
      <c r="AK2395" s="111">
        <f>IF(AN2395=12,I2395,0)</f>
      </c>
      <c r="AL2395" s="111">
        <f>IF(AN2395=21,I2395,0)</f>
      </c>
      <c r="AN2395" s="111" t="n">
        <v>21</v>
      </c>
      <c r="AO2395" s="111">
        <f>H2395*0.093863636</f>
      </c>
      <c r="AP2395" s="111">
        <f>H2395*(1-0.093863636)</f>
      </c>
      <c r="AQ2395" s="153" t="s">
        <v>173</v>
      </c>
      <c r="AV2395" s="111">
        <f>AW2395+AX2395</f>
      </c>
      <c r="AW2395" s="111">
        <f>G2395*AO2395</f>
      </c>
      <c r="AX2395" s="111">
        <f>G2395*AP2395</f>
      </c>
      <c r="AY2395" s="153" t="s">
        <v>1949</v>
      </c>
      <c r="AZ2395" s="153" t="s">
        <v>3333</v>
      </c>
      <c r="BA2395" s="132" t="s">
        <v>2990</v>
      </c>
      <c r="BC2395" s="111">
        <f>AW2395+AX2395</f>
      </c>
      <c r="BD2395" s="111">
        <f>H2395/(100-BE2395)*100</f>
      </c>
      <c r="BE2395" s="111" t="n">
        <v>0</v>
      </c>
      <c r="BF2395" s="111">
        <f>2395</f>
      </c>
      <c r="BH2395" s="111">
        <f>G2395*AO2395</f>
      </c>
      <c r="BI2395" s="111">
        <f>G2395*AP2395</f>
      </c>
      <c r="BJ2395" s="111">
        <f>G2395*H2395</f>
      </c>
      <c r="BK2395" s="111"/>
      <c r="BL2395" s="111" t="n">
        <v>722</v>
      </c>
      <c r="BW2395" s="111" t="n">
        <v>21</v>
      </c>
      <c r="BX2395" s="14" t="s">
        <v>3638</v>
      </c>
    </row>
    <row r="2396">
      <c r="A2396" s="154"/>
      <c r="B2396" s="155"/>
      <c r="C2396" s="155"/>
      <c r="D2396" s="156" t="s">
        <v>130</v>
      </c>
      <c r="E2396" s="156" t="s">
        <v>4</v>
      </c>
      <c r="F2396" s="155"/>
      <c r="G2396" s="157" t="n">
        <v>1</v>
      </c>
      <c r="H2396" s="158"/>
      <c r="I2396" s="155"/>
      <c r="J2396" s="155"/>
      <c r="K2396" s="146"/>
    </row>
    <row r="2397">
      <c r="A2397" s="9" t="s">
        <v>3639</v>
      </c>
      <c r="B2397" s="10" t="s">
        <v>87</v>
      </c>
      <c r="C2397" s="10" t="s">
        <v>3640</v>
      </c>
      <c r="D2397" s="14" t="s">
        <v>3641</v>
      </c>
      <c r="E2397" s="10"/>
      <c r="F2397" s="10" t="s">
        <v>133</v>
      </c>
      <c r="G2397" s="111" t="n">
        <v>1</v>
      </c>
      <c r="H2397" s="152" t="n">
        <v>0</v>
      </c>
      <c r="I2397" s="111">
        <f>G2397*H2397</f>
      </c>
      <c r="J2397" s="153" t="s">
        <v>134</v>
      </c>
      <c r="K2397" s="146"/>
      <c r="Z2397" s="111">
        <f>IF(AQ2397="5",BJ2397,0)</f>
      </c>
      <c r="AB2397" s="111">
        <f>IF(AQ2397="1",BH2397,0)</f>
      </c>
      <c r="AC2397" s="111">
        <f>IF(AQ2397="1",BI2397,0)</f>
      </c>
      <c r="AD2397" s="111">
        <f>IF(AQ2397="7",BH2397,0)</f>
      </c>
      <c r="AE2397" s="111">
        <f>IF(AQ2397="7",BI2397,0)</f>
      </c>
      <c r="AF2397" s="111">
        <f>IF(AQ2397="2",BH2397,0)</f>
      </c>
      <c r="AG2397" s="111">
        <f>IF(AQ2397="2",BI2397,0)</f>
      </c>
      <c r="AH2397" s="111">
        <f>IF(AQ2397="0",BJ2397,0)</f>
      </c>
      <c r="AI2397" s="132" t="s">
        <v>87</v>
      </c>
      <c r="AJ2397" s="111">
        <f>IF(AN2397=0,I2397,0)</f>
      </c>
      <c r="AK2397" s="111">
        <f>IF(AN2397=12,I2397,0)</f>
      </c>
      <c r="AL2397" s="111">
        <f>IF(AN2397=21,I2397,0)</f>
      </c>
      <c r="AN2397" s="111" t="n">
        <v>21</v>
      </c>
      <c r="AO2397" s="111">
        <f>H2397*0.92250515</f>
      </c>
      <c r="AP2397" s="111">
        <f>H2397*(1-0.92250515)</f>
      </c>
      <c r="AQ2397" s="153" t="s">
        <v>173</v>
      </c>
      <c r="AV2397" s="111">
        <f>AW2397+AX2397</f>
      </c>
      <c r="AW2397" s="111">
        <f>G2397*AO2397</f>
      </c>
      <c r="AX2397" s="111">
        <f>G2397*AP2397</f>
      </c>
      <c r="AY2397" s="153" t="s">
        <v>1949</v>
      </c>
      <c r="AZ2397" s="153" t="s">
        <v>3333</v>
      </c>
      <c r="BA2397" s="132" t="s">
        <v>2990</v>
      </c>
      <c r="BC2397" s="111">
        <f>AW2397+AX2397</f>
      </c>
      <c r="BD2397" s="111">
        <f>H2397/(100-BE2397)*100</f>
      </c>
      <c r="BE2397" s="111" t="n">
        <v>0</v>
      </c>
      <c r="BF2397" s="111">
        <f>2397</f>
      </c>
      <c r="BH2397" s="111">
        <f>G2397*AO2397</f>
      </c>
      <c r="BI2397" s="111">
        <f>G2397*AP2397</f>
      </c>
      <c r="BJ2397" s="111">
        <f>G2397*H2397</f>
      </c>
      <c r="BK2397" s="111"/>
      <c r="BL2397" s="111" t="n">
        <v>722</v>
      </c>
      <c r="BW2397" s="111" t="n">
        <v>21</v>
      </c>
      <c r="BX2397" s="14" t="s">
        <v>3641</v>
      </c>
    </row>
    <row r="2398" customHeight="true" ht="13.5">
      <c r="A2398" s="159"/>
      <c r="C2398" s="160" t="s">
        <v>146</v>
      </c>
      <c r="D2398" s="161" t="s">
        <v>3642</v>
      </c>
      <c r="E2398" s="156"/>
      <c r="F2398" s="156"/>
      <c r="G2398" s="156"/>
      <c r="H2398" s="162"/>
      <c r="I2398" s="156"/>
      <c r="J2398" s="156"/>
      <c r="K2398" s="163"/>
    </row>
    <row r="2399">
      <c r="A2399" s="154"/>
      <c r="B2399" s="155"/>
      <c r="C2399" s="155"/>
      <c r="D2399" s="156" t="s">
        <v>130</v>
      </c>
      <c r="E2399" s="156" t="s">
        <v>4</v>
      </c>
      <c r="F2399" s="155"/>
      <c r="G2399" s="157" t="n">
        <v>1</v>
      </c>
      <c r="H2399" s="158"/>
      <c r="I2399" s="155"/>
      <c r="J2399" s="155"/>
      <c r="K2399" s="146"/>
    </row>
    <row r="2400">
      <c r="A2400" s="9" t="s">
        <v>3643</v>
      </c>
      <c r="B2400" s="10" t="s">
        <v>87</v>
      </c>
      <c r="C2400" s="10" t="s">
        <v>1952</v>
      </c>
      <c r="D2400" s="14" t="s">
        <v>3644</v>
      </c>
      <c r="E2400" s="10"/>
      <c r="F2400" s="10" t="s">
        <v>133</v>
      </c>
      <c r="G2400" s="111" t="n">
        <v>1</v>
      </c>
      <c r="H2400" s="152" t="n">
        <v>0</v>
      </c>
      <c r="I2400" s="111">
        <f>G2400*H2400</f>
      </c>
      <c r="J2400" s="153" t="s">
        <v>134</v>
      </c>
      <c r="K2400" s="146"/>
      <c r="Z2400" s="111">
        <f>IF(AQ2400="5",BJ2400,0)</f>
      </c>
      <c r="AB2400" s="111">
        <f>IF(AQ2400="1",BH2400,0)</f>
      </c>
      <c r="AC2400" s="111">
        <f>IF(AQ2400="1",BI2400,0)</f>
      </c>
      <c r="AD2400" s="111">
        <f>IF(AQ2400="7",BH2400,0)</f>
      </c>
      <c r="AE2400" s="111">
        <f>IF(AQ2400="7",BI2400,0)</f>
      </c>
      <c r="AF2400" s="111">
        <f>IF(AQ2400="2",BH2400,0)</f>
      </c>
      <c r="AG2400" s="111">
        <f>IF(AQ2400="2",BI2400,0)</f>
      </c>
      <c r="AH2400" s="111">
        <f>IF(AQ2400="0",BJ2400,0)</f>
      </c>
      <c r="AI2400" s="132" t="s">
        <v>87</v>
      </c>
      <c r="AJ2400" s="111">
        <f>IF(AN2400=0,I2400,0)</f>
      </c>
      <c r="AK2400" s="111">
        <f>IF(AN2400=12,I2400,0)</f>
      </c>
      <c r="AL2400" s="111">
        <f>IF(AN2400=21,I2400,0)</f>
      </c>
      <c r="AN2400" s="111" t="n">
        <v>21</v>
      </c>
      <c r="AO2400" s="111">
        <f>H2400*0</f>
      </c>
      <c r="AP2400" s="111">
        <f>H2400*(1-0)</f>
      </c>
      <c r="AQ2400" s="153" t="s">
        <v>173</v>
      </c>
      <c r="AV2400" s="111">
        <f>AW2400+AX2400</f>
      </c>
      <c r="AW2400" s="111">
        <f>G2400*AO2400</f>
      </c>
      <c r="AX2400" s="111">
        <f>G2400*AP2400</f>
      </c>
      <c r="AY2400" s="153" t="s">
        <v>1949</v>
      </c>
      <c r="AZ2400" s="153" t="s">
        <v>3333</v>
      </c>
      <c r="BA2400" s="132" t="s">
        <v>2990</v>
      </c>
      <c r="BC2400" s="111">
        <f>AW2400+AX2400</f>
      </c>
      <c r="BD2400" s="111">
        <f>H2400/(100-BE2400)*100</f>
      </c>
      <c r="BE2400" s="111" t="n">
        <v>0</v>
      </c>
      <c r="BF2400" s="111">
        <f>2400</f>
      </c>
      <c r="BH2400" s="111">
        <f>G2400*AO2400</f>
      </c>
      <c r="BI2400" s="111">
        <f>G2400*AP2400</f>
      </c>
      <c r="BJ2400" s="111">
        <f>G2400*H2400</f>
      </c>
      <c r="BK2400" s="111"/>
      <c r="BL2400" s="111" t="n">
        <v>722</v>
      </c>
      <c r="BW2400" s="111" t="n">
        <v>21</v>
      </c>
      <c r="BX2400" s="14" t="s">
        <v>3644</v>
      </c>
    </row>
    <row r="2401">
      <c r="A2401" s="154"/>
      <c r="B2401" s="155"/>
      <c r="C2401" s="155"/>
      <c r="D2401" s="156" t="s">
        <v>130</v>
      </c>
      <c r="E2401" s="156" t="s">
        <v>4</v>
      </c>
      <c r="F2401" s="155"/>
      <c r="G2401" s="157" t="n">
        <v>1</v>
      </c>
      <c r="H2401" s="158"/>
      <c r="I2401" s="155"/>
      <c r="J2401" s="155"/>
      <c r="K2401" s="146"/>
    </row>
    <row r="2402">
      <c r="A2402" s="9" t="s">
        <v>3645</v>
      </c>
      <c r="B2402" s="10" t="s">
        <v>87</v>
      </c>
      <c r="C2402" s="10" t="s">
        <v>3646</v>
      </c>
      <c r="D2402" s="14" t="s">
        <v>3647</v>
      </c>
      <c r="E2402" s="10"/>
      <c r="F2402" s="10" t="s">
        <v>133</v>
      </c>
      <c r="G2402" s="111" t="n">
        <v>1</v>
      </c>
      <c r="H2402" s="152" t="n">
        <v>0</v>
      </c>
      <c r="I2402" s="111">
        <f>G2402*H2402</f>
      </c>
      <c r="J2402" s="153" t="s">
        <v>134</v>
      </c>
      <c r="K2402" s="146"/>
      <c r="Z2402" s="111">
        <f>IF(AQ2402="5",BJ2402,0)</f>
      </c>
      <c r="AB2402" s="111">
        <f>IF(AQ2402="1",BH2402,0)</f>
      </c>
      <c r="AC2402" s="111">
        <f>IF(AQ2402="1",BI2402,0)</f>
      </c>
      <c r="AD2402" s="111">
        <f>IF(AQ2402="7",BH2402,0)</f>
      </c>
      <c r="AE2402" s="111">
        <f>IF(AQ2402="7",BI2402,0)</f>
      </c>
      <c r="AF2402" s="111">
        <f>IF(AQ2402="2",BH2402,0)</f>
      </c>
      <c r="AG2402" s="111">
        <f>IF(AQ2402="2",BI2402,0)</f>
      </c>
      <c r="AH2402" s="111">
        <f>IF(AQ2402="0",BJ2402,0)</f>
      </c>
      <c r="AI2402" s="132" t="s">
        <v>87</v>
      </c>
      <c r="AJ2402" s="111">
        <f>IF(AN2402=0,I2402,0)</f>
      </c>
      <c r="AK2402" s="111">
        <f>IF(AN2402=12,I2402,0)</f>
      </c>
      <c r="AL2402" s="111">
        <f>IF(AN2402=21,I2402,0)</f>
      </c>
      <c r="AN2402" s="111" t="n">
        <v>21</v>
      </c>
      <c r="AO2402" s="111">
        <f>H2402*0</f>
      </c>
      <c r="AP2402" s="111">
        <f>H2402*(1-0)</f>
      </c>
      <c r="AQ2402" s="153" t="s">
        <v>173</v>
      </c>
      <c r="AV2402" s="111">
        <f>AW2402+AX2402</f>
      </c>
      <c r="AW2402" s="111">
        <f>G2402*AO2402</f>
      </c>
      <c r="AX2402" s="111">
        <f>G2402*AP2402</f>
      </c>
      <c r="AY2402" s="153" t="s">
        <v>1949</v>
      </c>
      <c r="AZ2402" s="153" t="s">
        <v>3333</v>
      </c>
      <c r="BA2402" s="132" t="s">
        <v>2990</v>
      </c>
      <c r="BC2402" s="111">
        <f>AW2402+AX2402</f>
      </c>
      <c r="BD2402" s="111">
        <f>H2402/(100-BE2402)*100</f>
      </c>
      <c r="BE2402" s="111" t="n">
        <v>0</v>
      </c>
      <c r="BF2402" s="111">
        <f>2402</f>
      </c>
      <c r="BH2402" s="111">
        <f>G2402*AO2402</f>
      </c>
      <c r="BI2402" s="111">
        <f>G2402*AP2402</f>
      </c>
      <c r="BJ2402" s="111">
        <f>G2402*H2402</f>
      </c>
      <c r="BK2402" s="111"/>
      <c r="BL2402" s="111" t="n">
        <v>722</v>
      </c>
      <c r="BW2402" s="111" t="n">
        <v>21</v>
      </c>
      <c r="BX2402" s="14" t="s">
        <v>3647</v>
      </c>
    </row>
    <row r="2403">
      <c r="A2403" s="154"/>
      <c r="B2403" s="155"/>
      <c r="C2403" s="155"/>
      <c r="D2403" s="156" t="s">
        <v>130</v>
      </c>
      <c r="E2403" s="156" t="s">
        <v>4</v>
      </c>
      <c r="F2403" s="155"/>
      <c r="G2403" s="157" t="n">
        <v>1</v>
      </c>
      <c r="H2403" s="158"/>
      <c r="I2403" s="155"/>
      <c r="J2403" s="155"/>
      <c r="K2403" s="146"/>
    </row>
    <row r="2404">
      <c r="A2404" s="9" t="s">
        <v>3648</v>
      </c>
      <c r="B2404" s="10" t="s">
        <v>87</v>
      </c>
      <c r="C2404" s="10" t="s">
        <v>1955</v>
      </c>
      <c r="D2404" s="14" t="s">
        <v>3649</v>
      </c>
      <c r="E2404" s="10"/>
      <c r="F2404" s="10" t="s">
        <v>133</v>
      </c>
      <c r="G2404" s="111" t="n">
        <v>1</v>
      </c>
      <c r="H2404" s="152" t="n">
        <v>0</v>
      </c>
      <c r="I2404" s="111">
        <f>G2404*H2404</f>
      </c>
      <c r="J2404" s="153" t="s">
        <v>134</v>
      </c>
      <c r="K2404" s="146"/>
      <c r="Z2404" s="111">
        <f>IF(AQ2404="5",BJ2404,0)</f>
      </c>
      <c r="AB2404" s="111">
        <f>IF(AQ2404="1",BH2404,0)</f>
      </c>
      <c r="AC2404" s="111">
        <f>IF(AQ2404="1",BI2404,0)</f>
      </c>
      <c r="AD2404" s="111">
        <f>IF(AQ2404="7",BH2404,0)</f>
      </c>
      <c r="AE2404" s="111">
        <f>IF(AQ2404="7",BI2404,0)</f>
      </c>
      <c r="AF2404" s="111">
        <f>IF(AQ2404="2",BH2404,0)</f>
      </c>
      <c r="AG2404" s="111">
        <f>IF(AQ2404="2",BI2404,0)</f>
      </c>
      <c r="AH2404" s="111">
        <f>IF(AQ2404="0",BJ2404,0)</f>
      </c>
      <c r="AI2404" s="132" t="s">
        <v>87</v>
      </c>
      <c r="AJ2404" s="111">
        <f>IF(AN2404=0,I2404,0)</f>
      </c>
      <c r="AK2404" s="111">
        <f>IF(AN2404=12,I2404,0)</f>
      </c>
      <c r="AL2404" s="111">
        <f>IF(AN2404=21,I2404,0)</f>
      </c>
      <c r="AN2404" s="111" t="n">
        <v>21</v>
      </c>
      <c r="AO2404" s="111">
        <f>H2404*0</f>
      </c>
      <c r="AP2404" s="111">
        <f>H2404*(1-0)</f>
      </c>
      <c r="AQ2404" s="153" t="s">
        <v>173</v>
      </c>
      <c r="AV2404" s="111">
        <f>AW2404+AX2404</f>
      </c>
      <c r="AW2404" s="111">
        <f>G2404*AO2404</f>
      </c>
      <c r="AX2404" s="111">
        <f>G2404*AP2404</f>
      </c>
      <c r="AY2404" s="153" t="s">
        <v>1949</v>
      </c>
      <c r="AZ2404" s="153" t="s">
        <v>3333</v>
      </c>
      <c r="BA2404" s="132" t="s">
        <v>2990</v>
      </c>
      <c r="BC2404" s="111">
        <f>AW2404+AX2404</f>
      </c>
      <c r="BD2404" s="111">
        <f>H2404/(100-BE2404)*100</f>
      </c>
      <c r="BE2404" s="111" t="n">
        <v>0</v>
      </c>
      <c r="BF2404" s="111">
        <f>2404</f>
      </c>
      <c r="BH2404" s="111">
        <f>G2404*AO2404</f>
      </c>
      <c r="BI2404" s="111">
        <f>G2404*AP2404</f>
      </c>
      <c r="BJ2404" s="111">
        <f>G2404*H2404</f>
      </c>
      <c r="BK2404" s="111"/>
      <c r="BL2404" s="111" t="n">
        <v>722</v>
      </c>
      <c r="BW2404" s="111" t="n">
        <v>21</v>
      </c>
      <c r="BX2404" s="14" t="s">
        <v>3649</v>
      </c>
    </row>
    <row r="2405">
      <c r="A2405" s="154"/>
      <c r="B2405" s="155"/>
      <c r="C2405" s="155"/>
      <c r="D2405" s="156" t="s">
        <v>130</v>
      </c>
      <c r="E2405" s="156" t="s">
        <v>4</v>
      </c>
      <c r="F2405" s="155"/>
      <c r="G2405" s="157" t="n">
        <v>1</v>
      </c>
      <c r="H2405" s="158"/>
      <c r="I2405" s="155"/>
      <c r="J2405" s="155"/>
      <c r="K2405" s="146"/>
    </row>
    <row r="2406">
      <c r="A2406" s="9" t="s">
        <v>3650</v>
      </c>
      <c r="B2406" s="10" t="s">
        <v>87</v>
      </c>
      <c r="C2406" s="10" t="s">
        <v>3651</v>
      </c>
      <c r="D2406" s="14" t="s">
        <v>3652</v>
      </c>
      <c r="E2406" s="10"/>
      <c r="F2406" s="10" t="s">
        <v>133</v>
      </c>
      <c r="G2406" s="111" t="n">
        <v>1</v>
      </c>
      <c r="H2406" s="152" t="n">
        <v>0</v>
      </c>
      <c r="I2406" s="111">
        <f>G2406*H2406</f>
      </c>
      <c r="J2406" s="153" t="s">
        <v>134</v>
      </c>
      <c r="K2406" s="146"/>
      <c r="Z2406" s="111">
        <f>IF(AQ2406="5",BJ2406,0)</f>
      </c>
      <c r="AB2406" s="111">
        <f>IF(AQ2406="1",BH2406,0)</f>
      </c>
      <c r="AC2406" s="111">
        <f>IF(AQ2406="1",BI2406,0)</f>
      </c>
      <c r="AD2406" s="111">
        <f>IF(AQ2406="7",BH2406,0)</f>
      </c>
      <c r="AE2406" s="111">
        <f>IF(AQ2406="7",BI2406,0)</f>
      </c>
      <c r="AF2406" s="111">
        <f>IF(AQ2406="2",BH2406,0)</f>
      </c>
      <c r="AG2406" s="111">
        <f>IF(AQ2406="2",BI2406,0)</f>
      </c>
      <c r="AH2406" s="111">
        <f>IF(AQ2406="0",BJ2406,0)</f>
      </c>
      <c r="AI2406" s="132" t="s">
        <v>87</v>
      </c>
      <c r="AJ2406" s="111">
        <f>IF(AN2406=0,I2406,0)</f>
      </c>
      <c r="AK2406" s="111">
        <f>IF(AN2406=12,I2406,0)</f>
      </c>
      <c r="AL2406" s="111">
        <f>IF(AN2406=21,I2406,0)</f>
      </c>
      <c r="AN2406" s="111" t="n">
        <v>21</v>
      </c>
      <c r="AO2406" s="111">
        <f>H2406*0.782818653</f>
      </c>
      <c r="AP2406" s="111">
        <f>H2406*(1-0.782818653)</f>
      </c>
      <c r="AQ2406" s="153" t="s">
        <v>173</v>
      </c>
      <c r="AV2406" s="111">
        <f>AW2406+AX2406</f>
      </c>
      <c r="AW2406" s="111">
        <f>G2406*AO2406</f>
      </c>
      <c r="AX2406" s="111">
        <f>G2406*AP2406</f>
      </c>
      <c r="AY2406" s="153" t="s">
        <v>1949</v>
      </c>
      <c r="AZ2406" s="153" t="s">
        <v>3333</v>
      </c>
      <c r="BA2406" s="132" t="s">
        <v>2990</v>
      </c>
      <c r="BC2406" s="111">
        <f>AW2406+AX2406</f>
      </c>
      <c r="BD2406" s="111">
        <f>H2406/(100-BE2406)*100</f>
      </c>
      <c r="BE2406" s="111" t="n">
        <v>0</v>
      </c>
      <c r="BF2406" s="111">
        <f>2406</f>
      </c>
      <c r="BH2406" s="111">
        <f>G2406*AO2406</f>
      </c>
      <c r="BI2406" s="111">
        <f>G2406*AP2406</f>
      </c>
      <c r="BJ2406" s="111">
        <f>G2406*H2406</f>
      </c>
      <c r="BK2406" s="111"/>
      <c r="BL2406" s="111" t="n">
        <v>722</v>
      </c>
      <c r="BW2406" s="111" t="n">
        <v>21</v>
      </c>
      <c r="BX2406" s="14" t="s">
        <v>3652</v>
      </c>
    </row>
    <row r="2407">
      <c r="A2407" s="154"/>
      <c r="B2407" s="155"/>
      <c r="C2407" s="155"/>
      <c r="D2407" s="156" t="s">
        <v>130</v>
      </c>
      <c r="E2407" s="156" t="s">
        <v>4</v>
      </c>
      <c r="F2407" s="155"/>
      <c r="G2407" s="157" t="n">
        <v>1</v>
      </c>
      <c r="H2407" s="158"/>
      <c r="I2407" s="155"/>
      <c r="J2407" s="155"/>
      <c r="K2407" s="146"/>
    </row>
    <row r="2408">
      <c r="A2408" s="9" t="s">
        <v>3653</v>
      </c>
      <c r="B2408" s="10" t="s">
        <v>87</v>
      </c>
      <c r="C2408" s="10" t="s">
        <v>3654</v>
      </c>
      <c r="D2408" s="14" t="s">
        <v>3655</v>
      </c>
      <c r="E2408" s="10"/>
      <c r="F2408" s="10" t="s">
        <v>133</v>
      </c>
      <c r="G2408" s="111" t="n">
        <v>1</v>
      </c>
      <c r="H2408" s="152" t="n">
        <v>0</v>
      </c>
      <c r="I2408" s="111">
        <f>G2408*H2408</f>
      </c>
      <c r="J2408" s="153" t="s">
        <v>134</v>
      </c>
      <c r="K2408" s="146"/>
      <c r="Z2408" s="111">
        <f>IF(AQ2408="5",BJ2408,0)</f>
      </c>
      <c r="AB2408" s="111">
        <f>IF(AQ2408="1",BH2408,0)</f>
      </c>
      <c r="AC2408" s="111">
        <f>IF(AQ2408="1",BI2408,0)</f>
      </c>
      <c r="AD2408" s="111">
        <f>IF(AQ2408="7",BH2408,0)</f>
      </c>
      <c r="AE2408" s="111">
        <f>IF(AQ2408="7",BI2408,0)</f>
      </c>
      <c r="AF2408" s="111">
        <f>IF(AQ2408="2",BH2408,0)</f>
      </c>
      <c r="AG2408" s="111">
        <f>IF(AQ2408="2",BI2408,0)</f>
      </c>
      <c r="AH2408" s="111">
        <f>IF(AQ2408="0",BJ2408,0)</f>
      </c>
      <c r="AI2408" s="132" t="s">
        <v>87</v>
      </c>
      <c r="AJ2408" s="111">
        <f>IF(AN2408=0,I2408,0)</f>
      </c>
      <c r="AK2408" s="111">
        <f>IF(AN2408=12,I2408,0)</f>
      </c>
      <c r="AL2408" s="111">
        <f>IF(AN2408=21,I2408,0)</f>
      </c>
      <c r="AN2408" s="111" t="n">
        <v>21</v>
      </c>
      <c r="AO2408" s="111">
        <f>H2408*0.780119166</f>
      </c>
      <c r="AP2408" s="111">
        <f>H2408*(1-0.780119166)</f>
      </c>
      <c r="AQ2408" s="153" t="s">
        <v>173</v>
      </c>
      <c r="AV2408" s="111">
        <f>AW2408+AX2408</f>
      </c>
      <c r="AW2408" s="111">
        <f>G2408*AO2408</f>
      </c>
      <c r="AX2408" s="111">
        <f>G2408*AP2408</f>
      </c>
      <c r="AY2408" s="153" t="s">
        <v>1949</v>
      </c>
      <c r="AZ2408" s="153" t="s">
        <v>3333</v>
      </c>
      <c r="BA2408" s="132" t="s">
        <v>2990</v>
      </c>
      <c r="BC2408" s="111">
        <f>AW2408+AX2408</f>
      </c>
      <c r="BD2408" s="111">
        <f>H2408/(100-BE2408)*100</f>
      </c>
      <c r="BE2408" s="111" t="n">
        <v>0</v>
      </c>
      <c r="BF2408" s="111">
        <f>2408</f>
      </c>
      <c r="BH2408" s="111">
        <f>G2408*AO2408</f>
      </c>
      <c r="BI2408" s="111">
        <f>G2408*AP2408</f>
      </c>
      <c r="BJ2408" s="111">
        <f>G2408*H2408</f>
      </c>
      <c r="BK2408" s="111"/>
      <c r="BL2408" s="111" t="n">
        <v>722</v>
      </c>
      <c r="BW2408" s="111" t="n">
        <v>21</v>
      </c>
      <c r="BX2408" s="14" t="s">
        <v>3655</v>
      </c>
    </row>
    <row r="2409">
      <c r="A2409" s="154"/>
      <c r="B2409" s="155"/>
      <c r="C2409" s="155"/>
      <c r="D2409" s="156" t="s">
        <v>130</v>
      </c>
      <c r="E2409" s="156" t="s">
        <v>4</v>
      </c>
      <c r="F2409" s="155"/>
      <c r="G2409" s="157" t="n">
        <v>1</v>
      </c>
      <c r="H2409" s="158"/>
      <c r="I2409" s="155"/>
      <c r="J2409" s="155"/>
      <c r="K2409" s="146"/>
    </row>
    <row r="2410">
      <c r="A2410" s="9" t="s">
        <v>3656</v>
      </c>
      <c r="B2410" s="10" t="s">
        <v>87</v>
      </c>
      <c r="C2410" s="10" t="s">
        <v>3657</v>
      </c>
      <c r="D2410" s="14" t="s">
        <v>3658</v>
      </c>
      <c r="E2410" s="10"/>
      <c r="F2410" s="10" t="s">
        <v>133</v>
      </c>
      <c r="G2410" s="111" t="n">
        <v>1</v>
      </c>
      <c r="H2410" s="152" t="n">
        <v>0</v>
      </c>
      <c r="I2410" s="111">
        <f>G2410*H2410</f>
      </c>
      <c r="J2410" s="153" t="s">
        <v>134</v>
      </c>
      <c r="K2410" s="146"/>
      <c r="Z2410" s="111">
        <f>IF(AQ2410="5",BJ2410,0)</f>
      </c>
      <c r="AB2410" s="111">
        <f>IF(AQ2410="1",BH2410,0)</f>
      </c>
      <c r="AC2410" s="111">
        <f>IF(AQ2410="1",BI2410,0)</f>
      </c>
      <c r="AD2410" s="111">
        <f>IF(AQ2410="7",BH2410,0)</f>
      </c>
      <c r="AE2410" s="111">
        <f>IF(AQ2410="7",BI2410,0)</f>
      </c>
      <c r="AF2410" s="111">
        <f>IF(AQ2410="2",BH2410,0)</f>
      </c>
      <c r="AG2410" s="111">
        <f>IF(AQ2410="2",BI2410,0)</f>
      </c>
      <c r="AH2410" s="111">
        <f>IF(AQ2410="0",BJ2410,0)</f>
      </c>
      <c r="AI2410" s="132" t="s">
        <v>87</v>
      </c>
      <c r="AJ2410" s="111">
        <f>IF(AN2410=0,I2410,0)</f>
      </c>
      <c r="AK2410" s="111">
        <f>IF(AN2410=12,I2410,0)</f>
      </c>
      <c r="AL2410" s="111">
        <f>IF(AN2410=21,I2410,0)</f>
      </c>
      <c r="AN2410" s="111" t="n">
        <v>21</v>
      </c>
      <c r="AO2410" s="111">
        <f>H2410*0.919616848</f>
      </c>
      <c r="AP2410" s="111">
        <f>H2410*(1-0.919616848)</f>
      </c>
      <c r="AQ2410" s="153" t="s">
        <v>173</v>
      </c>
      <c r="AV2410" s="111">
        <f>AW2410+AX2410</f>
      </c>
      <c r="AW2410" s="111">
        <f>G2410*AO2410</f>
      </c>
      <c r="AX2410" s="111">
        <f>G2410*AP2410</f>
      </c>
      <c r="AY2410" s="153" t="s">
        <v>1949</v>
      </c>
      <c r="AZ2410" s="153" t="s">
        <v>3333</v>
      </c>
      <c r="BA2410" s="132" t="s">
        <v>2990</v>
      </c>
      <c r="BC2410" s="111">
        <f>AW2410+AX2410</f>
      </c>
      <c r="BD2410" s="111">
        <f>H2410/(100-BE2410)*100</f>
      </c>
      <c r="BE2410" s="111" t="n">
        <v>0</v>
      </c>
      <c r="BF2410" s="111">
        <f>2410</f>
      </c>
      <c r="BH2410" s="111">
        <f>G2410*AO2410</f>
      </c>
      <c r="BI2410" s="111">
        <f>G2410*AP2410</f>
      </c>
      <c r="BJ2410" s="111">
        <f>G2410*H2410</f>
      </c>
      <c r="BK2410" s="111"/>
      <c r="BL2410" s="111" t="n">
        <v>722</v>
      </c>
      <c r="BW2410" s="111" t="n">
        <v>21</v>
      </c>
      <c r="BX2410" s="14" t="s">
        <v>3658</v>
      </c>
    </row>
    <row r="2411">
      <c r="A2411" s="154"/>
      <c r="B2411" s="155"/>
      <c r="C2411" s="155"/>
      <c r="D2411" s="156" t="s">
        <v>130</v>
      </c>
      <c r="E2411" s="156" t="s">
        <v>4</v>
      </c>
      <c r="F2411" s="155"/>
      <c r="G2411" s="157" t="n">
        <v>1</v>
      </c>
      <c r="H2411" s="158"/>
      <c r="I2411" s="155"/>
      <c r="J2411" s="155"/>
      <c r="K2411" s="146"/>
    </row>
    <row r="2412">
      <c r="A2412" s="9" t="s">
        <v>3659</v>
      </c>
      <c r="B2412" s="10" t="s">
        <v>87</v>
      </c>
      <c r="C2412" s="10" t="s">
        <v>3660</v>
      </c>
      <c r="D2412" s="14" t="s">
        <v>3661</v>
      </c>
      <c r="E2412" s="10"/>
      <c r="F2412" s="10" t="s">
        <v>133</v>
      </c>
      <c r="G2412" s="111" t="n">
        <v>1</v>
      </c>
      <c r="H2412" s="152" t="n">
        <v>0</v>
      </c>
      <c r="I2412" s="111">
        <f>G2412*H2412</f>
      </c>
      <c r="J2412" s="153" t="s">
        <v>134</v>
      </c>
      <c r="K2412" s="146"/>
      <c r="Z2412" s="111">
        <f>IF(AQ2412="5",BJ2412,0)</f>
      </c>
      <c r="AB2412" s="111">
        <f>IF(AQ2412="1",BH2412,0)</f>
      </c>
      <c r="AC2412" s="111">
        <f>IF(AQ2412="1",BI2412,0)</f>
      </c>
      <c r="AD2412" s="111">
        <f>IF(AQ2412="7",BH2412,0)</f>
      </c>
      <c r="AE2412" s="111">
        <f>IF(AQ2412="7",BI2412,0)</f>
      </c>
      <c r="AF2412" s="111">
        <f>IF(AQ2412="2",BH2412,0)</f>
      </c>
      <c r="AG2412" s="111">
        <f>IF(AQ2412="2",BI2412,0)</f>
      </c>
      <c r="AH2412" s="111">
        <f>IF(AQ2412="0",BJ2412,0)</f>
      </c>
      <c r="AI2412" s="132" t="s">
        <v>87</v>
      </c>
      <c r="AJ2412" s="111">
        <f>IF(AN2412=0,I2412,0)</f>
      </c>
      <c r="AK2412" s="111">
        <f>IF(AN2412=12,I2412,0)</f>
      </c>
      <c r="AL2412" s="111">
        <f>IF(AN2412=21,I2412,0)</f>
      </c>
      <c r="AN2412" s="111" t="n">
        <v>21</v>
      </c>
      <c r="AO2412" s="111">
        <f>H2412*0.975172203</f>
      </c>
      <c r="AP2412" s="111">
        <f>H2412*(1-0.975172203)</f>
      </c>
      <c r="AQ2412" s="153" t="s">
        <v>173</v>
      </c>
      <c r="AV2412" s="111">
        <f>AW2412+AX2412</f>
      </c>
      <c r="AW2412" s="111">
        <f>G2412*AO2412</f>
      </c>
      <c r="AX2412" s="111">
        <f>G2412*AP2412</f>
      </c>
      <c r="AY2412" s="153" t="s">
        <v>1949</v>
      </c>
      <c r="AZ2412" s="153" t="s">
        <v>3333</v>
      </c>
      <c r="BA2412" s="132" t="s">
        <v>2990</v>
      </c>
      <c r="BC2412" s="111">
        <f>AW2412+AX2412</f>
      </c>
      <c r="BD2412" s="111">
        <f>H2412/(100-BE2412)*100</f>
      </c>
      <c r="BE2412" s="111" t="n">
        <v>0</v>
      </c>
      <c r="BF2412" s="111">
        <f>2412</f>
      </c>
      <c r="BH2412" s="111">
        <f>G2412*AO2412</f>
      </c>
      <c r="BI2412" s="111">
        <f>G2412*AP2412</f>
      </c>
      <c r="BJ2412" s="111">
        <f>G2412*H2412</f>
      </c>
      <c r="BK2412" s="111"/>
      <c r="BL2412" s="111" t="n">
        <v>722</v>
      </c>
      <c r="BW2412" s="111" t="n">
        <v>21</v>
      </c>
      <c r="BX2412" s="14" t="s">
        <v>3661</v>
      </c>
    </row>
    <row r="2413">
      <c r="A2413" s="154"/>
      <c r="B2413" s="155"/>
      <c r="C2413" s="155"/>
      <c r="D2413" s="156" t="s">
        <v>130</v>
      </c>
      <c r="E2413" s="156" t="s">
        <v>4</v>
      </c>
      <c r="F2413" s="155"/>
      <c r="G2413" s="157" t="n">
        <v>1</v>
      </c>
      <c r="H2413" s="158"/>
      <c r="I2413" s="155"/>
      <c r="J2413" s="155"/>
      <c r="K2413" s="146"/>
    </row>
    <row r="2414">
      <c r="A2414" s="9" t="s">
        <v>3662</v>
      </c>
      <c r="B2414" s="10" t="s">
        <v>87</v>
      </c>
      <c r="C2414" s="10" t="s">
        <v>3663</v>
      </c>
      <c r="D2414" s="14" t="s">
        <v>3664</v>
      </c>
      <c r="E2414" s="10"/>
      <c r="F2414" s="10" t="s">
        <v>282</v>
      </c>
      <c r="G2414" s="111" t="n">
        <v>298</v>
      </c>
      <c r="H2414" s="152" t="n">
        <v>0</v>
      </c>
      <c r="I2414" s="111">
        <f>G2414*H2414</f>
      </c>
      <c r="J2414" s="153" t="s">
        <v>134</v>
      </c>
      <c r="K2414" s="146"/>
      <c r="Z2414" s="111">
        <f>IF(AQ2414="5",BJ2414,0)</f>
      </c>
      <c r="AB2414" s="111">
        <f>IF(AQ2414="1",BH2414,0)</f>
      </c>
      <c r="AC2414" s="111">
        <f>IF(AQ2414="1",BI2414,0)</f>
      </c>
      <c r="AD2414" s="111">
        <f>IF(AQ2414="7",BH2414,0)</f>
      </c>
      <c r="AE2414" s="111">
        <f>IF(AQ2414="7",BI2414,0)</f>
      </c>
      <c r="AF2414" s="111">
        <f>IF(AQ2414="2",BH2414,0)</f>
      </c>
      <c r="AG2414" s="111">
        <f>IF(AQ2414="2",BI2414,0)</f>
      </c>
      <c r="AH2414" s="111">
        <f>IF(AQ2414="0",BJ2414,0)</f>
      </c>
      <c r="AI2414" s="132" t="s">
        <v>87</v>
      </c>
      <c r="AJ2414" s="111">
        <f>IF(AN2414=0,I2414,0)</f>
      </c>
      <c r="AK2414" s="111">
        <f>IF(AN2414=12,I2414,0)</f>
      </c>
      <c r="AL2414" s="111">
        <f>IF(AN2414=21,I2414,0)</f>
      </c>
      <c r="AN2414" s="111" t="n">
        <v>21</v>
      </c>
      <c r="AO2414" s="111">
        <f>H2414*0.015662651</f>
      </c>
      <c r="AP2414" s="111">
        <f>H2414*(1-0.015662651)</f>
      </c>
      <c r="AQ2414" s="153" t="s">
        <v>173</v>
      </c>
      <c r="AV2414" s="111">
        <f>AW2414+AX2414</f>
      </c>
      <c r="AW2414" s="111">
        <f>G2414*AO2414</f>
      </c>
      <c r="AX2414" s="111">
        <f>G2414*AP2414</f>
      </c>
      <c r="AY2414" s="153" t="s">
        <v>1949</v>
      </c>
      <c r="AZ2414" s="153" t="s">
        <v>3333</v>
      </c>
      <c r="BA2414" s="132" t="s">
        <v>2990</v>
      </c>
      <c r="BC2414" s="111">
        <f>AW2414+AX2414</f>
      </c>
      <c r="BD2414" s="111">
        <f>H2414/(100-BE2414)*100</f>
      </c>
      <c r="BE2414" s="111" t="n">
        <v>0</v>
      </c>
      <c r="BF2414" s="111">
        <f>2414</f>
      </c>
      <c r="BH2414" s="111">
        <f>G2414*AO2414</f>
      </c>
      <c r="BI2414" s="111">
        <f>G2414*AP2414</f>
      </c>
      <c r="BJ2414" s="111">
        <f>G2414*H2414</f>
      </c>
      <c r="BK2414" s="111"/>
      <c r="BL2414" s="111" t="n">
        <v>722</v>
      </c>
      <c r="BW2414" s="111" t="n">
        <v>21</v>
      </c>
      <c r="BX2414" s="14" t="s">
        <v>3664</v>
      </c>
    </row>
    <row r="2415">
      <c r="A2415" s="154"/>
      <c r="B2415" s="155"/>
      <c r="C2415" s="155"/>
      <c r="D2415" s="156" t="s">
        <v>3665</v>
      </c>
      <c r="E2415" s="156" t="s">
        <v>4</v>
      </c>
      <c r="F2415" s="155"/>
      <c r="G2415" s="157" t="n">
        <v>298</v>
      </c>
      <c r="H2415" s="158"/>
      <c r="I2415" s="155"/>
      <c r="J2415" s="155"/>
      <c r="K2415" s="146"/>
    </row>
    <row r="2416">
      <c r="A2416" s="9" t="s">
        <v>3666</v>
      </c>
      <c r="B2416" s="10" t="s">
        <v>87</v>
      </c>
      <c r="C2416" s="10" t="s">
        <v>3667</v>
      </c>
      <c r="D2416" s="14" t="s">
        <v>3668</v>
      </c>
      <c r="E2416" s="10"/>
      <c r="F2416" s="10" t="s">
        <v>282</v>
      </c>
      <c r="G2416" s="111" t="n">
        <v>88</v>
      </c>
      <c r="H2416" s="152" t="n">
        <v>0</v>
      </c>
      <c r="I2416" s="111">
        <f>G2416*H2416</f>
      </c>
      <c r="J2416" s="153" t="s">
        <v>134</v>
      </c>
      <c r="K2416" s="146"/>
      <c r="Z2416" s="111">
        <f>IF(AQ2416="5",BJ2416,0)</f>
      </c>
      <c r="AB2416" s="111">
        <f>IF(AQ2416="1",BH2416,0)</f>
      </c>
      <c r="AC2416" s="111">
        <f>IF(AQ2416="1",BI2416,0)</f>
      </c>
      <c r="AD2416" s="111">
        <f>IF(AQ2416="7",BH2416,0)</f>
      </c>
      <c r="AE2416" s="111">
        <f>IF(AQ2416="7",BI2416,0)</f>
      </c>
      <c r="AF2416" s="111">
        <f>IF(AQ2416="2",BH2416,0)</f>
      </c>
      <c r="AG2416" s="111">
        <f>IF(AQ2416="2",BI2416,0)</f>
      </c>
      <c r="AH2416" s="111">
        <f>IF(AQ2416="0",BJ2416,0)</f>
      </c>
      <c r="AI2416" s="132" t="s">
        <v>87</v>
      </c>
      <c r="AJ2416" s="111">
        <f>IF(AN2416=0,I2416,0)</f>
      </c>
      <c r="AK2416" s="111">
        <f>IF(AN2416=12,I2416,0)</f>
      </c>
      <c r="AL2416" s="111">
        <f>IF(AN2416=21,I2416,0)</f>
      </c>
      <c r="AN2416" s="111" t="n">
        <v>21</v>
      </c>
      <c r="AO2416" s="111">
        <f>H2416*0.017967434</f>
      </c>
      <c r="AP2416" s="111">
        <f>H2416*(1-0.017967434)</f>
      </c>
      <c r="AQ2416" s="153" t="s">
        <v>173</v>
      </c>
      <c r="AV2416" s="111">
        <f>AW2416+AX2416</f>
      </c>
      <c r="AW2416" s="111">
        <f>G2416*AO2416</f>
      </c>
      <c r="AX2416" s="111">
        <f>G2416*AP2416</f>
      </c>
      <c r="AY2416" s="153" t="s">
        <v>1949</v>
      </c>
      <c r="AZ2416" s="153" t="s">
        <v>3333</v>
      </c>
      <c r="BA2416" s="132" t="s">
        <v>2990</v>
      </c>
      <c r="BC2416" s="111">
        <f>AW2416+AX2416</f>
      </c>
      <c r="BD2416" s="111">
        <f>H2416/(100-BE2416)*100</f>
      </c>
      <c r="BE2416" s="111" t="n">
        <v>0</v>
      </c>
      <c r="BF2416" s="111">
        <f>2416</f>
      </c>
      <c r="BH2416" s="111">
        <f>G2416*AO2416</f>
      </c>
      <c r="BI2416" s="111">
        <f>G2416*AP2416</f>
      </c>
      <c r="BJ2416" s="111">
        <f>G2416*H2416</f>
      </c>
      <c r="BK2416" s="111"/>
      <c r="BL2416" s="111" t="n">
        <v>722</v>
      </c>
      <c r="BW2416" s="111" t="n">
        <v>21</v>
      </c>
      <c r="BX2416" s="14" t="s">
        <v>3668</v>
      </c>
    </row>
    <row r="2417">
      <c r="A2417" s="154"/>
      <c r="B2417" s="155"/>
      <c r="C2417" s="155"/>
      <c r="D2417" s="156" t="s">
        <v>715</v>
      </c>
      <c r="E2417" s="156" t="s">
        <v>4</v>
      </c>
      <c r="F2417" s="155"/>
      <c r="G2417" s="157" t="n">
        <v>88</v>
      </c>
      <c r="H2417" s="158"/>
      <c r="I2417" s="155"/>
      <c r="J2417" s="155"/>
      <c r="K2417" s="146"/>
    </row>
    <row r="2418">
      <c r="A2418" s="9" t="s">
        <v>3669</v>
      </c>
      <c r="B2418" s="10" t="s">
        <v>87</v>
      </c>
      <c r="C2418" s="10" t="s">
        <v>3670</v>
      </c>
      <c r="D2418" s="14" t="s">
        <v>3671</v>
      </c>
      <c r="E2418" s="10"/>
      <c r="F2418" s="10" t="s">
        <v>282</v>
      </c>
      <c r="G2418" s="111" t="n">
        <v>11</v>
      </c>
      <c r="H2418" s="152" t="n">
        <v>0</v>
      </c>
      <c r="I2418" s="111">
        <f>G2418*H2418</f>
      </c>
      <c r="J2418" s="153" t="s">
        <v>134</v>
      </c>
      <c r="K2418" s="146"/>
      <c r="Z2418" s="111">
        <f>IF(AQ2418="5",BJ2418,0)</f>
      </c>
      <c r="AB2418" s="111">
        <f>IF(AQ2418="1",BH2418,0)</f>
      </c>
      <c r="AC2418" s="111">
        <f>IF(AQ2418="1",BI2418,0)</f>
      </c>
      <c r="AD2418" s="111">
        <f>IF(AQ2418="7",BH2418,0)</f>
      </c>
      <c r="AE2418" s="111">
        <f>IF(AQ2418="7",BI2418,0)</f>
      </c>
      <c r="AF2418" s="111">
        <f>IF(AQ2418="2",BH2418,0)</f>
      </c>
      <c r="AG2418" s="111">
        <f>IF(AQ2418="2",BI2418,0)</f>
      </c>
      <c r="AH2418" s="111">
        <f>IF(AQ2418="0",BJ2418,0)</f>
      </c>
      <c r="AI2418" s="132" t="s">
        <v>87</v>
      </c>
      <c r="AJ2418" s="111">
        <f>IF(AN2418=0,I2418,0)</f>
      </c>
      <c r="AK2418" s="111">
        <f>IF(AN2418=12,I2418,0)</f>
      </c>
      <c r="AL2418" s="111">
        <f>IF(AN2418=21,I2418,0)</f>
      </c>
      <c r="AN2418" s="111" t="n">
        <v>21</v>
      </c>
      <c r="AO2418" s="111">
        <f>H2418*0.020661157</f>
      </c>
      <c r="AP2418" s="111">
        <f>H2418*(1-0.020661157)</f>
      </c>
      <c r="AQ2418" s="153" t="s">
        <v>173</v>
      </c>
      <c r="AV2418" s="111">
        <f>AW2418+AX2418</f>
      </c>
      <c r="AW2418" s="111">
        <f>G2418*AO2418</f>
      </c>
      <c r="AX2418" s="111">
        <f>G2418*AP2418</f>
      </c>
      <c r="AY2418" s="153" t="s">
        <v>1949</v>
      </c>
      <c r="AZ2418" s="153" t="s">
        <v>3333</v>
      </c>
      <c r="BA2418" s="132" t="s">
        <v>2990</v>
      </c>
      <c r="BC2418" s="111">
        <f>AW2418+AX2418</f>
      </c>
      <c r="BD2418" s="111">
        <f>H2418/(100-BE2418)*100</f>
      </c>
      <c r="BE2418" s="111" t="n">
        <v>0</v>
      </c>
      <c r="BF2418" s="111">
        <f>2418</f>
      </c>
      <c r="BH2418" s="111">
        <f>G2418*AO2418</f>
      </c>
      <c r="BI2418" s="111">
        <f>G2418*AP2418</f>
      </c>
      <c r="BJ2418" s="111">
        <f>G2418*H2418</f>
      </c>
      <c r="BK2418" s="111"/>
      <c r="BL2418" s="111" t="n">
        <v>722</v>
      </c>
      <c r="BW2418" s="111" t="n">
        <v>21</v>
      </c>
      <c r="BX2418" s="14" t="s">
        <v>3671</v>
      </c>
    </row>
    <row r="2419">
      <c r="A2419" s="154"/>
      <c r="B2419" s="155"/>
      <c r="C2419" s="155"/>
      <c r="D2419" s="156" t="s">
        <v>3672</v>
      </c>
      <c r="E2419" s="156" t="s">
        <v>4</v>
      </c>
      <c r="F2419" s="155"/>
      <c r="G2419" s="157" t="n">
        <v>11</v>
      </c>
      <c r="H2419" s="158"/>
      <c r="I2419" s="155"/>
      <c r="J2419" s="155"/>
      <c r="K2419" s="146"/>
    </row>
    <row r="2420">
      <c r="A2420" s="9" t="s">
        <v>3673</v>
      </c>
      <c r="B2420" s="10" t="s">
        <v>87</v>
      </c>
      <c r="C2420" s="10" t="s">
        <v>3674</v>
      </c>
      <c r="D2420" s="14" t="s">
        <v>3675</v>
      </c>
      <c r="E2420" s="10"/>
      <c r="F2420" s="10" t="s">
        <v>282</v>
      </c>
      <c r="G2420" s="111" t="n">
        <v>397</v>
      </c>
      <c r="H2420" s="152" t="n">
        <v>0</v>
      </c>
      <c r="I2420" s="111">
        <f>G2420*H2420</f>
      </c>
      <c r="J2420" s="153" t="s">
        <v>134</v>
      </c>
      <c r="K2420" s="146"/>
      <c r="Z2420" s="111">
        <f>IF(AQ2420="5",BJ2420,0)</f>
      </c>
      <c r="AB2420" s="111">
        <f>IF(AQ2420="1",BH2420,0)</f>
      </c>
      <c r="AC2420" s="111">
        <f>IF(AQ2420="1",BI2420,0)</f>
      </c>
      <c r="AD2420" s="111">
        <f>IF(AQ2420="7",BH2420,0)</f>
      </c>
      <c r="AE2420" s="111">
        <f>IF(AQ2420="7",BI2420,0)</f>
      </c>
      <c r="AF2420" s="111">
        <f>IF(AQ2420="2",BH2420,0)</f>
      </c>
      <c r="AG2420" s="111">
        <f>IF(AQ2420="2",BI2420,0)</f>
      </c>
      <c r="AH2420" s="111">
        <f>IF(AQ2420="0",BJ2420,0)</f>
      </c>
      <c r="AI2420" s="132" t="s">
        <v>87</v>
      </c>
      <c r="AJ2420" s="111">
        <f>IF(AN2420=0,I2420,0)</f>
      </c>
      <c r="AK2420" s="111">
        <f>IF(AN2420=12,I2420,0)</f>
      </c>
      <c r="AL2420" s="111">
        <f>IF(AN2420=21,I2420,0)</f>
      </c>
      <c r="AN2420" s="111" t="n">
        <v>21</v>
      </c>
      <c r="AO2420" s="111">
        <f>H2420*0.054324324</f>
      </c>
      <c r="AP2420" s="111">
        <f>H2420*(1-0.054324324)</f>
      </c>
      <c r="AQ2420" s="153" t="s">
        <v>173</v>
      </c>
      <c r="AV2420" s="111">
        <f>AW2420+AX2420</f>
      </c>
      <c r="AW2420" s="111">
        <f>G2420*AO2420</f>
      </c>
      <c r="AX2420" s="111">
        <f>G2420*AP2420</f>
      </c>
      <c r="AY2420" s="153" t="s">
        <v>1949</v>
      </c>
      <c r="AZ2420" s="153" t="s">
        <v>3333</v>
      </c>
      <c r="BA2420" s="132" t="s">
        <v>2990</v>
      </c>
      <c r="BC2420" s="111">
        <f>AW2420+AX2420</f>
      </c>
      <c r="BD2420" s="111">
        <f>H2420/(100-BE2420)*100</f>
      </c>
      <c r="BE2420" s="111" t="n">
        <v>0</v>
      </c>
      <c r="BF2420" s="111">
        <f>2420</f>
      </c>
      <c r="BH2420" s="111">
        <f>G2420*AO2420</f>
      </c>
      <c r="BI2420" s="111">
        <f>G2420*AP2420</f>
      </c>
      <c r="BJ2420" s="111">
        <f>G2420*H2420</f>
      </c>
      <c r="BK2420" s="111"/>
      <c r="BL2420" s="111" t="n">
        <v>722</v>
      </c>
      <c r="BW2420" s="111" t="n">
        <v>21</v>
      </c>
      <c r="BX2420" s="14" t="s">
        <v>3675</v>
      </c>
    </row>
    <row r="2421">
      <c r="A2421" s="154"/>
      <c r="B2421" s="155"/>
      <c r="C2421" s="155"/>
      <c r="D2421" s="156" t="s">
        <v>3676</v>
      </c>
      <c r="E2421" s="156" t="s">
        <v>4</v>
      </c>
      <c r="F2421" s="155"/>
      <c r="G2421" s="157" t="n">
        <v>397</v>
      </c>
      <c r="H2421" s="158"/>
      <c r="I2421" s="155"/>
      <c r="J2421" s="155"/>
      <c r="K2421" s="146"/>
    </row>
    <row r="2422">
      <c r="A2422" s="147" t="s">
        <v>4</v>
      </c>
      <c r="B2422" s="148" t="s">
        <v>87</v>
      </c>
      <c r="C2422" s="148" t="s">
        <v>3677</v>
      </c>
      <c r="D2422" s="149" t="s">
        <v>3678</v>
      </c>
      <c r="E2422" s="148"/>
      <c r="F2422" s="150" t="s">
        <v>79</v>
      </c>
      <c r="G2422" s="150" t="s">
        <v>79</v>
      </c>
      <c r="H2422" s="151" t="s">
        <v>79</v>
      </c>
      <c r="I2422" s="117">
        <f>SUM(I2423:I2423)</f>
      </c>
      <c r="J2422" s="132" t="s">
        <v>4</v>
      </c>
      <c r="K2422" s="146"/>
      <c r="AI2422" s="132" t="s">
        <v>87</v>
      </c>
      <c r="AS2422" s="117">
        <f>SUM(AJ2423:AJ2423)</f>
      </c>
      <c r="AT2422" s="117">
        <f>SUM(AK2423:AK2423)</f>
      </c>
      <c r="AU2422" s="117">
        <f>SUM(AL2423:AL2423)</f>
      </c>
    </row>
    <row r="2423">
      <c r="A2423" s="9" t="s">
        <v>3679</v>
      </c>
      <c r="B2423" s="10" t="s">
        <v>87</v>
      </c>
      <c r="C2423" s="10" t="s">
        <v>3680</v>
      </c>
      <c r="D2423" s="14" t="s">
        <v>3681</v>
      </c>
      <c r="E2423" s="10"/>
      <c r="F2423" s="10" t="s">
        <v>1962</v>
      </c>
      <c r="G2423" s="111" t="n">
        <v>2</v>
      </c>
      <c r="H2423" s="152" t="n">
        <v>0</v>
      </c>
      <c r="I2423" s="111">
        <f>G2423*H2423</f>
      </c>
      <c r="J2423" s="153" t="s">
        <v>134</v>
      </c>
      <c r="K2423" s="146"/>
      <c r="Z2423" s="111">
        <f>IF(AQ2423="5",BJ2423,0)</f>
      </c>
      <c r="AB2423" s="111">
        <f>IF(AQ2423="1",BH2423,0)</f>
      </c>
      <c r="AC2423" s="111">
        <f>IF(AQ2423="1",BI2423,0)</f>
      </c>
      <c r="AD2423" s="111">
        <f>IF(AQ2423="7",BH2423,0)</f>
      </c>
      <c r="AE2423" s="111">
        <f>IF(AQ2423="7",BI2423,0)</f>
      </c>
      <c r="AF2423" s="111">
        <f>IF(AQ2423="2",BH2423,0)</f>
      </c>
      <c r="AG2423" s="111">
        <f>IF(AQ2423="2",BI2423,0)</f>
      </c>
      <c r="AH2423" s="111">
        <f>IF(AQ2423="0",BJ2423,0)</f>
      </c>
      <c r="AI2423" s="132" t="s">
        <v>87</v>
      </c>
      <c r="AJ2423" s="111">
        <f>IF(AN2423=0,I2423,0)</f>
      </c>
      <c r="AK2423" s="111">
        <f>IF(AN2423=12,I2423,0)</f>
      </c>
      <c r="AL2423" s="111">
        <f>IF(AN2423=21,I2423,0)</f>
      </c>
      <c r="AN2423" s="111" t="n">
        <v>21</v>
      </c>
      <c r="AO2423" s="111">
        <f>H2423*0.715081433</f>
      </c>
      <c r="AP2423" s="111">
        <f>H2423*(1-0.715081433)</f>
      </c>
      <c r="AQ2423" s="153" t="s">
        <v>173</v>
      </c>
      <c r="AV2423" s="111">
        <f>AW2423+AX2423</f>
      </c>
      <c r="AW2423" s="111">
        <f>G2423*AO2423</f>
      </c>
      <c r="AX2423" s="111">
        <f>G2423*AP2423</f>
      </c>
      <c r="AY2423" s="153" t="s">
        <v>3682</v>
      </c>
      <c r="AZ2423" s="153" t="s">
        <v>3333</v>
      </c>
      <c r="BA2423" s="132" t="s">
        <v>2990</v>
      </c>
      <c r="BC2423" s="111">
        <f>AW2423+AX2423</f>
      </c>
      <c r="BD2423" s="111">
        <f>H2423/(100-BE2423)*100</f>
      </c>
      <c r="BE2423" s="111" t="n">
        <v>0</v>
      </c>
      <c r="BF2423" s="111">
        <f>2423</f>
      </c>
      <c r="BH2423" s="111">
        <f>G2423*AO2423</f>
      </c>
      <c r="BI2423" s="111">
        <f>G2423*AP2423</f>
      </c>
      <c r="BJ2423" s="111">
        <f>G2423*H2423</f>
      </c>
      <c r="BK2423" s="111"/>
      <c r="BL2423" s="111" t="n">
        <v>724</v>
      </c>
      <c r="BW2423" s="111" t="n">
        <v>21</v>
      </c>
      <c r="BX2423" s="14" t="s">
        <v>3681</v>
      </c>
    </row>
    <row r="2424">
      <c r="A2424" s="154"/>
      <c r="B2424" s="155"/>
      <c r="C2424" s="155"/>
      <c r="D2424" s="156" t="s">
        <v>140</v>
      </c>
      <c r="E2424" s="156" t="s">
        <v>4</v>
      </c>
      <c r="F2424" s="155"/>
      <c r="G2424" s="157" t="n">
        <v>2</v>
      </c>
      <c r="H2424" s="158"/>
      <c r="I2424" s="155"/>
      <c r="J2424" s="155"/>
      <c r="K2424" s="146"/>
    </row>
    <row r="2425">
      <c r="A2425" s="147" t="s">
        <v>4</v>
      </c>
      <c r="B2425" s="148" t="s">
        <v>87</v>
      </c>
      <c r="C2425" s="148" t="s">
        <v>1957</v>
      </c>
      <c r="D2425" s="149" t="s">
        <v>1958</v>
      </c>
      <c r="E2425" s="148"/>
      <c r="F2425" s="150" t="s">
        <v>79</v>
      </c>
      <c r="G2425" s="150" t="s">
        <v>79</v>
      </c>
      <c r="H2425" s="151" t="s">
        <v>79</v>
      </c>
      <c r="I2425" s="117">
        <f>SUM(I2426:I2451)</f>
      </c>
      <c r="J2425" s="132" t="s">
        <v>4</v>
      </c>
      <c r="K2425" s="146"/>
      <c r="AI2425" s="132" t="s">
        <v>87</v>
      </c>
      <c r="AS2425" s="117">
        <f>SUM(AJ2426:AJ2451)</f>
      </c>
      <c r="AT2425" s="117">
        <f>SUM(AK2426:AK2451)</f>
      </c>
      <c r="AU2425" s="117">
        <f>SUM(AL2426:AL2451)</f>
      </c>
    </row>
    <row r="2426">
      <c r="A2426" s="9" t="s">
        <v>3683</v>
      </c>
      <c r="B2426" s="10" t="s">
        <v>87</v>
      </c>
      <c r="C2426" s="10" t="s">
        <v>3684</v>
      </c>
      <c r="D2426" s="14" t="s">
        <v>3685</v>
      </c>
      <c r="E2426" s="10"/>
      <c r="F2426" s="10" t="s">
        <v>1962</v>
      </c>
      <c r="G2426" s="111" t="n">
        <v>2</v>
      </c>
      <c r="H2426" s="152" t="n">
        <v>0</v>
      </c>
      <c r="I2426" s="111">
        <f>G2426*H2426</f>
      </c>
      <c r="J2426" s="153" t="s">
        <v>134</v>
      </c>
      <c r="K2426" s="146"/>
      <c r="Z2426" s="111">
        <f>IF(AQ2426="5",BJ2426,0)</f>
      </c>
      <c r="AB2426" s="111">
        <f>IF(AQ2426="1",BH2426,0)</f>
      </c>
      <c r="AC2426" s="111">
        <f>IF(AQ2426="1",BI2426,0)</f>
      </c>
      <c r="AD2426" s="111">
        <f>IF(AQ2426="7",BH2426,0)</f>
      </c>
      <c r="AE2426" s="111">
        <f>IF(AQ2426="7",BI2426,0)</f>
      </c>
      <c r="AF2426" s="111">
        <f>IF(AQ2426="2",BH2426,0)</f>
      </c>
      <c r="AG2426" s="111">
        <f>IF(AQ2426="2",BI2426,0)</f>
      </c>
      <c r="AH2426" s="111">
        <f>IF(AQ2426="0",BJ2426,0)</f>
      </c>
      <c r="AI2426" s="132" t="s">
        <v>87</v>
      </c>
      <c r="AJ2426" s="111">
        <f>IF(AN2426=0,I2426,0)</f>
      </c>
      <c r="AK2426" s="111">
        <f>IF(AN2426=12,I2426,0)</f>
      </c>
      <c r="AL2426" s="111">
        <f>IF(AN2426=21,I2426,0)</f>
      </c>
      <c r="AN2426" s="111" t="n">
        <v>21</v>
      </c>
      <c r="AO2426" s="111">
        <f>H2426*0.932211952</f>
      </c>
      <c r="AP2426" s="111">
        <f>H2426*(1-0.932211952)</f>
      </c>
      <c r="AQ2426" s="153" t="s">
        <v>173</v>
      </c>
      <c r="AV2426" s="111">
        <f>AW2426+AX2426</f>
      </c>
      <c r="AW2426" s="111">
        <f>G2426*AO2426</f>
      </c>
      <c r="AX2426" s="111">
        <f>G2426*AP2426</f>
      </c>
      <c r="AY2426" s="153" t="s">
        <v>1963</v>
      </c>
      <c r="AZ2426" s="153" t="s">
        <v>3333</v>
      </c>
      <c r="BA2426" s="132" t="s">
        <v>2990</v>
      </c>
      <c r="BC2426" s="111">
        <f>AW2426+AX2426</f>
      </c>
      <c r="BD2426" s="111">
        <f>H2426/(100-BE2426)*100</f>
      </c>
      <c r="BE2426" s="111" t="n">
        <v>0</v>
      </c>
      <c r="BF2426" s="111">
        <f>2426</f>
      </c>
      <c r="BH2426" s="111">
        <f>G2426*AO2426</f>
      </c>
      <c r="BI2426" s="111">
        <f>G2426*AP2426</f>
      </c>
      <c r="BJ2426" s="111">
        <f>G2426*H2426</f>
      </c>
      <c r="BK2426" s="111"/>
      <c r="BL2426" s="111" t="n">
        <v>725</v>
      </c>
      <c r="BW2426" s="111" t="n">
        <v>21</v>
      </c>
      <c r="BX2426" s="14" t="s">
        <v>3685</v>
      </c>
    </row>
    <row r="2427" customHeight="true" ht="13.5">
      <c r="A2427" s="159"/>
      <c r="C2427" s="160" t="s">
        <v>146</v>
      </c>
      <c r="D2427" s="161" t="s">
        <v>3686</v>
      </c>
      <c r="E2427" s="156"/>
      <c r="F2427" s="156"/>
      <c r="G2427" s="156"/>
      <c r="H2427" s="162"/>
      <c r="I2427" s="156"/>
      <c r="J2427" s="156"/>
      <c r="K2427" s="163"/>
    </row>
    <row r="2428">
      <c r="A2428" s="154"/>
      <c r="B2428" s="155"/>
      <c r="C2428" s="155"/>
      <c r="D2428" s="156" t="s">
        <v>140</v>
      </c>
      <c r="E2428" s="156" t="s">
        <v>4</v>
      </c>
      <c r="F2428" s="155"/>
      <c r="G2428" s="157" t="n">
        <v>2</v>
      </c>
      <c r="H2428" s="158"/>
      <c r="I2428" s="155"/>
      <c r="J2428" s="155"/>
      <c r="K2428" s="146"/>
    </row>
    <row r="2429">
      <c r="A2429" s="9" t="s">
        <v>3687</v>
      </c>
      <c r="B2429" s="10" t="s">
        <v>87</v>
      </c>
      <c r="C2429" s="10" t="s">
        <v>3688</v>
      </c>
      <c r="D2429" s="14" t="s">
        <v>3689</v>
      </c>
      <c r="E2429" s="10"/>
      <c r="F2429" s="10" t="s">
        <v>1962</v>
      </c>
      <c r="G2429" s="111" t="n">
        <v>1</v>
      </c>
      <c r="H2429" s="152" t="n">
        <v>0</v>
      </c>
      <c r="I2429" s="111">
        <f>G2429*H2429</f>
      </c>
      <c r="J2429" s="153" t="s">
        <v>134</v>
      </c>
      <c r="K2429" s="146"/>
      <c r="Z2429" s="111">
        <f>IF(AQ2429="5",BJ2429,0)</f>
      </c>
      <c r="AB2429" s="111">
        <f>IF(AQ2429="1",BH2429,0)</f>
      </c>
      <c r="AC2429" s="111">
        <f>IF(AQ2429="1",BI2429,0)</f>
      </c>
      <c r="AD2429" s="111">
        <f>IF(AQ2429="7",BH2429,0)</f>
      </c>
      <c r="AE2429" s="111">
        <f>IF(AQ2429="7",BI2429,0)</f>
      </c>
      <c r="AF2429" s="111">
        <f>IF(AQ2429="2",BH2429,0)</f>
      </c>
      <c r="AG2429" s="111">
        <f>IF(AQ2429="2",BI2429,0)</f>
      </c>
      <c r="AH2429" s="111">
        <f>IF(AQ2429="0",BJ2429,0)</f>
      </c>
      <c r="AI2429" s="132" t="s">
        <v>87</v>
      </c>
      <c r="AJ2429" s="111">
        <f>IF(AN2429=0,I2429,0)</f>
      </c>
      <c r="AK2429" s="111">
        <f>IF(AN2429=12,I2429,0)</f>
      </c>
      <c r="AL2429" s="111">
        <f>IF(AN2429=21,I2429,0)</f>
      </c>
      <c r="AN2429" s="111" t="n">
        <v>21</v>
      </c>
      <c r="AO2429" s="111">
        <f>H2429*0.889170219</f>
      </c>
      <c r="AP2429" s="111">
        <f>H2429*(1-0.889170219)</f>
      </c>
      <c r="AQ2429" s="153" t="s">
        <v>173</v>
      </c>
      <c r="AV2429" s="111">
        <f>AW2429+AX2429</f>
      </c>
      <c r="AW2429" s="111">
        <f>G2429*AO2429</f>
      </c>
      <c r="AX2429" s="111">
        <f>G2429*AP2429</f>
      </c>
      <c r="AY2429" s="153" t="s">
        <v>1963</v>
      </c>
      <c r="AZ2429" s="153" t="s">
        <v>3333</v>
      </c>
      <c r="BA2429" s="132" t="s">
        <v>2990</v>
      </c>
      <c r="BC2429" s="111">
        <f>AW2429+AX2429</f>
      </c>
      <c r="BD2429" s="111">
        <f>H2429/(100-BE2429)*100</f>
      </c>
      <c r="BE2429" s="111" t="n">
        <v>0</v>
      </c>
      <c r="BF2429" s="111">
        <f>2429</f>
      </c>
      <c r="BH2429" s="111">
        <f>G2429*AO2429</f>
      </c>
      <c r="BI2429" s="111">
        <f>G2429*AP2429</f>
      </c>
      <c r="BJ2429" s="111">
        <f>G2429*H2429</f>
      </c>
      <c r="BK2429" s="111"/>
      <c r="BL2429" s="111" t="n">
        <v>725</v>
      </c>
      <c r="BW2429" s="111" t="n">
        <v>21</v>
      </c>
      <c r="BX2429" s="14" t="s">
        <v>3689</v>
      </c>
    </row>
    <row r="2430">
      <c r="A2430" s="154"/>
      <c r="B2430" s="155"/>
      <c r="C2430" s="155"/>
      <c r="D2430" s="156" t="s">
        <v>130</v>
      </c>
      <c r="E2430" s="156" t="s">
        <v>4</v>
      </c>
      <c r="F2430" s="155"/>
      <c r="G2430" s="157" t="n">
        <v>1</v>
      </c>
      <c r="H2430" s="158"/>
      <c r="I2430" s="155"/>
      <c r="J2430" s="155"/>
      <c r="K2430" s="146"/>
    </row>
    <row r="2431">
      <c r="A2431" s="9" t="s">
        <v>3690</v>
      </c>
      <c r="B2431" s="10" t="s">
        <v>87</v>
      </c>
      <c r="C2431" s="10" t="s">
        <v>3691</v>
      </c>
      <c r="D2431" s="14" t="s">
        <v>3692</v>
      </c>
      <c r="E2431" s="10"/>
      <c r="F2431" s="10" t="s">
        <v>133</v>
      </c>
      <c r="G2431" s="111" t="n">
        <v>9</v>
      </c>
      <c r="H2431" s="152" t="n">
        <v>0</v>
      </c>
      <c r="I2431" s="111">
        <f>G2431*H2431</f>
      </c>
      <c r="J2431" s="153" t="s">
        <v>134</v>
      </c>
      <c r="K2431" s="146"/>
      <c r="Z2431" s="111">
        <f>IF(AQ2431="5",BJ2431,0)</f>
      </c>
      <c r="AB2431" s="111">
        <f>IF(AQ2431="1",BH2431,0)</f>
      </c>
      <c r="AC2431" s="111">
        <f>IF(AQ2431="1",BI2431,0)</f>
      </c>
      <c r="AD2431" s="111">
        <f>IF(AQ2431="7",BH2431,0)</f>
      </c>
      <c r="AE2431" s="111">
        <f>IF(AQ2431="7",BI2431,0)</f>
      </c>
      <c r="AF2431" s="111">
        <f>IF(AQ2431="2",BH2431,0)</f>
      </c>
      <c r="AG2431" s="111">
        <f>IF(AQ2431="2",BI2431,0)</f>
      </c>
      <c r="AH2431" s="111">
        <f>IF(AQ2431="0",BJ2431,0)</f>
      </c>
      <c r="AI2431" s="132" t="s">
        <v>87</v>
      </c>
      <c r="AJ2431" s="111">
        <f>IF(AN2431=0,I2431,0)</f>
      </c>
      <c r="AK2431" s="111">
        <f>IF(AN2431=12,I2431,0)</f>
      </c>
      <c r="AL2431" s="111">
        <f>IF(AN2431=21,I2431,0)</f>
      </c>
      <c r="AN2431" s="111" t="n">
        <v>21</v>
      </c>
      <c r="AO2431" s="111">
        <f>H2431*0.740318368</f>
      </c>
      <c r="AP2431" s="111">
        <f>H2431*(1-0.740318368)</f>
      </c>
      <c r="AQ2431" s="153" t="s">
        <v>173</v>
      </c>
      <c r="AV2431" s="111">
        <f>AW2431+AX2431</f>
      </c>
      <c r="AW2431" s="111">
        <f>G2431*AO2431</f>
      </c>
      <c r="AX2431" s="111">
        <f>G2431*AP2431</f>
      </c>
      <c r="AY2431" s="153" t="s">
        <v>1963</v>
      </c>
      <c r="AZ2431" s="153" t="s">
        <v>3333</v>
      </c>
      <c r="BA2431" s="132" t="s">
        <v>2990</v>
      </c>
      <c r="BC2431" s="111">
        <f>AW2431+AX2431</f>
      </c>
      <c r="BD2431" s="111">
        <f>H2431/(100-BE2431)*100</f>
      </c>
      <c r="BE2431" s="111" t="n">
        <v>0</v>
      </c>
      <c r="BF2431" s="111">
        <f>2431</f>
      </c>
      <c r="BH2431" s="111">
        <f>G2431*AO2431</f>
      </c>
      <c r="BI2431" s="111">
        <f>G2431*AP2431</f>
      </c>
      <c r="BJ2431" s="111">
        <f>G2431*H2431</f>
      </c>
      <c r="BK2431" s="111"/>
      <c r="BL2431" s="111" t="n">
        <v>725</v>
      </c>
      <c r="BW2431" s="111" t="n">
        <v>21</v>
      </c>
      <c r="BX2431" s="14" t="s">
        <v>3692</v>
      </c>
    </row>
    <row r="2432" customHeight="true" ht="13.5">
      <c r="A2432" s="159"/>
      <c r="C2432" s="160" t="s">
        <v>146</v>
      </c>
      <c r="D2432" s="161" t="s">
        <v>3693</v>
      </c>
      <c r="E2432" s="156"/>
      <c r="F2432" s="156"/>
      <c r="G2432" s="156"/>
      <c r="H2432" s="162"/>
      <c r="I2432" s="156"/>
      <c r="J2432" s="156"/>
      <c r="K2432" s="163"/>
    </row>
    <row r="2433">
      <c r="A2433" s="154"/>
      <c r="B2433" s="155"/>
      <c r="C2433" s="155"/>
      <c r="D2433" s="156" t="s">
        <v>183</v>
      </c>
      <c r="E2433" s="156" t="s">
        <v>4</v>
      </c>
      <c r="F2433" s="155"/>
      <c r="G2433" s="157" t="n">
        <v>9</v>
      </c>
      <c r="H2433" s="158"/>
      <c r="I2433" s="155"/>
      <c r="J2433" s="155"/>
      <c r="K2433" s="146"/>
    </row>
    <row r="2434">
      <c r="A2434" s="9" t="s">
        <v>3694</v>
      </c>
      <c r="B2434" s="10" t="s">
        <v>87</v>
      </c>
      <c r="C2434" s="10" t="s">
        <v>3695</v>
      </c>
      <c r="D2434" s="14" t="s">
        <v>3696</v>
      </c>
      <c r="E2434" s="10"/>
      <c r="F2434" s="10" t="s">
        <v>133</v>
      </c>
      <c r="G2434" s="111" t="n">
        <v>1</v>
      </c>
      <c r="H2434" s="152" t="n">
        <v>0</v>
      </c>
      <c r="I2434" s="111">
        <f>G2434*H2434</f>
      </c>
      <c r="J2434" s="153" t="s">
        <v>134</v>
      </c>
      <c r="K2434" s="146"/>
      <c r="Z2434" s="111">
        <f>IF(AQ2434="5",BJ2434,0)</f>
      </c>
      <c r="AB2434" s="111">
        <f>IF(AQ2434="1",BH2434,0)</f>
      </c>
      <c r="AC2434" s="111">
        <f>IF(AQ2434="1",BI2434,0)</f>
      </c>
      <c r="AD2434" s="111">
        <f>IF(AQ2434="7",BH2434,0)</f>
      </c>
      <c r="AE2434" s="111">
        <f>IF(AQ2434="7",BI2434,0)</f>
      </c>
      <c r="AF2434" s="111">
        <f>IF(AQ2434="2",BH2434,0)</f>
      </c>
      <c r="AG2434" s="111">
        <f>IF(AQ2434="2",BI2434,0)</f>
      </c>
      <c r="AH2434" s="111">
        <f>IF(AQ2434="0",BJ2434,0)</f>
      </c>
      <c r="AI2434" s="132" t="s">
        <v>87</v>
      </c>
      <c r="AJ2434" s="111">
        <f>IF(AN2434=0,I2434,0)</f>
      </c>
      <c r="AK2434" s="111">
        <f>IF(AN2434=12,I2434,0)</f>
      </c>
      <c r="AL2434" s="111">
        <f>IF(AN2434=21,I2434,0)</f>
      </c>
      <c r="AN2434" s="111" t="n">
        <v>21</v>
      </c>
      <c r="AO2434" s="111">
        <f>H2434*0.899833785</f>
      </c>
      <c r="AP2434" s="111">
        <f>H2434*(1-0.899833785)</f>
      </c>
      <c r="AQ2434" s="153" t="s">
        <v>173</v>
      </c>
      <c r="AV2434" s="111">
        <f>AW2434+AX2434</f>
      </c>
      <c r="AW2434" s="111">
        <f>G2434*AO2434</f>
      </c>
      <c r="AX2434" s="111">
        <f>G2434*AP2434</f>
      </c>
      <c r="AY2434" s="153" t="s">
        <v>1963</v>
      </c>
      <c r="AZ2434" s="153" t="s">
        <v>3333</v>
      </c>
      <c r="BA2434" s="132" t="s">
        <v>2990</v>
      </c>
      <c r="BC2434" s="111">
        <f>AW2434+AX2434</f>
      </c>
      <c r="BD2434" s="111">
        <f>H2434/(100-BE2434)*100</f>
      </c>
      <c r="BE2434" s="111" t="n">
        <v>0</v>
      </c>
      <c r="BF2434" s="111">
        <f>2434</f>
      </c>
      <c r="BH2434" s="111">
        <f>G2434*AO2434</f>
      </c>
      <c r="BI2434" s="111">
        <f>G2434*AP2434</f>
      </c>
      <c r="BJ2434" s="111">
        <f>G2434*H2434</f>
      </c>
      <c r="BK2434" s="111"/>
      <c r="BL2434" s="111" t="n">
        <v>725</v>
      </c>
      <c r="BW2434" s="111" t="n">
        <v>21</v>
      </c>
      <c r="BX2434" s="14" t="s">
        <v>3696</v>
      </c>
    </row>
    <row r="2435" customHeight="true" ht="13.5">
      <c r="A2435" s="159"/>
      <c r="C2435" s="160" t="s">
        <v>146</v>
      </c>
      <c r="D2435" s="161" t="s">
        <v>3693</v>
      </c>
      <c r="E2435" s="156"/>
      <c r="F2435" s="156"/>
      <c r="G2435" s="156"/>
      <c r="H2435" s="162"/>
      <c r="I2435" s="156"/>
      <c r="J2435" s="156"/>
      <c r="K2435" s="163"/>
    </row>
    <row r="2436">
      <c r="A2436" s="154"/>
      <c r="B2436" s="155"/>
      <c r="C2436" s="155"/>
      <c r="D2436" s="156" t="s">
        <v>130</v>
      </c>
      <c r="E2436" s="156" t="s">
        <v>4</v>
      </c>
      <c r="F2436" s="155"/>
      <c r="G2436" s="157" t="n">
        <v>1</v>
      </c>
      <c r="H2436" s="158"/>
      <c r="I2436" s="155"/>
      <c r="J2436" s="155"/>
      <c r="K2436" s="146"/>
    </row>
    <row r="2437">
      <c r="A2437" s="9" t="s">
        <v>3697</v>
      </c>
      <c r="B2437" s="10" t="s">
        <v>87</v>
      </c>
      <c r="C2437" s="10" t="s">
        <v>3698</v>
      </c>
      <c r="D2437" s="14" t="s">
        <v>3699</v>
      </c>
      <c r="E2437" s="10"/>
      <c r="F2437" s="10" t="s">
        <v>133</v>
      </c>
      <c r="G2437" s="111" t="n">
        <v>4</v>
      </c>
      <c r="H2437" s="152" t="n">
        <v>0</v>
      </c>
      <c r="I2437" s="111">
        <f>G2437*H2437</f>
      </c>
      <c r="J2437" s="153" t="s">
        <v>134</v>
      </c>
      <c r="K2437" s="146"/>
      <c r="Z2437" s="111">
        <f>IF(AQ2437="5",BJ2437,0)</f>
      </c>
      <c r="AB2437" s="111">
        <f>IF(AQ2437="1",BH2437,0)</f>
      </c>
      <c r="AC2437" s="111">
        <f>IF(AQ2437="1",BI2437,0)</f>
      </c>
      <c r="AD2437" s="111">
        <f>IF(AQ2437="7",BH2437,0)</f>
      </c>
      <c r="AE2437" s="111">
        <f>IF(AQ2437="7",BI2437,0)</f>
      </c>
      <c r="AF2437" s="111">
        <f>IF(AQ2437="2",BH2437,0)</f>
      </c>
      <c r="AG2437" s="111">
        <f>IF(AQ2437="2",BI2437,0)</f>
      </c>
      <c r="AH2437" s="111">
        <f>IF(AQ2437="0",BJ2437,0)</f>
      </c>
      <c r="AI2437" s="132" t="s">
        <v>87</v>
      </c>
      <c r="AJ2437" s="111">
        <f>IF(AN2437=0,I2437,0)</f>
      </c>
      <c r="AK2437" s="111">
        <f>IF(AN2437=12,I2437,0)</f>
      </c>
      <c r="AL2437" s="111">
        <f>IF(AN2437=21,I2437,0)</f>
      </c>
      <c r="AN2437" s="111" t="n">
        <v>21</v>
      </c>
      <c r="AO2437" s="111">
        <f>H2437*0.938623341</f>
      </c>
      <c r="AP2437" s="111">
        <f>H2437*(1-0.938623341)</f>
      </c>
      <c r="AQ2437" s="153" t="s">
        <v>173</v>
      </c>
      <c r="AV2437" s="111">
        <f>AW2437+AX2437</f>
      </c>
      <c r="AW2437" s="111">
        <f>G2437*AO2437</f>
      </c>
      <c r="AX2437" s="111">
        <f>G2437*AP2437</f>
      </c>
      <c r="AY2437" s="153" t="s">
        <v>1963</v>
      </c>
      <c r="AZ2437" s="153" t="s">
        <v>3333</v>
      </c>
      <c r="BA2437" s="132" t="s">
        <v>2990</v>
      </c>
      <c r="BC2437" s="111">
        <f>AW2437+AX2437</f>
      </c>
      <c r="BD2437" s="111">
        <f>H2437/(100-BE2437)*100</f>
      </c>
      <c r="BE2437" s="111" t="n">
        <v>0</v>
      </c>
      <c r="BF2437" s="111">
        <f>2437</f>
      </c>
      <c r="BH2437" s="111">
        <f>G2437*AO2437</f>
      </c>
      <c r="BI2437" s="111">
        <f>G2437*AP2437</f>
      </c>
      <c r="BJ2437" s="111">
        <f>G2437*H2437</f>
      </c>
      <c r="BK2437" s="111"/>
      <c r="BL2437" s="111" t="n">
        <v>725</v>
      </c>
      <c r="BW2437" s="111" t="n">
        <v>21</v>
      </c>
      <c r="BX2437" s="14" t="s">
        <v>3699</v>
      </c>
    </row>
    <row r="2438" customHeight="true" ht="13.5">
      <c r="A2438" s="159"/>
      <c r="C2438" s="160" t="s">
        <v>146</v>
      </c>
      <c r="D2438" s="161" t="s">
        <v>3700</v>
      </c>
      <c r="E2438" s="156"/>
      <c r="F2438" s="156"/>
      <c r="G2438" s="156"/>
      <c r="H2438" s="162"/>
      <c r="I2438" s="156"/>
      <c r="J2438" s="156"/>
      <c r="K2438" s="163"/>
    </row>
    <row r="2439">
      <c r="A2439" s="154"/>
      <c r="B2439" s="155"/>
      <c r="C2439" s="155"/>
      <c r="D2439" s="156" t="s">
        <v>149</v>
      </c>
      <c r="E2439" s="156" t="s">
        <v>4</v>
      </c>
      <c r="F2439" s="155"/>
      <c r="G2439" s="157" t="n">
        <v>4</v>
      </c>
      <c r="H2439" s="158"/>
      <c r="I2439" s="155"/>
      <c r="J2439" s="155"/>
      <c r="K2439" s="146"/>
    </row>
    <row r="2440">
      <c r="A2440" s="9" t="s">
        <v>3701</v>
      </c>
      <c r="B2440" s="10" t="s">
        <v>87</v>
      </c>
      <c r="C2440" s="10" t="s">
        <v>3702</v>
      </c>
      <c r="D2440" s="14" t="s">
        <v>3703</v>
      </c>
      <c r="E2440" s="10"/>
      <c r="F2440" s="10" t="s">
        <v>133</v>
      </c>
      <c r="G2440" s="111" t="n">
        <v>4</v>
      </c>
      <c r="H2440" s="152" t="n">
        <v>0</v>
      </c>
      <c r="I2440" s="111">
        <f>G2440*H2440</f>
      </c>
      <c r="J2440" s="153" t="s">
        <v>134</v>
      </c>
      <c r="K2440" s="146"/>
      <c r="Z2440" s="111">
        <f>IF(AQ2440="5",BJ2440,0)</f>
      </c>
      <c r="AB2440" s="111">
        <f>IF(AQ2440="1",BH2440,0)</f>
      </c>
      <c r="AC2440" s="111">
        <f>IF(AQ2440="1",BI2440,0)</f>
      </c>
      <c r="AD2440" s="111">
        <f>IF(AQ2440="7",BH2440,0)</f>
      </c>
      <c r="AE2440" s="111">
        <f>IF(AQ2440="7",BI2440,0)</f>
      </c>
      <c r="AF2440" s="111">
        <f>IF(AQ2440="2",BH2440,0)</f>
      </c>
      <c r="AG2440" s="111">
        <f>IF(AQ2440="2",BI2440,0)</f>
      </c>
      <c r="AH2440" s="111">
        <f>IF(AQ2440="0",BJ2440,0)</f>
      </c>
      <c r="AI2440" s="132" t="s">
        <v>87</v>
      </c>
      <c r="AJ2440" s="111">
        <f>IF(AN2440=0,I2440,0)</f>
      </c>
      <c r="AK2440" s="111">
        <f>IF(AN2440=12,I2440,0)</f>
      </c>
      <c r="AL2440" s="111">
        <f>IF(AN2440=21,I2440,0)</f>
      </c>
      <c r="AN2440" s="111" t="n">
        <v>21</v>
      </c>
      <c r="AO2440" s="111">
        <f>H2440*0.896312826</f>
      </c>
      <c r="AP2440" s="111">
        <f>H2440*(1-0.896312826)</f>
      </c>
      <c r="AQ2440" s="153" t="s">
        <v>173</v>
      </c>
      <c r="AV2440" s="111">
        <f>AW2440+AX2440</f>
      </c>
      <c r="AW2440" s="111">
        <f>G2440*AO2440</f>
      </c>
      <c r="AX2440" s="111">
        <f>G2440*AP2440</f>
      </c>
      <c r="AY2440" s="153" t="s">
        <v>1963</v>
      </c>
      <c r="AZ2440" s="153" t="s">
        <v>3333</v>
      </c>
      <c r="BA2440" s="132" t="s">
        <v>2990</v>
      </c>
      <c r="BC2440" s="111">
        <f>AW2440+AX2440</f>
      </c>
      <c r="BD2440" s="111">
        <f>H2440/(100-BE2440)*100</f>
      </c>
      <c r="BE2440" s="111" t="n">
        <v>0</v>
      </c>
      <c r="BF2440" s="111">
        <f>2440</f>
      </c>
      <c r="BH2440" s="111">
        <f>G2440*AO2440</f>
      </c>
      <c r="BI2440" s="111">
        <f>G2440*AP2440</f>
      </c>
      <c r="BJ2440" s="111">
        <f>G2440*H2440</f>
      </c>
      <c r="BK2440" s="111"/>
      <c r="BL2440" s="111" t="n">
        <v>725</v>
      </c>
      <c r="BW2440" s="111" t="n">
        <v>21</v>
      </c>
      <c r="BX2440" s="14" t="s">
        <v>3703</v>
      </c>
    </row>
    <row r="2441">
      <c r="A2441" s="154"/>
      <c r="B2441" s="155"/>
      <c r="C2441" s="155"/>
      <c r="D2441" s="156" t="s">
        <v>149</v>
      </c>
      <c r="E2441" s="156" t="s">
        <v>4</v>
      </c>
      <c r="F2441" s="155"/>
      <c r="G2441" s="157" t="n">
        <v>4</v>
      </c>
      <c r="H2441" s="158"/>
      <c r="I2441" s="155"/>
      <c r="J2441" s="155"/>
      <c r="K2441" s="146"/>
    </row>
    <row r="2442">
      <c r="A2442" s="9" t="s">
        <v>3704</v>
      </c>
      <c r="B2442" s="10" t="s">
        <v>87</v>
      </c>
      <c r="C2442" s="10" t="s">
        <v>3705</v>
      </c>
      <c r="D2442" s="14" t="s">
        <v>3706</v>
      </c>
      <c r="E2442" s="10"/>
      <c r="F2442" s="10" t="s">
        <v>133</v>
      </c>
      <c r="G2442" s="111" t="n">
        <v>1</v>
      </c>
      <c r="H2442" s="152" t="n">
        <v>0</v>
      </c>
      <c r="I2442" s="111">
        <f>G2442*H2442</f>
      </c>
      <c r="J2442" s="153" t="s">
        <v>134</v>
      </c>
      <c r="K2442" s="146"/>
      <c r="Z2442" s="111">
        <f>IF(AQ2442="5",BJ2442,0)</f>
      </c>
      <c r="AB2442" s="111">
        <f>IF(AQ2442="1",BH2442,0)</f>
      </c>
      <c r="AC2442" s="111">
        <f>IF(AQ2442="1",BI2442,0)</f>
      </c>
      <c r="AD2442" s="111">
        <f>IF(AQ2442="7",BH2442,0)</f>
      </c>
      <c r="AE2442" s="111">
        <f>IF(AQ2442="7",BI2442,0)</f>
      </c>
      <c r="AF2442" s="111">
        <f>IF(AQ2442="2",BH2442,0)</f>
      </c>
      <c r="AG2442" s="111">
        <f>IF(AQ2442="2",BI2442,0)</f>
      </c>
      <c r="AH2442" s="111">
        <f>IF(AQ2442="0",BJ2442,0)</f>
      </c>
      <c r="AI2442" s="132" t="s">
        <v>87</v>
      </c>
      <c r="AJ2442" s="111">
        <f>IF(AN2442=0,I2442,0)</f>
      </c>
      <c r="AK2442" s="111">
        <f>IF(AN2442=12,I2442,0)</f>
      </c>
      <c r="AL2442" s="111">
        <f>IF(AN2442=21,I2442,0)</f>
      </c>
      <c r="AN2442" s="111" t="n">
        <v>21</v>
      </c>
      <c r="AO2442" s="111">
        <f>H2442*0.89527893</f>
      </c>
      <c r="AP2442" s="111">
        <f>H2442*(1-0.89527893)</f>
      </c>
      <c r="AQ2442" s="153" t="s">
        <v>173</v>
      </c>
      <c r="AV2442" s="111">
        <f>AW2442+AX2442</f>
      </c>
      <c r="AW2442" s="111">
        <f>G2442*AO2442</f>
      </c>
      <c r="AX2442" s="111">
        <f>G2442*AP2442</f>
      </c>
      <c r="AY2442" s="153" t="s">
        <v>1963</v>
      </c>
      <c r="AZ2442" s="153" t="s">
        <v>3333</v>
      </c>
      <c r="BA2442" s="132" t="s">
        <v>2990</v>
      </c>
      <c r="BC2442" s="111">
        <f>AW2442+AX2442</f>
      </c>
      <c r="BD2442" s="111">
        <f>H2442/(100-BE2442)*100</f>
      </c>
      <c r="BE2442" s="111" t="n">
        <v>0</v>
      </c>
      <c r="BF2442" s="111">
        <f>2442</f>
      </c>
      <c r="BH2442" s="111">
        <f>G2442*AO2442</f>
      </c>
      <c r="BI2442" s="111">
        <f>G2442*AP2442</f>
      </c>
      <c r="BJ2442" s="111">
        <f>G2442*H2442</f>
      </c>
      <c r="BK2442" s="111"/>
      <c r="BL2442" s="111" t="n">
        <v>725</v>
      </c>
      <c r="BW2442" s="111" t="n">
        <v>21</v>
      </c>
      <c r="BX2442" s="14" t="s">
        <v>3706</v>
      </c>
    </row>
    <row r="2443">
      <c r="A2443" s="154"/>
      <c r="B2443" s="155"/>
      <c r="C2443" s="155"/>
      <c r="D2443" s="156" t="s">
        <v>130</v>
      </c>
      <c r="E2443" s="156" t="s">
        <v>4</v>
      </c>
      <c r="F2443" s="155"/>
      <c r="G2443" s="157" t="n">
        <v>1</v>
      </c>
      <c r="H2443" s="158"/>
      <c r="I2443" s="155"/>
      <c r="J2443" s="155"/>
      <c r="K2443" s="146"/>
    </row>
    <row r="2444">
      <c r="A2444" s="9" t="s">
        <v>3707</v>
      </c>
      <c r="B2444" s="10" t="s">
        <v>87</v>
      </c>
      <c r="C2444" s="10" t="s">
        <v>3708</v>
      </c>
      <c r="D2444" s="14" t="s">
        <v>3709</v>
      </c>
      <c r="E2444" s="10"/>
      <c r="F2444" s="10" t="s">
        <v>1962</v>
      </c>
      <c r="G2444" s="111" t="n">
        <v>2</v>
      </c>
      <c r="H2444" s="152" t="n">
        <v>0</v>
      </c>
      <c r="I2444" s="111">
        <f>G2444*H2444</f>
      </c>
      <c r="J2444" s="153" t="s">
        <v>134</v>
      </c>
      <c r="K2444" s="146"/>
      <c r="Z2444" s="111">
        <f>IF(AQ2444="5",BJ2444,0)</f>
      </c>
      <c r="AB2444" s="111">
        <f>IF(AQ2444="1",BH2444,0)</f>
      </c>
      <c r="AC2444" s="111">
        <f>IF(AQ2444="1",BI2444,0)</f>
      </c>
      <c r="AD2444" s="111">
        <f>IF(AQ2444="7",BH2444,0)</f>
      </c>
      <c r="AE2444" s="111">
        <f>IF(AQ2444="7",BI2444,0)</f>
      </c>
      <c r="AF2444" s="111">
        <f>IF(AQ2444="2",BH2444,0)</f>
      </c>
      <c r="AG2444" s="111">
        <f>IF(AQ2444="2",BI2444,0)</f>
      </c>
      <c r="AH2444" s="111">
        <f>IF(AQ2444="0",BJ2444,0)</f>
      </c>
      <c r="AI2444" s="132" t="s">
        <v>87</v>
      </c>
      <c r="AJ2444" s="111">
        <f>IF(AN2444=0,I2444,0)</f>
      </c>
      <c r="AK2444" s="111">
        <f>IF(AN2444=12,I2444,0)</f>
      </c>
      <c r="AL2444" s="111">
        <f>IF(AN2444=21,I2444,0)</f>
      </c>
      <c r="AN2444" s="111" t="n">
        <v>21</v>
      </c>
      <c r="AO2444" s="111">
        <f>H2444*0.900545455</f>
      </c>
      <c r="AP2444" s="111">
        <f>H2444*(1-0.900545455)</f>
      </c>
      <c r="AQ2444" s="153" t="s">
        <v>173</v>
      </c>
      <c r="AV2444" s="111">
        <f>AW2444+AX2444</f>
      </c>
      <c r="AW2444" s="111">
        <f>G2444*AO2444</f>
      </c>
      <c r="AX2444" s="111">
        <f>G2444*AP2444</f>
      </c>
      <c r="AY2444" s="153" t="s">
        <v>1963</v>
      </c>
      <c r="AZ2444" s="153" t="s">
        <v>3333</v>
      </c>
      <c r="BA2444" s="132" t="s">
        <v>2990</v>
      </c>
      <c r="BC2444" s="111">
        <f>AW2444+AX2444</f>
      </c>
      <c r="BD2444" s="111">
        <f>H2444/(100-BE2444)*100</f>
      </c>
      <c r="BE2444" s="111" t="n">
        <v>0</v>
      </c>
      <c r="BF2444" s="111">
        <f>2444</f>
      </c>
      <c r="BH2444" s="111">
        <f>G2444*AO2444</f>
      </c>
      <c r="BI2444" s="111">
        <f>G2444*AP2444</f>
      </c>
      <c r="BJ2444" s="111">
        <f>G2444*H2444</f>
      </c>
      <c r="BK2444" s="111"/>
      <c r="BL2444" s="111" t="n">
        <v>725</v>
      </c>
      <c r="BW2444" s="111" t="n">
        <v>21</v>
      </c>
      <c r="BX2444" s="14" t="s">
        <v>3709</v>
      </c>
    </row>
    <row r="2445" customHeight="true" ht="13.5">
      <c r="A2445" s="159"/>
      <c r="C2445" s="160" t="s">
        <v>146</v>
      </c>
      <c r="D2445" s="161" t="s">
        <v>3710</v>
      </c>
      <c r="E2445" s="156"/>
      <c r="F2445" s="156"/>
      <c r="G2445" s="156"/>
      <c r="H2445" s="162"/>
      <c r="I2445" s="156"/>
      <c r="J2445" s="156"/>
      <c r="K2445" s="163"/>
    </row>
    <row r="2446">
      <c r="A2446" s="154"/>
      <c r="B2446" s="155"/>
      <c r="C2446" s="155"/>
      <c r="D2446" s="156" t="s">
        <v>140</v>
      </c>
      <c r="E2446" s="156" t="s">
        <v>4</v>
      </c>
      <c r="F2446" s="155"/>
      <c r="G2446" s="157" t="n">
        <v>2</v>
      </c>
      <c r="H2446" s="158"/>
      <c r="I2446" s="155"/>
      <c r="J2446" s="155"/>
      <c r="K2446" s="146"/>
    </row>
    <row r="2447">
      <c r="A2447" s="9" t="s">
        <v>3711</v>
      </c>
      <c r="B2447" s="10" t="s">
        <v>87</v>
      </c>
      <c r="C2447" s="10" t="s">
        <v>3712</v>
      </c>
      <c r="D2447" s="14" t="s">
        <v>3713</v>
      </c>
      <c r="E2447" s="10"/>
      <c r="F2447" s="10" t="s">
        <v>1962</v>
      </c>
      <c r="G2447" s="111" t="n">
        <v>25</v>
      </c>
      <c r="H2447" s="152" t="n">
        <v>0</v>
      </c>
      <c r="I2447" s="111">
        <f>G2447*H2447</f>
      </c>
      <c r="J2447" s="153" t="s">
        <v>134</v>
      </c>
      <c r="K2447" s="146"/>
      <c r="Z2447" s="111">
        <f>IF(AQ2447="5",BJ2447,0)</f>
      </c>
      <c r="AB2447" s="111">
        <f>IF(AQ2447="1",BH2447,0)</f>
      </c>
      <c r="AC2447" s="111">
        <f>IF(AQ2447="1",BI2447,0)</f>
      </c>
      <c r="AD2447" s="111">
        <f>IF(AQ2447="7",BH2447,0)</f>
      </c>
      <c r="AE2447" s="111">
        <f>IF(AQ2447="7",BI2447,0)</f>
      </c>
      <c r="AF2447" s="111">
        <f>IF(AQ2447="2",BH2447,0)</f>
      </c>
      <c r="AG2447" s="111">
        <f>IF(AQ2447="2",BI2447,0)</f>
      </c>
      <c r="AH2447" s="111">
        <f>IF(AQ2447="0",BJ2447,0)</f>
      </c>
      <c r="AI2447" s="132" t="s">
        <v>87</v>
      </c>
      <c r="AJ2447" s="111">
        <f>IF(AN2447=0,I2447,0)</f>
      </c>
      <c r="AK2447" s="111">
        <f>IF(AN2447=12,I2447,0)</f>
      </c>
      <c r="AL2447" s="111">
        <f>IF(AN2447=21,I2447,0)</f>
      </c>
      <c r="AN2447" s="111" t="n">
        <v>21</v>
      </c>
      <c r="AO2447" s="111">
        <f>H2447*0.821334493</f>
      </c>
      <c r="AP2447" s="111">
        <f>H2447*(1-0.821334493)</f>
      </c>
      <c r="AQ2447" s="153" t="s">
        <v>173</v>
      </c>
      <c r="AV2447" s="111">
        <f>AW2447+AX2447</f>
      </c>
      <c r="AW2447" s="111">
        <f>G2447*AO2447</f>
      </c>
      <c r="AX2447" s="111">
        <f>G2447*AP2447</f>
      </c>
      <c r="AY2447" s="153" t="s">
        <v>1963</v>
      </c>
      <c r="AZ2447" s="153" t="s">
        <v>3333</v>
      </c>
      <c r="BA2447" s="132" t="s">
        <v>2990</v>
      </c>
      <c r="BC2447" s="111">
        <f>AW2447+AX2447</f>
      </c>
      <c r="BD2447" s="111">
        <f>H2447/(100-BE2447)*100</f>
      </c>
      <c r="BE2447" s="111" t="n">
        <v>0</v>
      </c>
      <c r="BF2447" s="111">
        <f>2447</f>
      </c>
      <c r="BH2447" s="111">
        <f>G2447*AO2447</f>
      </c>
      <c r="BI2447" s="111">
        <f>G2447*AP2447</f>
      </c>
      <c r="BJ2447" s="111">
        <f>G2447*H2447</f>
      </c>
      <c r="BK2447" s="111"/>
      <c r="BL2447" s="111" t="n">
        <v>725</v>
      </c>
      <c r="BW2447" s="111" t="n">
        <v>21</v>
      </c>
      <c r="BX2447" s="14" t="s">
        <v>3713</v>
      </c>
    </row>
    <row r="2448">
      <c r="A2448" s="154"/>
      <c r="B2448" s="155"/>
      <c r="C2448" s="155"/>
      <c r="D2448" s="156" t="s">
        <v>3714</v>
      </c>
      <c r="E2448" s="156" t="s">
        <v>4</v>
      </c>
      <c r="F2448" s="155"/>
      <c r="G2448" s="157" t="n">
        <v>25</v>
      </c>
      <c r="H2448" s="158"/>
      <c r="I2448" s="155"/>
      <c r="J2448" s="155"/>
      <c r="K2448" s="146"/>
    </row>
    <row r="2449">
      <c r="A2449" s="9" t="s">
        <v>3715</v>
      </c>
      <c r="B2449" s="10" t="s">
        <v>87</v>
      </c>
      <c r="C2449" s="10" t="s">
        <v>3716</v>
      </c>
      <c r="D2449" s="14" t="s">
        <v>3717</v>
      </c>
      <c r="E2449" s="10"/>
      <c r="F2449" s="10" t="s">
        <v>133</v>
      </c>
      <c r="G2449" s="111" t="n">
        <v>1</v>
      </c>
      <c r="H2449" s="152" t="n">
        <v>0</v>
      </c>
      <c r="I2449" s="111">
        <f>G2449*H2449</f>
      </c>
      <c r="J2449" s="153" t="s">
        <v>134</v>
      </c>
      <c r="K2449" s="146"/>
      <c r="Z2449" s="111">
        <f>IF(AQ2449="5",BJ2449,0)</f>
      </c>
      <c r="AB2449" s="111">
        <f>IF(AQ2449="1",BH2449,0)</f>
      </c>
      <c r="AC2449" s="111">
        <f>IF(AQ2449="1",BI2449,0)</f>
      </c>
      <c r="AD2449" s="111">
        <f>IF(AQ2449="7",BH2449,0)</f>
      </c>
      <c r="AE2449" s="111">
        <f>IF(AQ2449="7",BI2449,0)</f>
      </c>
      <c r="AF2449" s="111">
        <f>IF(AQ2449="2",BH2449,0)</f>
      </c>
      <c r="AG2449" s="111">
        <f>IF(AQ2449="2",BI2449,0)</f>
      </c>
      <c r="AH2449" s="111">
        <f>IF(AQ2449="0",BJ2449,0)</f>
      </c>
      <c r="AI2449" s="132" t="s">
        <v>87</v>
      </c>
      <c r="AJ2449" s="111">
        <f>IF(AN2449=0,I2449,0)</f>
      </c>
      <c r="AK2449" s="111">
        <f>IF(AN2449=12,I2449,0)</f>
      </c>
      <c r="AL2449" s="111">
        <f>IF(AN2449=21,I2449,0)</f>
      </c>
      <c r="AN2449" s="111" t="n">
        <v>21</v>
      </c>
      <c r="AO2449" s="111">
        <f>H2449*0.780890523</f>
      </c>
      <c r="AP2449" s="111">
        <f>H2449*(1-0.780890523)</f>
      </c>
      <c r="AQ2449" s="153" t="s">
        <v>173</v>
      </c>
      <c r="AV2449" s="111">
        <f>AW2449+AX2449</f>
      </c>
      <c r="AW2449" s="111">
        <f>G2449*AO2449</f>
      </c>
      <c r="AX2449" s="111">
        <f>G2449*AP2449</f>
      </c>
      <c r="AY2449" s="153" t="s">
        <v>1963</v>
      </c>
      <c r="AZ2449" s="153" t="s">
        <v>3333</v>
      </c>
      <c r="BA2449" s="132" t="s">
        <v>2990</v>
      </c>
      <c r="BC2449" s="111">
        <f>AW2449+AX2449</f>
      </c>
      <c r="BD2449" s="111">
        <f>H2449/(100-BE2449)*100</f>
      </c>
      <c r="BE2449" s="111" t="n">
        <v>0</v>
      </c>
      <c r="BF2449" s="111">
        <f>2449</f>
      </c>
      <c r="BH2449" s="111">
        <f>G2449*AO2449</f>
      </c>
      <c r="BI2449" s="111">
        <f>G2449*AP2449</f>
      </c>
      <c r="BJ2449" s="111">
        <f>G2449*H2449</f>
      </c>
      <c r="BK2449" s="111"/>
      <c r="BL2449" s="111" t="n">
        <v>725</v>
      </c>
      <c r="BW2449" s="111" t="n">
        <v>21</v>
      </c>
      <c r="BX2449" s="14" t="s">
        <v>3717</v>
      </c>
    </row>
    <row r="2450">
      <c r="A2450" s="154"/>
      <c r="B2450" s="155"/>
      <c r="C2450" s="155"/>
      <c r="D2450" s="156" t="s">
        <v>130</v>
      </c>
      <c r="E2450" s="156" t="s">
        <v>3718</v>
      </c>
      <c r="F2450" s="155"/>
      <c r="G2450" s="157" t="n">
        <v>1</v>
      </c>
      <c r="H2450" s="158"/>
      <c r="I2450" s="155"/>
      <c r="J2450" s="155"/>
      <c r="K2450" s="146"/>
    </row>
    <row r="2451">
      <c r="A2451" s="9" t="s">
        <v>3719</v>
      </c>
      <c r="B2451" s="10" t="s">
        <v>87</v>
      </c>
      <c r="C2451" s="10" t="s">
        <v>3720</v>
      </c>
      <c r="D2451" s="14" t="s">
        <v>3721</v>
      </c>
      <c r="E2451" s="10"/>
      <c r="F2451" s="10" t="s">
        <v>133</v>
      </c>
      <c r="G2451" s="111" t="n">
        <v>3</v>
      </c>
      <c r="H2451" s="152" t="n">
        <v>0</v>
      </c>
      <c r="I2451" s="111">
        <f>G2451*H2451</f>
      </c>
      <c r="J2451" s="153" t="s">
        <v>134</v>
      </c>
      <c r="K2451" s="146"/>
      <c r="Z2451" s="111">
        <f>IF(AQ2451="5",BJ2451,0)</f>
      </c>
      <c r="AB2451" s="111">
        <f>IF(AQ2451="1",BH2451,0)</f>
      </c>
      <c r="AC2451" s="111">
        <f>IF(AQ2451="1",BI2451,0)</f>
      </c>
      <c r="AD2451" s="111">
        <f>IF(AQ2451="7",BH2451,0)</f>
      </c>
      <c r="AE2451" s="111">
        <f>IF(AQ2451="7",BI2451,0)</f>
      </c>
      <c r="AF2451" s="111">
        <f>IF(AQ2451="2",BH2451,0)</f>
      </c>
      <c r="AG2451" s="111">
        <f>IF(AQ2451="2",BI2451,0)</f>
      </c>
      <c r="AH2451" s="111">
        <f>IF(AQ2451="0",BJ2451,0)</f>
      </c>
      <c r="AI2451" s="132" t="s">
        <v>87</v>
      </c>
      <c r="AJ2451" s="111">
        <f>IF(AN2451=0,I2451,0)</f>
      </c>
      <c r="AK2451" s="111">
        <f>IF(AN2451=12,I2451,0)</f>
      </c>
      <c r="AL2451" s="111">
        <f>IF(AN2451=21,I2451,0)</f>
      </c>
      <c r="AN2451" s="111" t="n">
        <v>21</v>
      </c>
      <c r="AO2451" s="111">
        <f>H2451*0.867358852</f>
      </c>
      <c r="AP2451" s="111">
        <f>H2451*(1-0.867358852)</f>
      </c>
      <c r="AQ2451" s="153" t="s">
        <v>173</v>
      </c>
      <c r="AV2451" s="111">
        <f>AW2451+AX2451</f>
      </c>
      <c r="AW2451" s="111">
        <f>G2451*AO2451</f>
      </c>
      <c r="AX2451" s="111">
        <f>G2451*AP2451</f>
      </c>
      <c r="AY2451" s="153" t="s">
        <v>1963</v>
      </c>
      <c r="AZ2451" s="153" t="s">
        <v>3333</v>
      </c>
      <c r="BA2451" s="132" t="s">
        <v>2990</v>
      </c>
      <c r="BC2451" s="111">
        <f>AW2451+AX2451</f>
      </c>
      <c r="BD2451" s="111">
        <f>H2451/(100-BE2451)*100</f>
      </c>
      <c r="BE2451" s="111" t="n">
        <v>0</v>
      </c>
      <c r="BF2451" s="111">
        <f>2451</f>
      </c>
      <c r="BH2451" s="111">
        <f>G2451*AO2451</f>
      </c>
      <c r="BI2451" s="111">
        <f>G2451*AP2451</f>
      </c>
      <c r="BJ2451" s="111">
        <f>G2451*H2451</f>
      </c>
      <c r="BK2451" s="111"/>
      <c r="BL2451" s="111" t="n">
        <v>725</v>
      </c>
      <c r="BW2451" s="111" t="n">
        <v>21</v>
      </c>
      <c r="BX2451" s="14" t="s">
        <v>3721</v>
      </c>
    </row>
    <row r="2452" customHeight="true" ht="13.5">
      <c r="A2452" s="159"/>
      <c r="C2452" s="160" t="s">
        <v>146</v>
      </c>
      <c r="D2452" s="161" t="s">
        <v>3722</v>
      </c>
      <c r="E2452" s="156"/>
      <c r="F2452" s="156"/>
      <c r="G2452" s="156"/>
      <c r="H2452" s="162"/>
      <c r="I2452" s="156"/>
      <c r="J2452" s="156"/>
      <c r="K2452" s="163"/>
    </row>
    <row r="2453">
      <c r="A2453" s="154"/>
      <c r="B2453" s="155"/>
      <c r="C2453" s="155"/>
      <c r="D2453" s="156" t="s">
        <v>138</v>
      </c>
      <c r="E2453" s="156" t="s">
        <v>4</v>
      </c>
      <c r="F2453" s="155"/>
      <c r="G2453" s="157" t="n">
        <v>3</v>
      </c>
      <c r="H2453" s="158"/>
      <c r="I2453" s="155"/>
      <c r="J2453" s="155"/>
      <c r="K2453" s="146"/>
    </row>
    <row r="2454">
      <c r="A2454" s="147" t="s">
        <v>4</v>
      </c>
      <c r="B2454" s="148" t="s">
        <v>87</v>
      </c>
      <c r="C2454" s="148" t="s">
        <v>3723</v>
      </c>
      <c r="D2454" s="149" t="s">
        <v>3724</v>
      </c>
      <c r="E2454" s="148"/>
      <c r="F2454" s="150" t="s">
        <v>79</v>
      </c>
      <c r="G2454" s="150" t="s">
        <v>79</v>
      </c>
      <c r="H2454" s="151" t="s">
        <v>79</v>
      </c>
      <c r="I2454" s="117">
        <f>SUM(I2455:I2455)</f>
      </c>
      <c r="J2454" s="132" t="s">
        <v>4</v>
      </c>
      <c r="K2454" s="146"/>
      <c r="AI2454" s="132" t="s">
        <v>87</v>
      </c>
      <c r="AS2454" s="117">
        <f>SUM(AJ2455:AJ2455)</f>
      </c>
      <c r="AT2454" s="117">
        <f>SUM(AK2455:AK2455)</f>
      </c>
      <c r="AU2454" s="117">
        <f>SUM(AL2455:AL2455)</f>
      </c>
    </row>
    <row r="2455">
      <c r="A2455" s="9" t="s">
        <v>3725</v>
      </c>
      <c r="B2455" s="10" t="s">
        <v>87</v>
      </c>
      <c r="C2455" s="10" t="s">
        <v>3726</v>
      </c>
      <c r="D2455" s="14" t="s">
        <v>3727</v>
      </c>
      <c r="E2455" s="10"/>
      <c r="F2455" s="10" t="s">
        <v>1962</v>
      </c>
      <c r="G2455" s="111" t="n">
        <v>1</v>
      </c>
      <c r="H2455" s="152" t="n">
        <v>0</v>
      </c>
      <c r="I2455" s="111">
        <f>G2455*H2455</f>
      </c>
      <c r="J2455" s="153" t="s">
        <v>134</v>
      </c>
      <c r="K2455" s="146"/>
      <c r="Z2455" s="111">
        <f>IF(AQ2455="5",BJ2455,0)</f>
      </c>
      <c r="AB2455" s="111">
        <f>IF(AQ2455="1",BH2455,0)</f>
      </c>
      <c r="AC2455" s="111">
        <f>IF(AQ2455="1",BI2455,0)</f>
      </c>
      <c r="AD2455" s="111">
        <f>IF(AQ2455="7",BH2455,0)</f>
      </c>
      <c r="AE2455" s="111">
        <f>IF(AQ2455="7",BI2455,0)</f>
      </c>
      <c r="AF2455" s="111">
        <f>IF(AQ2455="2",BH2455,0)</f>
      </c>
      <c r="AG2455" s="111">
        <f>IF(AQ2455="2",BI2455,0)</f>
      </c>
      <c r="AH2455" s="111">
        <f>IF(AQ2455="0",BJ2455,0)</f>
      </c>
      <c r="AI2455" s="132" t="s">
        <v>87</v>
      </c>
      <c r="AJ2455" s="111">
        <f>IF(AN2455=0,I2455,0)</f>
      </c>
      <c r="AK2455" s="111">
        <f>IF(AN2455=12,I2455,0)</f>
      </c>
      <c r="AL2455" s="111">
        <f>IF(AN2455=21,I2455,0)</f>
      </c>
      <c r="AN2455" s="111" t="n">
        <v>21</v>
      </c>
      <c r="AO2455" s="111">
        <f>H2455*0.918253047</f>
      </c>
      <c r="AP2455" s="111">
        <f>H2455*(1-0.918253047)</f>
      </c>
      <c r="AQ2455" s="153" t="s">
        <v>173</v>
      </c>
      <c r="AV2455" s="111">
        <f>AW2455+AX2455</f>
      </c>
      <c r="AW2455" s="111">
        <f>G2455*AO2455</f>
      </c>
      <c r="AX2455" s="111">
        <f>G2455*AP2455</f>
      </c>
      <c r="AY2455" s="153" t="s">
        <v>3728</v>
      </c>
      <c r="AZ2455" s="153" t="s">
        <v>3729</v>
      </c>
      <c r="BA2455" s="132" t="s">
        <v>2990</v>
      </c>
      <c r="BC2455" s="111">
        <f>AW2455+AX2455</f>
      </c>
      <c r="BD2455" s="111">
        <f>H2455/(100-BE2455)*100</f>
      </c>
      <c r="BE2455" s="111" t="n">
        <v>0</v>
      </c>
      <c r="BF2455" s="111">
        <f>2455</f>
      </c>
      <c r="BH2455" s="111">
        <f>G2455*AO2455</f>
      </c>
      <c r="BI2455" s="111">
        <f>G2455*AP2455</f>
      </c>
      <c r="BJ2455" s="111">
        <f>G2455*H2455</f>
      </c>
      <c r="BK2455" s="111"/>
      <c r="BL2455" s="111" t="n">
        <v>732</v>
      </c>
      <c r="BW2455" s="111" t="n">
        <v>21</v>
      </c>
      <c r="BX2455" s="14" t="s">
        <v>3727</v>
      </c>
    </row>
    <row r="2456">
      <c r="A2456" s="154"/>
      <c r="B2456" s="155"/>
      <c r="C2456" s="155"/>
      <c r="D2456" s="156" t="s">
        <v>130</v>
      </c>
      <c r="E2456" s="156" t="s">
        <v>4</v>
      </c>
      <c r="F2456" s="155"/>
      <c r="G2456" s="157" t="n">
        <v>1</v>
      </c>
      <c r="H2456" s="158"/>
      <c r="I2456" s="155"/>
      <c r="J2456" s="155"/>
      <c r="K2456" s="146"/>
    </row>
    <row r="2457">
      <c r="A2457" s="147" t="s">
        <v>4</v>
      </c>
      <c r="B2457" s="148" t="s">
        <v>87</v>
      </c>
      <c r="C2457" s="148" t="s">
        <v>3730</v>
      </c>
      <c r="D2457" s="149" t="s">
        <v>3731</v>
      </c>
      <c r="E2457" s="148"/>
      <c r="F2457" s="150" t="s">
        <v>79</v>
      </c>
      <c r="G2457" s="150" t="s">
        <v>79</v>
      </c>
      <c r="H2457" s="151" t="s">
        <v>79</v>
      </c>
      <c r="I2457" s="117">
        <f>SUM(I2458:I2458)</f>
      </c>
      <c r="J2457" s="132" t="s">
        <v>4</v>
      </c>
      <c r="K2457" s="146"/>
      <c r="AI2457" s="132" t="s">
        <v>87</v>
      </c>
      <c r="AS2457" s="117">
        <f>SUM(AJ2458:AJ2458)</f>
      </c>
      <c r="AT2457" s="117">
        <f>SUM(AK2458:AK2458)</f>
      </c>
      <c r="AU2457" s="117">
        <f>SUM(AL2458:AL2458)</f>
      </c>
    </row>
    <row r="2458">
      <c r="A2458" s="9" t="s">
        <v>3732</v>
      </c>
      <c r="B2458" s="10" t="s">
        <v>87</v>
      </c>
      <c r="C2458" s="10" t="s">
        <v>3733</v>
      </c>
      <c r="D2458" s="14" t="s">
        <v>3734</v>
      </c>
      <c r="E2458" s="10"/>
      <c r="F2458" s="10" t="s">
        <v>229</v>
      </c>
      <c r="G2458" s="111" t="n">
        <v>8.44956</v>
      </c>
      <c r="H2458" s="152" t="n">
        <v>0</v>
      </c>
      <c r="I2458" s="111">
        <f>G2458*H2458</f>
      </c>
      <c r="J2458" s="153" t="s">
        <v>134</v>
      </c>
      <c r="K2458" s="146"/>
      <c r="Z2458" s="111">
        <f>IF(AQ2458="5",BJ2458,0)</f>
      </c>
      <c r="AB2458" s="111">
        <f>IF(AQ2458="1",BH2458,0)</f>
      </c>
      <c r="AC2458" s="111">
        <f>IF(AQ2458="1",BI2458,0)</f>
      </c>
      <c r="AD2458" s="111">
        <f>IF(AQ2458="7",BH2458,0)</f>
      </c>
      <c r="AE2458" s="111">
        <f>IF(AQ2458="7",BI2458,0)</f>
      </c>
      <c r="AF2458" s="111">
        <f>IF(AQ2458="2",BH2458,0)</f>
      </c>
      <c r="AG2458" s="111">
        <f>IF(AQ2458="2",BI2458,0)</f>
      </c>
      <c r="AH2458" s="111">
        <f>IF(AQ2458="0",BJ2458,0)</f>
      </c>
      <c r="AI2458" s="132" t="s">
        <v>87</v>
      </c>
      <c r="AJ2458" s="111">
        <f>IF(AN2458=0,I2458,0)</f>
      </c>
      <c r="AK2458" s="111">
        <f>IF(AN2458=12,I2458,0)</f>
      </c>
      <c r="AL2458" s="111">
        <f>IF(AN2458=21,I2458,0)</f>
      </c>
      <c r="AN2458" s="111" t="n">
        <v>21</v>
      </c>
      <c r="AO2458" s="111">
        <f>H2458*0</f>
      </c>
      <c r="AP2458" s="111">
        <f>H2458*(1-0)</f>
      </c>
      <c r="AQ2458" s="153" t="s">
        <v>156</v>
      </c>
      <c r="AV2458" s="111">
        <f>AW2458+AX2458</f>
      </c>
      <c r="AW2458" s="111">
        <f>G2458*AO2458</f>
      </c>
      <c r="AX2458" s="111">
        <f>G2458*AP2458</f>
      </c>
      <c r="AY2458" s="153" t="s">
        <v>3735</v>
      </c>
      <c r="AZ2458" s="153" t="s">
        <v>3286</v>
      </c>
      <c r="BA2458" s="132" t="s">
        <v>2990</v>
      </c>
      <c r="BC2458" s="111">
        <f>AW2458+AX2458</f>
      </c>
      <c r="BD2458" s="111">
        <f>H2458/(100-BE2458)*100</f>
      </c>
      <c r="BE2458" s="111" t="n">
        <v>0</v>
      </c>
      <c r="BF2458" s="111">
        <f>2458</f>
      </c>
      <c r="BH2458" s="111">
        <f>G2458*AO2458</f>
      </c>
      <c r="BI2458" s="111">
        <f>G2458*AP2458</f>
      </c>
      <c r="BJ2458" s="111">
        <f>G2458*H2458</f>
      </c>
      <c r="BK2458" s="111"/>
      <c r="BL2458" s="111"/>
      <c r="BW2458" s="111" t="n">
        <v>21</v>
      </c>
      <c r="BX2458" s="14" t="s">
        <v>3734</v>
      </c>
    </row>
    <row r="2459">
      <c r="A2459" s="154"/>
      <c r="B2459" s="155"/>
      <c r="C2459" s="155"/>
      <c r="D2459" s="156" t="s">
        <v>3736</v>
      </c>
      <c r="E2459" s="156" t="s">
        <v>4</v>
      </c>
      <c r="F2459" s="155"/>
      <c r="G2459" s="157" t="n">
        <v>8.44956</v>
      </c>
      <c r="H2459" s="158"/>
      <c r="I2459" s="155"/>
      <c r="J2459" s="155"/>
      <c r="K2459" s="146"/>
    </row>
    <row r="2460">
      <c r="A2460" s="147" t="s">
        <v>4</v>
      </c>
      <c r="B2460" s="148" t="s">
        <v>87</v>
      </c>
      <c r="C2460" s="148" t="s">
        <v>3737</v>
      </c>
      <c r="D2460" s="149" t="s">
        <v>3328</v>
      </c>
      <c r="E2460" s="148"/>
      <c r="F2460" s="150" t="s">
        <v>79</v>
      </c>
      <c r="G2460" s="150" t="s">
        <v>79</v>
      </c>
      <c r="H2460" s="151" t="s">
        <v>79</v>
      </c>
      <c r="I2460" s="117">
        <f>SUM(I2461:I2461)</f>
      </c>
      <c r="J2460" s="132" t="s">
        <v>4</v>
      </c>
      <c r="K2460" s="146"/>
      <c r="AI2460" s="132" t="s">
        <v>87</v>
      </c>
      <c r="AS2460" s="117">
        <f>SUM(AJ2461:AJ2461)</f>
      </c>
      <c r="AT2460" s="117">
        <f>SUM(AK2461:AK2461)</f>
      </c>
      <c r="AU2460" s="117">
        <f>SUM(AL2461:AL2461)</f>
      </c>
    </row>
    <row r="2461">
      <c r="A2461" s="9" t="s">
        <v>3738</v>
      </c>
      <c r="B2461" s="10" t="s">
        <v>87</v>
      </c>
      <c r="C2461" s="10" t="s">
        <v>3739</v>
      </c>
      <c r="D2461" s="14" t="s">
        <v>3740</v>
      </c>
      <c r="E2461" s="10"/>
      <c r="F2461" s="10" t="s">
        <v>229</v>
      </c>
      <c r="G2461" s="111" t="n">
        <v>2.01228</v>
      </c>
      <c r="H2461" s="152" t="n">
        <v>0</v>
      </c>
      <c r="I2461" s="111">
        <f>G2461*H2461</f>
      </c>
      <c r="J2461" s="153" t="s">
        <v>134</v>
      </c>
      <c r="K2461" s="146"/>
      <c r="Z2461" s="111">
        <f>IF(AQ2461="5",BJ2461,0)</f>
      </c>
      <c r="AB2461" s="111">
        <f>IF(AQ2461="1",BH2461,0)</f>
      </c>
      <c r="AC2461" s="111">
        <f>IF(AQ2461="1",BI2461,0)</f>
      </c>
      <c r="AD2461" s="111">
        <f>IF(AQ2461="7",BH2461,0)</f>
      </c>
      <c r="AE2461" s="111">
        <f>IF(AQ2461="7",BI2461,0)</f>
      </c>
      <c r="AF2461" s="111">
        <f>IF(AQ2461="2",BH2461,0)</f>
      </c>
      <c r="AG2461" s="111">
        <f>IF(AQ2461="2",BI2461,0)</f>
      </c>
      <c r="AH2461" s="111">
        <f>IF(AQ2461="0",BJ2461,0)</f>
      </c>
      <c r="AI2461" s="132" t="s">
        <v>87</v>
      </c>
      <c r="AJ2461" s="111">
        <f>IF(AN2461=0,I2461,0)</f>
      </c>
      <c r="AK2461" s="111">
        <f>IF(AN2461=12,I2461,0)</f>
      </c>
      <c r="AL2461" s="111">
        <f>IF(AN2461=21,I2461,0)</f>
      </c>
      <c r="AN2461" s="111" t="n">
        <v>21</v>
      </c>
      <c r="AO2461" s="111">
        <f>H2461*0</f>
      </c>
      <c r="AP2461" s="111">
        <f>H2461*(1-0)</f>
      </c>
      <c r="AQ2461" s="153" t="s">
        <v>156</v>
      </c>
      <c r="AV2461" s="111">
        <f>AW2461+AX2461</f>
      </c>
      <c r="AW2461" s="111">
        <f>G2461*AO2461</f>
      </c>
      <c r="AX2461" s="111">
        <f>G2461*AP2461</f>
      </c>
      <c r="AY2461" s="153" t="s">
        <v>3741</v>
      </c>
      <c r="AZ2461" s="153" t="s">
        <v>3286</v>
      </c>
      <c r="BA2461" s="132" t="s">
        <v>2990</v>
      </c>
      <c r="BC2461" s="111">
        <f>AW2461+AX2461</f>
      </c>
      <c r="BD2461" s="111">
        <f>H2461/(100-BE2461)*100</f>
      </c>
      <c r="BE2461" s="111" t="n">
        <v>0</v>
      </c>
      <c r="BF2461" s="111">
        <f>2461</f>
      </c>
      <c r="BH2461" s="111">
        <f>G2461*AO2461</f>
      </c>
      <c r="BI2461" s="111">
        <f>G2461*AP2461</f>
      </c>
      <c r="BJ2461" s="111">
        <f>G2461*H2461</f>
      </c>
      <c r="BK2461" s="111"/>
      <c r="BL2461" s="111"/>
      <c r="BW2461" s="111" t="n">
        <v>21</v>
      </c>
      <c r="BX2461" s="14" t="s">
        <v>3740</v>
      </c>
    </row>
    <row r="2462">
      <c r="A2462" s="154"/>
      <c r="B2462" s="155"/>
      <c r="C2462" s="155"/>
      <c r="D2462" s="156" t="s">
        <v>3742</v>
      </c>
      <c r="E2462" s="156" t="s">
        <v>4</v>
      </c>
      <c r="F2462" s="155"/>
      <c r="G2462" s="157" t="n">
        <v>2.01228</v>
      </c>
      <c r="H2462" s="158"/>
      <c r="I2462" s="155"/>
      <c r="J2462" s="155"/>
      <c r="K2462" s="146"/>
    </row>
    <row r="2463">
      <c r="A2463" s="147" t="s">
        <v>4</v>
      </c>
      <c r="B2463" s="148" t="s">
        <v>87</v>
      </c>
      <c r="C2463" s="148" t="s">
        <v>3743</v>
      </c>
      <c r="D2463" s="149" t="s">
        <v>1945</v>
      </c>
      <c r="E2463" s="148"/>
      <c r="F2463" s="150" t="s">
        <v>79</v>
      </c>
      <c r="G2463" s="150" t="s">
        <v>79</v>
      </c>
      <c r="H2463" s="151" t="s">
        <v>79</v>
      </c>
      <c r="I2463" s="117">
        <f>SUM(I2464:I2464)</f>
      </c>
      <c r="J2463" s="132" t="s">
        <v>4</v>
      </c>
      <c r="K2463" s="146"/>
      <c r="AI2463" s="132" t="s">
        <v>87</v>
      </c>
      <c r="AS2463" s="117">
        <f>SUM(AJ2464:AJ2464)</f>
      </c>
      <c r="AT2463" s="117">
        <f>SUM(AK2464:AK2464)</f>
      </c>
      <c r="AU2463" s="117">
        <f>SUM(AL2464:AL2464)</f>
      </c>
    </row>
    <row r="2464">
      <c r="A2464" s="9" t="s">
        <v>3744</v>
      </c>
      <c r="B2464" s="10" t="s">
        <v>87</v>
      </c>
      <c r="C2464" s="10" t="s">
        <v>3745</v>
      </c>
      <c r="D2464" s="14" t="s">
        <v>3746</v>
      </c>
      <c r="E2464" s="10"/>
      <c r="F2464" s="10" t="s">
        <v>229</v>
      </c>
      <c r="G2464" s="111" t="n">
        <v>1.48387</v>
      </c>
      <c r="H2464" s="152" t="n">
        <v>0</v>
      </c>
      <c r="I2464" s="111">
        <f>G2464*H2464</f>
      </c>
      <c r="J2464" s="153" t="s">
        <v>134</v>
      </c>
      <c r="K2464" s="146"/>
      <c r="Z2464" s="111">
        <f>IF(AQ2464="5",BJ2464,0)</f>
      </c>
      <c r="AB2464" s="111">
        <f>IF(AQ2464="1",BH2464,0)</f>
      </c>
      <c r="AC2464" s="111">
        <f>IF(AQ2464="1",BI2464,0)</f>
      </c>
      <c r="AD2464" s="111">
        <f>IF(AQ2464="7",BH2464,0)</f>
      </c>
      <c r="AE2464" s="111">
        <f>IF(AQ2464="7",BI2464,0)</f>
      </c>
      <c r="AF2464" s="111">
        <f>IF(AQ2464="2",BH2464,0)</f>
      </c>
      <c r="AG2464" s="111">
        <f>IF(AQ2464="2",BI2464,0)</f>
      </c>
      <c r="AH2464" s="111">
        <f>IF(AQ2464="0",BJ2464,0)</f>
      </c>
      <c r="AI2464" s="132" t="s">
        <v>87</v>
      </c>
      <c r="AJ2464" s="111">
        <f>IF(AN2464=0,I2464,0)</f>
      </c>
      <c r="AK2464" s="111">
        <f>IF(AN2464=12,I2464,0)</f>
      </c>
      <c r="AL2464" s="111">
        <f>IF(AN2464=21,I2464,0)</f>
      </c>
      <c r="AN2464" s="111" t="n">
        <v>21</v>
      </c>
      <c r="AO2464" s="111">
        <f>H2464*0</f>
      </c>
      <c r="AP2464" s="111">
        <f>H2464*(1-0)</f>
      </c>
      <c r="AQ2464" s="153" t="s">
        <v>156</v>
      </c>
      <c r="AV2464" s="111">
        <f>AW2464+AX2464</f>
      </c>
      <c r="AW2464" s="111">
        <f>G2464*AO2464</f>
      </c>
      <c r="AX2464" s="111">
        <f>G2464*AP2464</f>
      </c>
      <c r="AY2464" s="153" t="s">
        <v>3747</v>
      </c>
      <c r="AZ2464" s="153" t="s">
        <v>3286</v>
      </c>
      <c r="BA2464" s="132" t="s">
        <v>2990</v>
      </c>
      <c r="BC2464" s="111">
        <f>AW2464+AX2464</f>
      </c>
      <c r="BD2464" s="111">
        <f>H2464/(100-BE2464)*100</f>
      </c>
      <c r="BE2464" s="111" t="n">
        <v>0</v>
      </c>
      <c r="BF2464" s="111">
        <f>2464</f>
      </c>
      <c r="BH2464" s="111">
        <f>G2464*AO2464</f>
      </c>
      <c r="BI2464" s="111">
        <f>G2464*AP2464</f>
      </c>
      <c r="BJ2464" s="111">
        <f>G2464*H2464</f>
      </c>
      <c r="BK2464" s="111"/>
      <c r="BL2464" s="111"/>
      <c r="BW2464" s="111" t="n">
        <v>21</v>
      </c>
      <c r="BX2464" s="14" t="s">
        <v>3746</v>
      </c>
    </row>
    <row r="2465">
      <c r="A2465" s="154"/>
      <c r="B2465" s="155"/>
      <c r="C2465" s="155"/>
      <c r="D2465" s="156" t="s">
        <v>3748</v>
      </c>
      <c r="E2465" s="156" t="s">
        <v>4</v>
      </c>
      <c r="F2465" s="155"/>
      <c r="G2465" s="157" t="n">
        <v>1.48387</v>
      </c>
      <c r="H2465" s="158"/>
      <c r="I2465" s="155"/>
      <c r="J2465" s="155"/>
      <c r="K2465" s="146"/>
    </row>
    <row r="2466">
      <c r="A2466" s="147" t="s">
        <v>4</v>
      </c>
      <c r="B2466" s="148" t="s">
        <v>87</v>
      </c>
      <c r="C2466" s="148" t="s">
        <v>3749</v>
      </c>
      <c r="D2466" s="149" t="s">
        <v>1958</v>
      </c>
      <c r="E2466" s="148"/>
      <c r="F2466" s="150" t="s">
        <v>79</v>
      </c>
      <c r="G2466" s="150" t="s">
        <v>79</v>
      </c>
      <c r="H2466" s="151" t="s">
        <v>79</v>
      </c>
      <c r="I2466" s="117">
        <f>SUM(I2467:I2467)</f>
      </c>
      <c r="J2466" s="132" t="s">
        <v>4</v>
      </c>
      <c r="K2466" s="146"/>
      <c r="AI2466" s="132" t="s">
        <v>87</v>
      </c>
      <c r="AS2466" s="117">
        <f>SUM(AJ2467:AJ2467)</f>
      </c>
      <c r="AT2466" s="117">
        <f>SUM(AK2467:AK2467)</f>
      </c>
      <c r="AU2466" s="117">
        <f>SUM(AL2467:AL2467)</f>
      </c>
    </row>
    <row r="2467">
      <c r="A2467" s="9" t="s">
        <v>3750</v>
      </c>
      <c r="B2467" s="10" t="s">
        <v>87</v>
      </c>
      <c r="C2467" s="10" t="s">
        <v>3751</v>
      </c>
      <c r="D2467" s="14" t="s">
        <v>3752</v>
      </c>
      <c r="E2467" s="10"/>
      <c r="F2467" s="10" t="s">
        <v>229</v>
      </c>
      <c r="G2467" s="111" t="n">
        <v>0.40249</v>
      </c>
      <c r="H2467" s="152" t="n">
        <v>0</v>
      </c>
      <c r="I2467" s="111">
        <f>G2467*H2467</f>
      </c>
      <c r="J2467" s="153" t="s">
        <v>134</v>
      </c>
      <c r="K2467" s="146"/>
      <c r="Z2467" s="111">
        <f>IF(AQ2467="5",BJ2467,0)</f>
      </c>
      <c r="AB2467" s="111">
        <f>IF(AQ2467="1",BH2467,0)</f>
      </c>
      <c r="AC2467" s="111">
        <f>IF(AQ2467="1",BI2467,0)</f>
      </c>
      <c r="AD2467" s="111">
        <f>IF(AQ2467="7",BH2467,0)</f>
      </c>
      <c r="AE2467" s="111">
        <f>IF(AQ2467="7",BI2467,0)</f>
      </c>
      <c r="AF2467" s="111">
        <f>IF(AQ2467="2",BH2467,0)</f>
      </c>
      <c r="AG2467" s="111">
        <f>IF(AQ2467="2",BI2467,0)</f>
      </c>
      <c r="AH2467" s="111">
        <f>IF(AQ2467="0",BJ2467,0)</f>
      </c>
      <c r="AI2467" s="132" t="s">
        <v>87</v>
      </c>
      <c r="AJ2467" s="111">
        <f>IF(AN2467=0,I2467,0)</f>
      </c>
      <c r="AK2467" s="111">
        <f>IF(AN2467=12,I2467,0)</f>
      </c>
      <c r="AL2467" s="111">
        <f>IF(AN2467=21,I2467,0)</f>
      </c>
      <c r="AN2467" s="111" t="n">
        <v>21</v>
      </c>
      <c r="AO2467" s="111">
        <f>H2467*0</f>
      </c>
      <c r="AP2467" s="111">
        <f>H2467*(1-0)</f>
      </c>
      <c r="AQ2467" s="153" t="s">
        <v>156</v>
      </c>
      <c r="AV2467" s="111">
        <f>AW2467+AX2467</f>
      </c>
      <c r="AW2467" s="111">
        <f>G2467*AO2467</f>
      </c>
      <c r="AX2467" s="111">
        <f>G2467*AP2467</f>
      </c>
      <c r="AY2467" s="153" t="s">
        <v>3753</v>
      </c>
      <c r="AZ2467" s="153" t="s">
        <v>3286</v>
      </c>
      <c r="BA2467" s="132" t="s">
        <v>2990</v>
      </c>
      <c r="BC2467" s="111">
        <f>AW2467+AX2467</f>
      </c>
      <c r="BD2467" s="111">
        <f>H2467/(100-BE2467)*100</f>
      </c>
      <c r="BE2467" s="111" t="n">
        <v>0</v>
      </c>
      <c r="BF2467" s="111">
        <f>2467</f>
      </c>
      <c r="BH2467" s="111">
        <f>G2467*AO2467</f>
      </c>
      <c r="BI2467" s="111">
        <f>G2467*AP2467</f>
      </c>
      <c r="BJ2467" s="111">
        <f>G2467*H2467</f>
      </c>
      <c r="BK2467" s="111"/>
      <c r="BL2467" s="111"/>
      <c r="BW2467" s="111" t="n">
        <v>21</v>
      </c>
      <c r="BX2467" s="14" t="s">
        <v>3752</v>
      </c>
    </row>
    <row r="2468">
      <c r="A2468" s="154"/>
      <c r="B2468" s="155"/>
      <c r="C2468" s="155"/>
      <c r="D2468" s="156" t="s">
        <v>3754</v>
      </c>
      <c r="E2468" s="156" t="s">
        <v>4</v>
      </c>
      <c r="F2468" s="155"/>
      <c r="G2468" s="157" t="n">
        <v>0.40249</v>
      </c>
      <c r="H2468" s="158"/>
      <c r="I2468" s="155"/>
      <c r="J2468" s="155"/>
      <c r="K2468" s="146"/>
    </row>
    <row r="2469">
      <c r="A2469" s="147" t="s">
        <v>4</v>
      </c>
      <c r="B2469" s="148" t="s">
        <v>87</v>
      </c>
      <c r="C2469" s="148" t="s">
        <v>3755</v>
      </c>
      <c r="D2469" s="149" t="s">
        <v>36</v>
      </c>
      <c r="E2469" s="148"/>
      <c r="F2469" s="150" t="s">
        <v>79</v>
      </c>
      <c r="G2469" s="150" t="s">
        <v>79</v>
      </c>
      <c r="H2469" s="151" t="s">
        <v>79</v>
      </c>
      <c r="I2469" s="117">
        <f>SUM(I2470:I2531)</f>
      </c>
      <c r="J2469" s="132" t="s">
        <v>4</v>
      </c>
      <c r="K2469" s="146"/>
      <c r="AI2469" s="132" t="s">
        <v>87</v>
      </c>
      <c r="AS2469" s="117">
        <f>SUM(AJ2470:AJ2531)</f>
      </c>
      <c r="AT2469" s="117">
        <f>SUM(AK2470:AK2531)</f>
      </c>
      <c r="AU2469" s="117">
        <f>SUM(AL2470:AL2531)</f>
      </c>
    </row>
    <row r="2470">
      <c r="A2470" s="9" t="s">
        <v>3756</v>
      </c>
      <c r="B2470" s="10" t="s">
        <v>87</v>
      </c>
      <c r="C2470" s="10" t="s">
        <v>3757</v>
      </c>
      <c r="D2470" s="14" t="s">
        <v>3758</v>
      </c>
      <c r="E2470" s="10"/>
      <c r="F2470" s="10" t="s">
        <v>133</v>
      </c>
      <c r="G2470" s="111" t="n">
        <v>1</v>
      </c>
      <c r="H2470" s="152" t="n">
        <v>0</v>
      </c>
      <c r="I2470" s="111">
        <f>G2470*H2470</f>
      </c>
      <c r="J2470" s="153" t="s">
        <v>3003</v>
      </c>
      <c r="K2470" s="146"/>
      <c r="Z2470" s="111">
        <f>IF(AQ2470="5",BJ2470,0)</f>
      </c>
      <c r="AB2470" s="111">
        <f>IF(AQ2470="1",BH2470,0)</f>
      </c>
      <c r="AC2470" s="111">
        <f>IF(AQ2470="1",BI2470,0)</f>
      </c>
      <c r="AD2470" s="111">
        <f>IF(AQ2470="7",BH2470,0)</f>
      </c>
      <c r="AE2470" s="111">
        <f>IF(AQ2470="7",BI2470,0)</f>
      </c>
      <c r="AF2470" s="111">
        <f>IF(AQ2470="2",BH2470,0)</f>
      </c>
      <c r="AG2470" s="111">
        <f>IF(AQ2470="2",BI2470,0)</f>
      </c>
      <c r="AH2470" s="111">
        <f>IF(AQ2470="0",BJ2470,0)</f>
      </c>
      <c r="AI2470" s="132" t="s">
        <v>87</v>
      </c>
      <c r="AJ2470" s="111">
        <f>IF(AN2470=0,I2470,0)</f>
      </c>
      <c r="AK2470" s="111">
        <f>IF(AN2470=12,I2470,0)</f>
      </c>
      <c r="AL2470" s="111">
        <f>IF(AN2470=21,I2470,0)</f>
      </c>
      <c r="AN2470" s="111" t="n">
        <v>21</v>
      </c>
      <c r="AO2470" s="111">
        <f>H2470*1</f>
      </c>
      <c r="AP2470" s="111">
        <f>H2470*(1-1)</f>
      </c>
      <c r="AQ2470" s="153" t="s">
        <v>3759</v>
      </c>
      <c r="AV2470" s="111">
        <f>AW2470+AX2470</f>
      </c>
      <c r="AW2470" s="111">
        <f>G2470*AO2470</f>
      </c>
      <c r="AX2470" s="111">
        <f>G2470*AP2470</f>
      </c>
      <c r="AY2470" s="153" t="s">
        <v>3760</v>
      </c>
      <c r="AZ2470" s="153" t="s">
        <v>3761</v>
      </c>
      <c r="BA2470" s="132" t="s">
        <v>2990</v>
      </c>
      <c r="BC2470" s="111">
        <f>AW2470+AX2470</f>
      </c>
      <c r="BD2470" s="111">
        <f>H2470/(100-BE2470)*100</f>
      </c>
      <c r="BE2470" s="111" t="n">
        <v>0</v>
      </c>
      <c r="BF2470" s="111">
        <f>2470</f>
      </c>
      <c r="BH2470" s="111">
        <f>G2470*AO2470</f>
      </c>
      <c r="BI2470" s="111">
        <f>G2470*AP2470</f>
      </c>
      <c r="BJ2470" s="111">
        <f>G2470*H2470</f>
      </c>
      <c r="BK2470" s="111"/>
      <c r="BL2470" s="111"/>
      <c r="BW2470" s="111" t="n">
        <v>21</v>
      </c>
      <c r="BX2470" s="14" t="s">
        <v>3758</v>
      </c>
    </row>
    <row r="2471">
      <c r="A2471" s="154"/>
      <c r="B2471" s="155"/>
      <c r="C2471" s="155"/>
      <c r="D2471" s="156" t="s">
        <v>130</v>
      </c>
      <c r="E2471" s="156" t="s">
        <v>4</v>
      </c>
      <c r="F2471" s="155"/>
      <c r="G2471" s="157" t="n">
        <v>1</v>
      </c>
      <c r="H2471" s="158"/>
      <c r="I2471" s="155"/>
      <c r="J2471" s="155"/>
      <c r="K2471" s="146"/>
    </row>
    <row r="2472">
      <c r="A2472" s="9" t="s">
        <v>3762</v>
      </c>
      <c r="B2472" s="10" t="s">
        <v>87</v>
      </c>
      <c r="C2472" s="10" t="s">
        <v>3763</v>
      </c>
      <c r="D2472" s="14" t="s">
        <v>3764</v>
      </c>
      <c r="E2472" s="10"/>
      <c r="F2472" s="10" t="s">
        <v>133</v>
      </c>
      <c r="G2472" s="111" t="n">
        <v>16</v>
      </c>
      <c r="H2472" s="152" t="n">
        <v>0</v>
      </c>
      <c r="I2472" s="111">
        <f>G2472*H2472</f>
      </c>
      <c r="J2472" s="153" t="s">
        <v>134</v>
      </c>
      <c r="K2472" s="146"/>
      <c r="Z2472" s="111">
        <f>IF(AQ2472="5",BJ2472,0)</f>
      </c>
      <c r="AB2472" s="111">
        <f>IF(AQ2472="1",BH2472,0)</f>
      </c>
      <c r="AC2472" s="111">
        <f>IF(AQ2472="1",BI2472,0)</f>
      </c>
      <c r="AD2472" s="111">
        <f>IF(AQ2472="7",BH2472,0)</f>
      </c>
      <c r="AE2472" s="111">
        <f>IF(AQ2472="7",BI2472,0)</f>
      </c>
      <c r="AF2472" s="111">
        <f>IF(AQ2472="2",BH2472,0)</f>
      </c>
      <c r="AG2472" s="111">
        <f>IF(AQ2472="2",BI2472,0)</f>
      </c>
      <c r="AH2472" s="111">
        <f>IF(AQ2472="0",BJ2472,0)</f>
      </c>
      <c r="AI2472" s="132" t="s">
        <v>87</v>
      </c>
      <c r="AJ2472" s="111">
        <f>IF(AN2472=0,I2472,0)</f>
      </c>
      <c r="AK2472" s="111">
        <f>IF(AN2472=12,I2472,0)</f>
      </c>
      <c r="AL2472" s="111">
        <f>IF(AN2472=21,I2472,0)</f>
      </c>
      <c r="AN2472" s="111" t="n">
        <v>21</v>
      </c>
      <c r="AO2472" s="111">
        <f>H2472*1</f>
      </c>
      <c r="AP2472" s="111">
        <f>H2472*(1-1)</f>
      </c>
      <c r="AQ2472" s="153" t="s">
        <v>3759</v>
      </c>
      <c r="AV2472" s="111">
        <f>AW2472+AX2472</f>
      </c>
      <c r="AW2472" s="111">
        <f>G2472*AO2472</f>
      </c>
      <c r="AX2472" s="111">
        <f>G2472*AP2472</f>
      </c>
      <c r="AY2472" s="153" t="s">
        <v>3760</v>
      </c>
      <c r="AZ2472" s="153" t="s">
        <v>3761</v>
      </c>
      <c r="BA2472" s="132" t="s">
        <v>2990</v>
      </c>
      <c r="BC2472" s="111">
        <f>AW2472+AX2472</f>
      </c>
      <c r="BD2472" s="111">
        <f>H2472/(100-BE2472)*100</f>
      </c>
      <c r="BE2472" s="111" t="n">
        <v>0</v>
      </c>
      <c r="BF2472" s="111">
        <f>2472</f>
      </c>
      <c r="BH2472" s="111">
        <f>G2472*AO2472</f>
      </c>
      <c r="BI2472" s="111">
        <f>G2472*AP2472</f>
      </c>
      <c r="BJ2472" s="111">
        <f>G2472*H2472</f>
      </c>
      <c r="BK2472" s="111"/>
      <c r="BL2472" s="111"/>
      <c r="BW2472" s="111" t="n">
        <v>21</v>
      </c>
      <c r="BX2472" s="14" t="s">
        <v>3764</v>
      </c>
    </row>
    <row r="2473">
      <c r="A2473" s="154"/>
      <c r="B2473" s="155"/>
      <c r="C2473" s="155"/>
      <c r="D2473" s="156" t="s">
        <v>202</v>
      </c>
      <c r="E2473" s="156" t="s">
        <v>4</v>
      </c>
      <c r="F2473" s="155"/>
      <c r="G2473" s="157" t="n">
        <v>16</v>
      </c>
      <c r="H2473" s="158"/>
      <c r="I2473" s="155"/>
      <c r="J2473" s="155"/>
      <c r="K2473" s="146"/>
    </row>
    <row r="2474">
      <c r="A2474" s="9" t="s">
        <v>3765</v>
      </c>
      <c r="B2474" s="10" t="s">
        <v>87</v>
      </c>
      <c r="C2474" s="10" t="s">
        <v>3766</v>
      </c>
      <c r="D2474" s="14" t="s">
        <v>3767</v>
      </c>
      <c r="E2474" s="10"/>
      <c r="F2474" s="10" t="s">
        <v>133</v>
      </c>
      <c r="G2474" s="111" t="n">
        <v>2</v>
      </c>
      <c r="H2474" s="152" t="n">
        <v>0</v>
      </c>
      <c r="I2474" s="111">
        <f>G2474*H2474</f>
      </c>
      <c r="J2474" s="153" t="s">
        <v>134</v>
      </c>
      <c r="K2474" s="146"/>
      <c r="Z2474" s="111">
        <f>IF(AQ2474="5",BJ2474,0)</f>
      </c>
      <c r="AB2474" s="111">
        <f>IF(AQ2474="1",BH2474,0)</f>
      </c>
      <c r="AC2474" s="111">
        <f>IF(AQ2474="1",BI2474,0)</f>
      </c>
      <c r="AD2474" s="111">
        <f>IF(AQ2474="7",BH2474,0)</f>
      </c>
      <c r="AE2474" s="111">
        <f>IF(AQ2474="7",BI2474,0)</f>
      </c>
      <c r="AF2474" s="111">
        <f>IF(AQ2474="2",BH2474,0)</f>
      </c>
      <c r="AG2474" s="111">
        <f>IF(AQ2474="2",BI2474,0)</f>
      </c>
      <c r="AH2474" s="111">
        <f>IF(AQ2474="0",BJ2474,0)</f>
      </c>
      <c r="AI2474" s="132" t="s">
        <v>87</v>
      </c>
      <c r="AJ2474" s="111">
        <f>IF(AN2474=0,I2474,0)</f>
      </c>
      <c r="AK2474" s="111">
        <f>IF(AN2474=12,I2474,0)</f>
      </c>
      <c r="AL2474" s="111">
        <f>IF(AN2474=21,I2474,0)</f>
      </c>
      <c r="AN2474" s="111" t="n">
        <v>21</v>
      </c>
      <c r="AO2474" s="111">
        <f>H2474*1</f>
      </c>
      <c r="AP2474" s="111">
        <f>H2474*(1-1)</f>
      </c>
      <c r="AQ2474" s="153" t="s">
        <v>3759</v>
      </c>
      <c r="AV2474" s="111">
        <f>AW2474+AX2474</f>
      </c>
      <c r="AW2474" s="111">
        <f>G2474*AO2474</f>
      </c>
      <c r="AX2474" s="111">
        <f>G2474*AP2474</f>
      </c>
      <c r="AY2474" s="153" t="s">
        <v>3760</v>
      </c>
      <c r="AZ2474" s="153" t="s">
        <v>3761</v>
      </c>
      <c r="BA2474" s="132" t="s">
        <v>2990</v>
      </c>
      <c r="BC2474" s="111">
        <f>AW2474+AX2474</f>
      </c>
      <c r="BD2474" s="111">
        <f>H2474/(100-BE2474)*100</f>
      </c>
      <c r="BE2474" s="111" t="n">
        <v>0</v>
      </c>
      <c r="BF2474" s="111">
        <f>2474</f>
      </c>
      <c r="BH2474" s="111">
        <f>G2474*AO2474</f>
      </c>
      <c r="BI2474" s="111">
        <f>G2474*AP2474</f>
      </c>
      <c r="BJ2474" s="111">
        <f>G2474*H2474</f>
      </c>
      <c r="BK2474" s="111"/>
      <c r="BL2474" s="111"/>
      <c r="BW2474" s="111" t="n">
        <v>21</v>
      </c>
      <c r="BX2474" s="14" t="s">
        <v>3767</v>
      </c>
    </row>
    <row r="2475">
      <c r="A2475" s="154"/>
      <c r="B2475" s="155"/>
      <c r="C2475" s="155"/>
      <c r="D2475" s="156" t="s">
        <v>140</v>
      </c>
      <c r="E2475" s="156" t="s">
        <v>4</v>
      </c>
      <c r="F2475" s="155"/>
      <c r="G2475" s="157" t="n">
        <v>2</v>
      </c>
      <c r="H2475" s="158"/>
      <c r="I2475" s="155"/>
      <c r="J2475" s="155"/>
      <c r="K2475" s="146"/>
    </row>
    <row r="2476">
      <c r="A2476" s="9" t="s">
        <v>3768</v>
      </c>
      <c r="B2476" s="10" t="s">
        <v>87</v>
      </c>
      <c r="C2476" s="10" t="s">
        <v>3769</v>
      </c>
      <c r="D2476" s="14" t="s">
        <v>3770</v>
      </c>
      <c r="E2476" s="10"/>
      <c r="F2476" s="10" t="s">
        <v>133</v>
      </c>
      <c r="G2476" s="111" t="n">
        <v>10</v>
      </c>
      <c r="H2476" s="152" t="n">
        <v>0</v>
      </c>
      <c r="I2476" s="111">
        <f>G2476*H2476</f>
      </c>
      <c r="J2476" s="153" t="s">
        <v>3003</v>
      </c>
      <c r="K2476" s="146"/>
      <c r="Z2476" s="111">
        <f>IF(AQ2476="5",BJ2476,0)</f>
      </c>
      <c r="AB2476" s="111">
        <f>IF(AQ2476="1",BH2476,0)</f>
      </c>
      <c r="AC2476" s="111">
        <f>IF(AQ2476="1",BI2476,0)</f>
      </c>
      <c r="AD2476" s="111">
        <f>IF(AQ2476="7",BH2476,0)</f>
      </c>
      <c r="AE2476" s="111">
        <f>IF(AQ2476="7",BI2476,0)</f>
      </c>
      <c r="AF2476" s="111">
        <f>IF(AQ2476="2",BH2476,0)</f>
      </c>
      <c r="AG2476" s="111">
        <f>IF(AQ2476="2",BI2476,0)</f>
      </c>
      <c r="AH2476" s="111">
        <f>IF(AQ2476="0",BJ2476,0)</f>
      </c>
      <c r="AI2476" s="132" t="s">
        <v>87</v>
      </c>
      <c r="AJ2476" s="111">
        <f>IF(AN2476=0,I2476,0)</f>
      </c>
      <c r="AK2476" s="111">
        <f>IF(AN2476=12,I2476,0)</f>
      </c>
      <c r="AL2476" s="111">
        <f>IF(AN2476=21,I2476,0)</f>
      </c>
      <c r="AN2476" s="111" t="n">
        <v>21</v>
      </c>
      <c r="AO2476" s="111">
        <f>H2476*1</f>
      </c>
      <c r="AP2476" s="111">
        <f>H2476*(1-1)</f>
      </c>
      <c r="AQ2476" s="153" t="s">
        <v>3759</v>
      </c>
      <c r="AV2476" s="111">
        <f>AW2476+AX2476</f>
      </c>
      <c r="AW2476" s="111">
        <f>G2476*AO2476</f>
      </c>
      <c r="AX2476" s="111">
        <f>G2476*AP2476</f>
      </c>
      <c r="AY2476" s="153" t="s">
        <v>3760</v>
      </c>
      <c r="AZ2476" s="153" t="s">
        <v>3761</v>
      </c>
      <c r="BA2476" s="132" t="s">
        <v>2990</v>
      </c>
      <c r="BC2476" s="111">
        <f>AW2476+AX2476</f>
      </c>
      <c r="BD2476" s="111">
        <f>H2476/(100-BE2476)*100</f>
      </c>
      <c r="BE2476" s="111" t="n">
        <v>0</v>
      </c>
      <c r="BF2476" s="111">
        <f>2476</f>
      </c>
      <c r="BH2476" s="111">
        <f>G2476*AO2476</f>
      </c>
      <c r="BI2476" s="111">
        <f>G2476*AP2476</f>
      </c>
      <c r="BJ2476" s="111">
        <f>G2476*H2476</f>
      </c>
      <c r="BK2476" s="111"/>
      <c r="BL2476" s="111"/>
      <c r="BW2476" s="111" t="n">
        <v>21</v>
      </c>
      <c r="BX2476" s="14" t="s">
        <v>3770</v>
      </c>
    </row>
    <row r="2477">
      <c r="A2477" s="154"/>
      <c r="B2477" s="155"/>
      <c r="C2477" s="155"/>
      <c r="D2477" s="156" t="s">
        <v>186</v>
      </c>
      <c r="E2477" s="156" t="s">
        <v>4</v>
      </c>
      <c r="F2477" s="155"/>
      <c r="G2477" s="157" t="n">
        <v>10</v>
      </c>
      <c r="H2477" s="158"/>
      <c r="I2477" s="155"/>
      <c r="J2477" s="155"/>
      <c r="K2477" s="146"/>
    </row>
    <row r="2478">
      <c r="A2478" s="9" t="s">
        <v>3771</v>
      </c>
      <c r="B2478" s="10" t="s">
        <v>87</v>
      </c>
      <c r="C2478" s="10" t="s">
        <v>3772</v>
      </c>
      <c r="D2478" s="14" t="s">
        <v>3773</v>
      </c>
      <c r="E2478" s="10"/>
      <c r="F2478" s="10" t="s">
        <v>133</v>
      </c>
      <c r="G2478" s="111" t="n">
        <v>4</v>
      </c>
      <c r="H2478" s="152" t="n">
        <v>0</v>
      </c>
      <c r="I2478" s="111">
        <f>G2478*H2478</f>
      </c>
      <c r="J2478" s="153" t="s">
        <v>3003</v>
      </c>
      <c r="K2478" s="146"/>
      <c r="Z2478" s="111">
        <f>IF(AQ2478="5",BJ2478,0)</f>
      </c>
      <c r="AB2478" s="111">
        <f>IF(AQ2478="1",BH2478,0)</f>
      </c>
      <c r="AC2478" s="111">
        <f>IF(AQ2478="1",BI2478,0)</f>
      </c>
      <c r="AD2478" s="111">
        <f>IF(AQ2478="7",BH2478,0)</f>
      </c>
      <c r="AE2478" s="111">
        <f>IF(AQ2478="7",BI2478,0)</f>
      </c>
      <c r="AF2478" s="111">
        <f>IF(AQ2478="2",BH2478,0)</f>
      </c>
      <c r="AG2478" s="111">
        <f>IF(AQ2478="2",BI2478,0)</f>
      </c>
      <c r="AH2478" s="111">
        <f>IF(AQ2478="0",BJ2478,0)</f>
      </c>
      <c r="AI2478" s="132" t="s">
        <v>87</v>
      </c>
      <c r="AJ2478" s="111">
        <f>IF(AN2478=0,I2478,0)</f>
      </c>
      <c r="AK2478" s="111">
        <f>IF(AN2478=12,I2478,0)</f>
      </c>
      <c r="AL2478" s="111">
        <f>IF(AN2478=21,I2478,0)</f>
      </c>
      <c r="AN2478" s="111" t="n">
        <v>21</v>
      </c>
      <c r="AO2478" s="111">
        <f>H2478*1</f>
      </c>
      <c r="AP2478" s="111">
        <f>H2478*(1-1)</f>
      </c>
      <c r="AQ2478" s="153" t="s">
        <v>3759</v>
      </c>
      <c r="AV2478" s="111">
        <f>AW2478+AX2478</f>
      </c>
      <c r="AW2478" s="111">
        <f>G2478*AO2478</f>
      </c>
      <c r="AX2478" s="111">
        <f>G2478*AP2478</f>
      </c>
      <c r="AY2478" s="153" t="s">
        <v>3760</v>
      </c>
      <c r="AZ2478" s="153" t="s">
        <v>3761</v>
      </c>
      <c r="BA2478" s="132" t="s">
        <v>2990</v>
      </c>
      <c r="BC2478" s="111">
        <f>AW2478+AX2478</f>
      </c>
      <c r="BD2478" s="111">
        <f>H2478/(100-BE2478)*100</f>
      </c>
      <c r="BE2478" s="111" t="n">
        <v>0</v>
      </c>
      <c r="BF2478" s="111">
        <f>2478</f>
      </c>
      <c r="BH2478" s="111">
        <f>G2478*AO2478</f>
      </c>
      <c r="BI2478" s="111">
        <f>G2478*AP2478</f>
      </c>
      <c r="BJ2478" s="111">
        <f>G2478*H2478</f>
      </c>
      <c r="BK2478" s="111"/>
      <c r="BL2478" s="111"/>
      <c r="BW2478" s="111" t="n">
        <v>21</v>
      </c>
      <c r="BX2478" s="14" t="s">
        <v>3773</v>
      </c>
    </row>
    <row r="2479">
      <c r="A2479" s="154"/>
      <c r="B2479" s="155"/>
      <c r="C2479" s="155"/>
      <c r="D2479" s="156" t="s">
        <v>149</v>
      </c>
      <c r="E2479" s="156" t="s">
        <v>4</v>
      </c>
      <c r="F2479" s="155"/>
      <c r="G2479" s="157" t="n">
        <v>4</v>
      </c>
      <c r="H2479" s="158"/>
      <c r="I2479" s="155"/>
      <c r="J2479" s="155"/>
      <c r="K2479" s="146"/>
    </row>
    <row r="2480">
      <c r="A2480" s="9" t="s">
        <v>3774</v>
      </c>
      <c r="B2480" s="10" t="s">
        <v>87</v>
      </c>
      <c r="C2480" s="10" t="s">
        <v>3775</v>
      </c>
      <c r="D2480" s="14" t="s">
        <v>3776</v>
      </c>
      <c r="E2480" s="10"/>
      <c r="F2480" s="10" t="s">
        <v>133</v>
      </c>
      <c r="G2480" s="111" t="n">
        <v>22</v>
      </c>
      <c r="H2480" s="152" t="n">
        <v>0</v>
      </c>
      <c r="I2480" s="111">
        <f>G2480*H2480</f>
      </c>
      <c r="J2480" s="153" t="s">
        <v>134</v>
      </c>
      <c r="K2480" s="146"/>
      <c r="Z2480" s="111">
        <f>IF(AQ2480="5",BJ2480,0)</f>
      </c>
      <c r="AB2480" s="111">
        <f>IF(AQ2480="1",BH2480,0)</f>
      </c>
      <c r="AC2480" s="111">
        <f>IF(AQ2480="1",BI2480,0)</f>
      </c>
      <c r="AD2480" s="111">
        <f>IF(AQ2480="7",BH2480,0)</f>
      </c>
      <c r="AE2480" s="111">
        <f>IF(AQ2480="7",BI2480,0)</f>
      </c>
      <c r="AF2480" s="111">
        <f>IF(AQ2480="2",BH2480,0)</f>
      </c>
      <c r="AG2480" s="111">
        <f>IF(AQ2480="2",BI2480,0)</f>
      </c>
      <c r="AH2480" s="111">
        <f>IF(AQ2480="0",BJ2480,0)</f>
      </c>
      <c r="AI2480" s="132" t="s">
        <v>87</v>
      </c>
      <c r="AJ2480" s="111">
        <f>IF(AN2480=0,I2480,0)</f>
      </c>
      <c r="AK2480" s="111">
        <f>IF(AN2480=12,I2480,0)</f>
      </c>
      <c r="AL2480" s="111">
        <f>IF(AN2480=21,I2480,0)</f>
      </c>
      <c r="AN2480" s="111" t="n">
        <v>21</v>
      </c>
      <c r="AO2480" s="111">
        <f>H2480*1</f>
      </c>
      <c r="AP2480" s="111">
        <f>H2480*(1-1)</f>
      </c>
      <c r="AQ2480" s="153" t="s">
        <v>3759</v>
      </c>
      <c r="AV2480" s="111">
        <f>AW2480+AX2480</f>
      </c>
      <c r="AW2480" s="111">
        <f>G2480*AO2480</f>
      </c>
      <c r="AX2480" s="111">
        <f>G2480*AP2480</f>
      </c>
      <c r="AY2480" s="153" t="s">
        <v>3760</v>
      </c>
      <c r="AZ2480" s="153" t="s">
        <v>3761</v>
      </c>
      <c r="BA2480" s="132" t="s">
        <v>2990</v>
      </c>
      <c r="BC2480" s="111">
        <f>AW2480+AX2480</f>
      </c>
      <c r="BD2480" s="111">
        <f>H2480/(100-BE2480)*100</f>
      </c>
      <c r="BE2480" s="111" t="n">
        <v>0</v>
      </c>
      <c r="BF2480" s="111">
        <f>2480</f>
      </c>
      <c r="BH2480" s="111">
        <f>G2480*AO2480</f>
      </c>
      <c r="BI2480" s="111">
        <f>G2480*AP2480</f>
      </c>
      <c r="BJ2480" s="111">
        <f>G2480*H2480</f>
      </c>
      <c r="BK2480" s="111"/>
      <c r="BL2480" s="111"/>
      <c r="BW2480" s="111" t="n">
        <v>21</v>
      </c>
      <c r="BX2480" s="14" t="s">
        <v>3776</v>
      </c>
    </row>
    <row r="2481">
      <c r="A2481" s="154"/>
      <c r="B2481" s="155"/>
      <c r="C2481" s="155"/>
      <c r="D2481" s="156" t="s">
        <v>255</v>
      </c>
      <c r="E2481" s="156" t="s">
        <v>4</v>
      </c>
      <c r="F2481" s="155"/>
      <c r="G2481" s="157" t="n">
        <v>20</v>
      </c>
      <c r="H2481" s="158"/>
      <c r="I2481" s="155"/>
      <c r="J2481" s="155"/>
      <c r="K2481" s="146"/>
    </row>
    <row r="2482">
      <c r="A2482" s="154"/>
      <c r="B2482" s="155"/>
      <c r="C2482" s="155"/>
      <c r="D2482" s="156" t="s">
        <v>3777</v>
      </c>
      <c r="E2482" s="156" t="s">
        <v>4</v>
      </c>
      <c r="F2482" s="155"/>
      <c r="G2482" s="157" t="n">
        <v>2</v>
      </c>
      <c r="H2482" s="158"/>
      <c r="I2482" s="155"/>
      <c r="J2482" s="155"/>
      <c r="K2482" s="146"/>
    </row>
    <row r="2483">
      <c r="A2483" s="9" t="s">
        <v>3778</v>
      </c>
      <c r="B2483" s="10" t="s">
        <v>87</v>
      </c>
      <c r="C2483" s="10" t="s">
        <v>3779</v>
      </c>
      <c r="D2483" s="14" t="s">
        <v>3780</v>
      </c>
      <c r="E2483" s="10"/>
      <c r="F2483" s="10" t="s">
        <v>133</v>
      </c>
      <c r="G2483" s="111" t="n">
        <v>2.2</v>
      </c>
      <c r="H2483" s="152" t="n">
        <v>0</v>
      </c>
      <c r="I2483" s="111">
        <f>G2483*H2483</f>
      </c>
      <c r="J2483" s="153" t="s">
        <v>134</v>
      </c>
      <c r="K2483" s="146"/>
      <c r="Z2483" s="111">
        <f>IF(AQ2483="5",BJ2483,0)</f>
      </c>
      <c r="AB2483" s="111">
        <f>IF(AQ2483="1",BH2483,0)</f>
      </c>
      <c r="AC2483" s="111">
        <f>IF(AQ2483="1",BI2483,0)</f>
      </c>
      <c r="AD2483" s="111">
        <f>IF(AQ2483="7",BH2483,0)</f>
      </c>
      <c r="AE2483" s="111">
        <f>IF(AQ2483="7",BI2483,0)</f>
      </c>
      <c r="AF2483" s="111">
        <f>IF(AQ2483="2",BH2483,0)</f>
      </c>
      <c r="AG2483" s="111">
        <f>IF(AQ2483="2",BI2483,0)</f>
      </c>
      <c r="AH2483" s="111">
        <f>IF(AQ2483="0",BJ2483,0)</f>
      </c>
      <c r="AI2483" s="132" t="s">
        <v>87</v>
      </c>
      <c r="AJ2483" s="111">
        <f>IF(AN2483=0,I2483,0)</f>
      </c>
      <c r="AK2483" s="111">
        <f>IF(AN2483=12,I2483,0)</f>
      </c>
      <c r="AL2483" s="111">
        <f>IF(AN2483=21,I2483,0)</f>
      </c>
      <c r="AN2483" s="111" t="n">
        <v>21</v>
      </c>
      <c r="AO2483" s="111">
        <f>H2483*1</f>
      </c>
      <c r="AP2483" s="111">
        <f>H2483*(1-1)</f>
      </c>
      <c r="AQ2483" s="153" t="s">
        <v>3759</v>
      </c>
      <c r="AV2483" s="111">
        <f>AW2483+AX2483</f>
      </c>
      <c r="AW2483" s="111">
        <f>G2483*AO2483</f>
      </c>
      <c r="AX2483" s="111">
        <f>G2483*AP2483</f>
      </c>
      <c r="AY2483" s="153" t="s">
        <v>3760</v>
      </c>
      <c r="AZ2483" s="153" t="s">
        <v>3761</v>
      </c>
      <c r="BA2483" s="132" t="s">
        <v>2990</v>
      </c>
      <c r="BC2483" s="111">
        <f>AW2483+AX2483</f>
      </c>
      <c r="BD2483" s="111">
        <f>H2483/(100-BE2483)*100</f>
      </c>
      <c r="BE2483" s="111" t="n">
        <v>0</v>
      </c>
      <c r="BF2483" s="111">
        <f>2483</f>
      </c>
      <c r="BH2483" s="111">
        <f>G2483*AO2483</f>
      </c>
      <c r="BI2483" s="111">
        <f>G2483*AP2483</f>
      </c>
      <c r="BJ2483" s="111">
        <f>G2483*H2483</f>
      </c>
      <c r="BK2483" s="111"/>
      <c r="BL2483" s="111"/>
      <c r="BW2483" s="111" t="n">
        <v>21</v>
      </c>
      <c r="BX2483" s="14" t="s">
        <v>3780</v>
      </c>
    </row>
    <row r="2484">
      <c r="A2484" s="154"/>
      <c r="B2484" s="155"/>
      <c r="C2484" s="155"/>
      <c r="D2484" s="156" t="s">
        <v>140</v>
      </c>
      <c r="E2484" s="156" t="s">
        <v>4</v>
      </c>
      <c r="F2484" s="155"/>
      <c r="G2484" s="157" t="n">
        <v>2</v>
      </c>
      <c r="H2484" s="158"/>
      <c r="I2484" s="155"/>
      <c r="J2484" s="155"/>
      <c r="K2484" s="146"/>
    </row>
    <row r="2485">
      <c r="A2485" s="154"/>
      <c r="B2485" s="155"/>
      <c r="C2485" s="155"/>
      <c r="D2485" s="156" t="s">
        <v>3781</v>
      </c>
      <c r="E2485" s="156" t="s">
        <v>4</v>
      </c>
      <c r="F2485" s="155"/>
      <c r="G2485" s="157" t="n">
        <v>0.2</v>
      </c>
      <c r="H2485" s="158"/>
      <c r="I2485" s="155"/>
      <c r="J2485" s="155"/>
      <c r="K2485" s="146"/>
    </row>
    <row r="2486">
      <c r="A2486" s="9" t="s">
        <v>3782</v>
      </c>
      <c r="B2486" s="10" t="s">
        <v>87</v>
      </c>
      <c r="C2486" s="10" t="s">
        <v>3783</v>
      </c>
      <c r="D2486" s="14" t="s">
        <v>3784</v>
      </c>
      <c r="E2486" s="10"/>
      <c r="F2486" s="10" t="s">
        <v>133</v>
      </c>
      <c r="G2486" s="111" t="n">
        <v>11</v>
      </c>
      <c r="H2486" s="152" t="n">
        <v>0</v>
      </c>
      <c r="I2486" s="111">
        <f>G2486*H2486</f>
      </c>
      <c r="J2486" s="153" t="s">
        <v>134</v>
      </c>
      <c r="K2486" s="146"/>
      <c r="Z2486" s="111">
        <f>IF(AQ2486="5",BJ2486,0)</f>
      </c>
      <c r="AB2486" s="111">
        <f>IF(AQ2486="1",BH2486,0)</f>
      </c>
      <c r="AC2486" s="111">
        <f>IF(AQ2486="1",BI2486,0)</f>
      </c>
      <c r="AD2486" s="111">
        <f>IF(AQ2486="7",BH2486,0)</f>
      </c>
      <c r="AE2486" s="111">
        <f>IF(AQ2486="7",BI2486,0)</f>
      </c>
      <c r="AF2486" s="111">
        <f>IF(AQ2486="2",BH2486,0)</f>
      </c>
      <c r="AG2486" s="111">
        <f>IF(AQ2486="2",BI2486,0)</f>
      </c>
      <c r="AH2486" s="111">
        <f>IF(AQ2486="0",BJ2486,0)</f>
      </c>
      <c r="AI2486" s="132" t="s">
        <v>87</v>
      </c>
      <c r="AJ2486" s="111">
        <f>IF(AN2486=0,I2486,0)</f>
      </c>
      <c r="AK2486" s="111">
        <f>IF(AN2486=12,I2486,0)</f>
      </c>
      <c r="AL2486" s="111">
        <f>IF(AN2486=21,I2486,0)</f>
      </c>
      <c r="AN2486" s="111" t="n">
        <v>21</v>
      </c>
      <c r="AO2486" s="111">
        <f>H2486*1</f>
      </c>
      <c r="AP2486" s="111">
        <f>H2486*(1-1)</f>
      </c>
      <c r="AQ2486" s="153" t="s">
        <v>3759</v>
      </c>
      <c r="AV2486" s="111">
        <f>AW2486+AX2486</f>
      </c>
      <c r="AW2486" s="111">
        <f>G2486*AO2486</f>
      </c>
      <c r="AX2486" s="111">
        <f>G2486*AP2486</f>
      </c>
      <c r="AY2486" s="153" t="s">
        <v>3760</v>
      </c>
      <c r="AZ2486" s="153" t="s">
        <v>3761</v>
      </c>
      <c r="BA2486" s="132" t="s">
        <v>2990</v>
      </c>
      <c r="BC2486" s="111">
        <f>AW2486+AX2486</f>
      </c>
      <c r="BD2486" s="111">
        <f>H2486/(100-BE2486)*100</f>
      </c>
      <c r="BE2486" s="111" t="n">
        <v>0</v>
      </c>
      <c r="BF2486" s="111">
        <f>2486</f>
      </c>
      <c r="BH2486" s="111">
        <f>G2486*AO2486</f>
      </c>
      <c r="BI2486" s="111">
        <f>G2486*AP2486</f>
      </c>
      <c r="BJ2486" s="111">
        <f>G2486*H2486</f>
      </c>
      <c r="BK2486" s="111"/>
      <c r="BL2486" s="111"/>
      <c r="BW2486" s="111" t="n">
        <v>21</v>
      </c>
      <c r="BX2486" s="14" t="s">
        <v>3784</v>
      </c>
    </row>
    <row r="2487">
      <c r="A2487" s="154"/>
      <c r="B2487" s="155"/>
      <c r="C2487" s="155"/>
      <c r="D2487" s="156" t="s">
        <v>186</v>
      </c>
      <c r="E2487" s="156" t="s">
        <v>4</v>
      </c>
      <c r="F2487" s="155"/>
      <c r="G2487" s="157" t="n">
        <v>10</v>
      </c>
      <c r="H2487" s="158"/>
      <c r="I2487" s="155"/>
      <c r="J2487" s="155"/>
      <c r="K2487" s="146"/>
    </row>
    <row r="2488">
      <c r="A2488" s="154"/>
      <c r="B2488" s="155"/>
      <c r="C2488" s="155"/>
      <c r="D2488" s="156" t="s">
        <v>3785</v>
      </c>
      <c r="E2488" s="156" t="s">
        <v>4</v>
      </c>
      <c r="F2488" s="155"/>
      <c r="G2488" s="157" t="n">
        <v>1</v>
      </c>
      <c r="H2488" s="158"/>
      <c r="I2488" s="155"/>
      <c r="J2488" s="155"/>
      <c r="K2488" s="146"/>
    </row>
    <row r="2489">
      <c r="A2489" s="9" t="s">
        <v>3786</v>
      </c>
      <c r="B2489" s="10" t="s">
        <v>87</v>
      </c>
      <c r="C2489" s="10" t="s">
        <v>3787</v>
      </c>
      <c r="D2489" s="14" t="s">
        <v>3788</v>
      </c>
      <c r="E2489" s="10"/>
      <c r="F2489" s="10" t="s">
        <v>282</v>
      </c>
      <c r="G2489" s="111" t="n">
        <v>37.4</v>
      </c>
      <c r="H2489" s="152" t="n">
        <v>0</v>
      </c>
      <c r="I2489" s="111">
        <f>G2489*H2489</f>
      </c>
      <c r="J2489" s="153" t="s">
        <v>134</v>
      </c>
      <c r="K2489" s="146"/>
      <c r="Z2489" s="111">
        <f>IF(AQ2489="5",BJ2489,0)</f>
      </c>
      <c r="AB2489" s="111">
        <f>IF(AQ2489="1",BH2489,0)</f>
      </c>
      <c r="AC2489" s="111">
        <f>IF(AQ2489="1",BI2489,0)</f>
      </c>
      <c r="AD2489" s="111">
        <f>IF(AQ2489="7",BH2489,0)</f>
      </c>
      <c r="AE2489" s="111">
        <f>IF(AQ2489="7",BI2489,0)</f>
      </c>
      <c r="AF2489" s="111">
        <f>IF(AQ2489="2",BH2489,0)</f>
      </c>
      <c r="AG2489" s="111">
        <f>IF(AQ2489="2",BI2489,0)</f>
      </c>
      <c r="AH2489" s="111">
        <f>IF(AQ2489="0",BJ2489,0)</f>
      </c>
      <c r="AI2489" s="132" t="s">
        <v>87</v>
      </c>
      <c r="AJ2489" s="111">
        <f>IF(AN2489=0,I2489,0)</f>
      </c>
      <c r="AK2489" s="111">
        <f>IF(AN2489=12,I2489,0)</f>
      </c>
      <c r="AL2489" s="111">
        <f>IF(AN2489=21,I2489,0)</f>
      </c>
      <c r="AN2489" s="111" t="n">
        <v>21</v>
      </c>
      <c r="AO2489" s="111">
        <f>H2489*1</f>
      </c>
      <c r="AP2489" s="111">
        <f>H2489*(1-1)</f>
      </c>
      <c r="AQ2489" s="153" t="s">
        <v>3759</v>
      </c>
      <c r="AV2489" s="111">
        <f>AW2489+AX2489</f>
      </c>
      <c r="AW2489" s="111">
        <f>G2489*AO2489</f>
      </c>
      <c r="AX2489" s="111">
        <f>G2489*AP2489</f>
      </c>
      <c r="AY2489" s="153" t="s">
        <v>3760</v>
      </c>
      <c r="AZ2489" s="153" t="s">
        <v>3761</v>
      </c>
      <c r="BA2489" s="132" t="s">
        <v>2990</v>
      </c>
      <c r="BC2489" s="111">
        <f>AW2489+AX2489</f>
      </c>
      <c r="BD2489" s="111">
        <f>H2489/(100-BE2489)*100</f>
      </c>
      <c r="BE2489" s="111" t="n">
        <v>0</v>
      </c>
      <c r="BF2489" s="111">
        <f>2489</f>
      </c>
      <c r="BH2489" s="111">
        <f>G2489*AO2489</f>
      </c>
      <c r="BI2489" s="111">
        <f>G2489*AP2489</f>
      </c>
      <c r="BJ2489" s="111">
        <f>G2489*H2489</f>
      </c>
      <c r="BK2489" s="111"/>
      <c r="BL2489" s="111"/>
      <c r="BW2489" s="111" t="n">
        <v>21</v>
      </c>
      <c r="BX2489" s="14" t="s">
        <v>3788</v>
      </c>
    </row>
    <row r="2490">
      <c r="A2490" s="154"/>
      <c r="B2490" s="155"/>
      <c r="C2490" s="155"/>
      <c r="D2490" s="156" t="s">
        <v>366</v>
      </c>
      <c r="E2490" s="156" t="s">
        <v>4</v>
      </c>
      <c r="F2490" s="155"/>
      <c r="G2490" s="157" t="n">
        <v>34</v>
      </c>
      <c r="H2490" s="158"/>
      <c r="I2490" s="155"/>
      <c r="J2490" s="155"/>
      <c r="K2490" s="146"/>
    </row>
    <row r="2491">
      <c r="A2491" s="154"/>
      <c r="B2491" s="155"/>
      <c r="C2491" s="155"/>
      <c r="D2491" s="156" t="s">
        <v>3789</v>
      </c>
      <c r="E2491" s="156" t="s">
        <v>4</v>
      </c>
      <c r="F2491" s="155"/>
      <c r="G2491" s="157" t="n">
        <v>3.4</v>
      </c>
      <c r="H2491" s="158"/>
      <c r="I2491" s="155"/>
      <c r="J2491" s="155"/>
      <c r="K2491" s="146"/>
    </row>
    <row r="2492">
      <c r="A2492" s="9" t="s">
        <v>3790</v>
      </c>
      <c r="B2492" s="10" t="s">
        <v>87</v>
      </c>
      <c r="C2492" s="10" t="s">
        <v>3791</v>
      </c>
      <c r="D2492" s="14" t="s">
        <v>3792</v>
      </c>
      <c r="E2492" s="10"/>
      <c r="F2492" s="10" t="s">
        <v>282</v>
      </c>
      <c r="G2492" s="111" t="n">
        <v>28.6</v>
      </c>
      <c r="H2492" s="152" t="n">
        <v>0</v>
      </c>
      <c r="I2492" s="111">
        <f>G2492*H2492</f>
      </c>
      <c r="J2492" s="153" t="s">
        <v>134</v>
      </c>
      <c r="K2492" s="146"/>
      <c r="Z2492" s="111">
        <f>IF(AQ2492="5",BJ2492,0)</f>
      </c>
      <c r="AB2492" s="111">
        <f>IF(AQ2492="1",BH2492,0)</f>
      </c>
      <c r="AC2492" s="111">
        <f>IF(AQ2492="1",BI2492,0)</f>
      </c>
      <c r="AD2492" s="111">
        <f>IF(AQ2492="7",BH2492,0)</f>
      </c>
      <c r="AE2492" s="111">
        <f>IF(AQ2492="7",BI2492,0)</f>
      </c>
      <c r="AF2492" s="111">
        <f>IF(AQ2492="2",BH2492,0)</f>
      </c>
      <c r="AG2492" s="111">
        <f>IF(AQ2492="2",BI2492,0)</f>
      </c>
      <c r="AH2492" s="111">
        <f>IF(AQ2492="0",BJ2492,0)</f>
      </c>
      <c r="AI2492" s="132" t="s">
        <v>87</v>
      </c>
      <c r="AJ2492" s="111">
        <f>IF(AN2492=0,I2492,0)</f>
      </c>
      <c r="AK2492" s="111">
        <f>IF(AN2492=12,I2492,0)</f>
      </c>
      <c r="AL2492" s="111">
        <f>IF(AN2492=21,I2492,0)</f>
      </c>
      <c r="AN2492" s="111" t="n">
        <v>21</v>
      </c>
      <c r="AO2492" s="111">
        <f>H2492*1</f>
      </c>
      <c r="AP2492" s="111">
        <f>H2492*(1-1)</f>
      </c>
      <c r="AQ2492" s="153" t="s">
        <v>3759</v>
      </c>
      <c r="AV2492" s="111">
        <f>AW2492+AX2492</f>
      </c>
      <c r="AW2492" s="111">
        <f>G2492*AO2492</f>
      </c>
      <c r="AX2492" s="111">
        <f>G2492*AP2492</f>
      </c>
      <c r="AY2492" s="153" t="s">
        <v>3760</v>
      </c>
      <c r="AZ2492" s="153" t="s">
        <v>3761</v>
      </c>
      <c r="BA2492" s="132" t="s">
        <v>2990</v>
      </c>
      <c r="BC2492" s="111">
        <f>AW2492+AX2492</f>
      </c>
      <c r="BD2492" s="111">
        <f>H2492/(100-BE2492)*100</f>
      </c>
      <c r="BE2492" s="111" t="n">
        <v>0</v>
      </c>
      <c r="BF2492" s="111">
        <f>2492</f>
      </c>
      <c r="BH2492" s="111">
        <f>G2492*AO2492</f>
      </c>
      <c r="BI2492" s="111">
        <f>G2492*AP2492</f>
      </c>
      <c r="BJ2492" s="111">
        <f>G2492*H2492</f>
      </c>
      <c r="BK2492" s="111"/>
      <c r="BL2492" s="111"/>
      <c r="BW2492" s="111" t="n">
        <v>21</v>
      </c>
      <c r="BX2492" s="14" t="s">
        <v>3792</v>
      </c>
    </row>
    <row r="2493">
      <c r="A2493" s="154"/>
      <c r="B2493" s="155"/>
      <c r="C2493" s="155"/>
      <c r="D2493" s="156" t="s">
        <v>310</v>
      </c>
      <c r="E2493" s="156" t="s">
        <v>4</v>
      </c>
      <c r="F2493" s="155"/>
      <c r="G2493" s="157" t="n">
        <v>26</v>
      </c>
      <c r="H2493" s="158"/>
      <c r="I2493" s="155"/>
      <c r="J2493" s="155"/>
      <c r="K2493" s="146"/>
    </row>
    <row r="2494">
      <c r="A2494" s="154"/>
      <c r="B2494" s="155"/>
      <c r="C2494" s="155"/>
      <c r="D2494" s="156" t="s">
        <v>3793</v>
      </c>
      <c r="E2494" s="156" t="s">
        <v>4</v>
      </c>
      <c r="F2494" s="155"/>
      <c r="G2494" s="157" t="n">
        <v>2.6</v>
      </c>
      <c r="H2494" s="158"/>
      <c r="I2494" s="155"/>
      <c r="J2494" s="155"/>
      <c r="K2494" s="146"/>
    </row>
    <row r="2495">
      <c r="A2495" s="9" t="s">
        <v>3794</v>
      </c>
      <c r="B2495" s="10" t="s">
        <v>87</v>
      </c>
      <c r="C2495" s="10" t="s">
        <v>3795</v>
      </c>
      <c r="D2495" s="14" t="s">
        <v>3796</v>
      </c>
      <c r="E2495" s="10"/>
      <c r="F2495" s="10" t="s">
        <v>133</v>
      </c>
      <c r="G2495" s="111" t="n">
        <v>2</v>
      </c>
      <c r="H2495" s="152" t="n">
        <v>0</v>
      </c>
      <c r="I2495" s="111">
        <f>G2495*H2495</f>
      </c>
      <c r="J2495" s="153" t="s">
        <v>134</v>
      </c>
      <c r="K2495" s="146"/>
      <c r="Z2495" s="111">
        <f>IF(AQ2495="5",BJ2495,0)</f>
      </c>
      <c r="AB2495" s="111">
        <f>IF(AQ2495="1",BH2495,0)</f>
      </c>
      <c r="AC2495" s="111">
        <f>IF(AQ2495="1",BI2495,0)</f>
      </c>
      <c r="AD2495" s="111">
        <f>IF(AQ2495="7",BH2495,0)</f>
      </c>
      <c r="AE2495" s="111">
        <f>IF(AQ2495="7",BI2495,0)</f>
      </c>
      <c r="AF2495" s="111">
        <f>IF(AQ2495="2",BH2495,0)</f>
      </c>
      <c r="AG2495" s="111">
        <f>IF(AQ2495="2",BI2495,0)</f>
      </c>
      <c r="AH2495" s="111">
        <f>IF(AQ2495="0",BJ2495,0)</f>
      </c>
      <c r="AI2495" s="132" t="s">
        <v>87</v>
      </c>
      <c r="AJ2495" s="111">
        <f>IF(AN2495=0,I2495,0)</f>
      </c>
      <c r="AK2495" s="111">
        <f>IF(AN2495=12,I2495,0)</f>
      </c>
      <c r="AL2495" s="111">
        <f>IF(AN2495=21,I2495,0)</f>
      </c>
      <c r="AN2495" s="111" t="n">
        <v>21</v>
      </c>
      <c r="AO2495" s="111">
        <f>H2495*1</f>
      </c>
      <c r="AP2495" s="111">
        <f>H2495*(1-1)</f>
      </c>
      <c r="AQ2495" s="153" t="s">
        <v>3759</v>
      </c>
      <c r="AV2495" s="111">
        <f>AW2495+AX2495</f>
      </c>
      <c r="AW2495" s="111">
        <f>G2495*AO2495</f>
      </c>
      <c r="AX2495" s="111">
        <f>G2495*AP2495</f>
      </c>
      <c r="AY2495" s="153" t="s">
        <v>3760</v>
      </c>
      <c r="AZ2495" s="153" t="s">
        <v>3761</v>
      </c>
      <c r="BA2495" s="132" t="s">
        <v>2990</v>
      </c>
      <c r="BC2495" s="111">
        <f>AW2495+AX2495</f>
      </c>
      <c r="BD2495" s="111">
        <f>H2495/(100-BE2495)*100</f>
      </c>
      <c r="BE2495" s="111" t="n">
        <v>0</v>
      </c>
      <c r="BF2495" s="111">
        <f>2495</f>
      </c>
      <c r="BH2495" s="111">
        <f>G2495*AO2495</f>
      </c>
      <c r="BI2495" s="111">
        <f>G2495*AP2495</f>
      </c>
      <c r="BJ2495" s="111">
        <f>G2495*H2495</f>
      </c>
      <c r="BK2495" s="111"/>
      <c r="BL2495" s="111"/>
      <c r="BW2495" s="111" t="n">
        <v>21</v>
      </c>
      <c r="BX2495" s="14" t="s">
        <v>3796</v>
      </c>
    </row>
    <row r="2496">
      <c r="A2496" s="154"/>
      <c r="B2496" s="155"/>
      <c r="C2496" s="155"/>
      <c r="D2496" s="156" t="s">
        <v>140</v>
      </c>
      <c r="E2496" s="156" t="s">
        <v>4</v>
      </c>
      <c r="F2496" s="155"/>
      <c r="G2496" s="157" t="n">
        <v>2</v>
      </c>
      <c r="H2496" s="158"/>
      <c r="I2496" s="155"/>
      <c r="J2496" s="155"/>
      <c r="K2496" s="146"/>
    </row>
    <row r="2497">
      <c r="A2497" s="9" t="s">
        <v>3797</v>
      </c>
      <c r="B2497" s="10" t="s">
        <v>87</v>
      </c>
      <c r="C2497" s="10" t="s">
        <v>3798</v>
      </c>
      <c r="D2497" s="14" t="s">
        <v>3799</v>
      </c>
      <c r="E2497" s="10"/>
      <c r="F2497" s="10" t="s">
        <v>133</v>
      </c>
      <c r="G2497" s="111" t="n">
        <v>1</v>
      </c>
      <c r="H2497" s="152" t="n">
        <v>0</v>
      </c>
      <c r="I2497" s="111">
        <f>G2497*H2497</f>
      </c>
      <c r="J2497" s="153" t="s">
        <v>134</v>
      </c>
      <c r="K2497" s="146"/>
      <c r="Z2497" s="111">
        <f>IF(AQ2497="5",BJ2497,0)</f>
      </c>
      <c r="AB2497" s="111">
        <f>IF(AQ2497="1",BH2497,0)</f>
      </c>
      <c r="AC2497" s="111">
        <f>IF(AQ2497="1",BI2497,0)</f>
      </c>
      <c r="AD2497" s="111">
        <f>IF(AQ2497="7",BH2497,0)</f>
      </c>
      <c r="AE2497" s="111">
        <f>IF(AQ2497="7",BI2497,0)</f>
      </c>
      <c r="AF2497" s="111">
        <f>IF(AQ2497="2",BH2497,0)</f>
      </c>
      <c r="AG2497" s="111">
        <f>IF(AQ2497="2",BI2497,0)</f>
      </c>
      <c r="AH2497" s="111">
        <f>IF(AQ2497="0",BJ2497,0)</f>
      </c>
      <c r="AI2497" s="132" t="s">
        <v>87</v>
      </c>
      <c r="AJ2497" s="111">
        <f>IF(AN2497=0,I2497,0)</f>
      </c>
      <c r="AK2497" s="111">
        <f>IF(AN2497=12,I2497,0)</f>
      </c>
      <c r="AL2497" s="111">
        <f>IF(AN2497=21,I2497,0)</f>
      </c>
      <c r="AN2497" s="111" t="n">
        <v>21</v>
      </c>
      <c r="AO2497" s="111">
        <f>H2497*1</f>
      </c>
      <c r="AP2497" s="111">
        <f>H2497*(1-1)</f>
      </c>
      <c r="AQ2497" s="153" t="s">
        <v>3759</v>
      </c>
      <c r="AV2497" s="111">
        <f>AW2497+AX2497</f>
      </c>
      <c r="AW2497" s="111">
        <f>G2497*AO2497</f>
      </c>
      <c r="AX2497" s="111">
        <f>G2497*AP2497</f>
      </c>
      <c r="AY2497" s="153" t="s">
        <v>3760</v>
      </c>
      <c r="AZ2497" s="153" t="s">
        <v>3761</v>
      </c>
      <c r="BA2497" s="132" t="s">
        <v>2990</v>
      </c>
      <c r="BC2497" s="111">
        <f>AW2497+AX2497</f>
      </c>
      <c r="BD2497" s="111">
        <f>H2497/(100-BE2497)*100</f>
      </c>
      <c r="BE2497" s="111" t="n">
        <v>0</v>
      </c>
      <c r="BF2497" s="111">
        <f>2497</f>
      </c>
      <c r="BH2497" s="111">
        <f>G2497*AO2497</f>
      </c>
      <c r="BI2497" s="111">
        <f>G2497*AP2497</f>
      </c>
      <c r="BJ2497" s="111">
        <f>G2497*H2497</f>
      </c>
      <c r="BK2497" s="111"/>
      <c r="BL2497" s="111"/>
      <c r="BW2497" s="111" t="n">
        <v>21</v>
      </c>
      <c r="BX2497" s="14" t="s">
        <v>3799</v>
      </c>
    </row>
    <row r="2498">
      <c r="A2498" s="154"/>
      <c r="B2498" s="155"/>
      <c r="C2498" s="155"/>
      <c r="D2498" s="156" t="s">
        <v>130</v>
      </c>
      <c r="E2498" s="156" t="s">
        <v>4</v>
      </c>
      <c r="F2498" s="155"/>
      <c r="G2498" s="157" t="n">
        <v>1</v>
      </c>
      <c r="H2498" s="158"/>
      <c r="I2498" s="155"/>
      <c r="J2498" s="155"/>
      <c r="K2498" s="146"/>
    </row>
    <row r="2499">
      <c r="A2499" s="9" t="s">
        <v>3800</v>
      </c>
      <c r="B2499" s="10" t="s">
        <v>87</v>
      </c>
      <c r="C2499" s="10" t="s">
        <v>3801</v>
      </c>
      <c r="D2499" s="14" t="s">
        <v>3802</v>
      </c>
      <c r="E2499" s="10"/>
      <c r="F2499" s="10" t="s">
        <v>133</v>
      </c>
      <c r="G2499" s="111" t="n">
        <v>2</v>
      </c>
      <c r="H2499" s="152" t="n">
        <v>0</v>
      </c>
      <c r="I2499" s="111">
        <f>G2499*H2499</f>
      </c>
      <c r="J2499" s="153" t="s">
        <v>134</v>
      </c>
      <c r="K2499" s="146"/>
      <c r="Z2499" s="111">
        <f>IF(AQ2499="5",BJ2499,0)</f>
      </c>
      <c r="AB2499" s="111">
        <f>IF(AQ2499="1",BH2499,0)</f>
      </c>
      <c r="AC2499" s="111">
        <f>IF(AQ2499="1",BI2499,0)</f>
      </c>
      <c r="AD2499" s="111">
        <f>IF(AQ2499="7",BH2499,0)</f>
      </c>
      <c r="AE2499" s="111">
        <f>IF(AQ2499="7",BI2499,0)</f>
      </c>
      <c r="AF2499" s="111">
        <f>IF(AQ2499="2",BH2499,0)</f>
      </c>
      <c r="AG2499" s="111">
        <f>IF(AQ2499="2",BI2499,0)</f>
      </c>
      <c r="AH2499" s="111">
        <f>IF(AQ2499="0",BJ2499,0)</f>
      </c>
      <c r="AI2499" s="132" t="s">
        <v>87</v>
      </c>
      <c r="AJ2499" s="111">
        <f>IF(AN2499=0,I2499,0)</f>
      </c>
      <c r="AK2499" s="111">
        <f>IF(AN2499=12,I2499,0)</f>
      </c>
      <c r="AL2499" s="111">
        <f>IF(AN2499=21,I2499,0)</f>
      </c>
      <c r="AN2499" s="111" t="n">
        <v>21</v>
      </c>
      <c r="AO2499" s="111">
        <f>H2499*1</f>
      </c>
      <c r="AP2499" s="111">
        <f>H2499*(1-1)</f>
      </c>
      <c r="AQ2499" s="153" t="s">
        <v>3759</v>
      </c>
      <c r="AV2499" s="111">
        <f>AW2499+AX2499</f>
      </c>
      <c r="AW2499" s="111">
        <f>G2499*AO2499</f>
      </c>
      <c r="AX2499" s="111">
        <f>G2499*AP2499</f>
      </c>
      <c r="AY2499" s="153" t="s">
        <v>3760</v>
      </c>
      <c r="AZ2499" s="153" t="s">
        <v>3761</v>
      </c>
      <c r="BA2499" s="132" t="s">
        <v>2990</v>
      </c>
      <c r="BC2499" s="111">
        <f>AW2499+AX2499</f>
      </c>
      <c r="BD2499" s="111">
        <f>H2499/(100-BE2499)*100</f>
      </c>
      <c r="BE2499" s="111" t="n">
        <v>0</v>
      </c>
      <c r="BF2499" s="111">
        <f>2499</f>
      </c>
      <c r="BH2499" s="111">
        <f>G2499*AO2499</f>
      </c>
      <c r="BI2499" s="111">
        <f>G2499*AP2499</f>
      </c>
      <c r="BJ2499" s="111">
        <f>G2499*H2499</f>
      </c>
      <c r="BK2499" s="111"/>
      <c r="BL2499" s="111"/>
      <c r="BW2499" s="111" t="n">
        <v>21</v>
      </c>
      <c r="BX2499" s="14" t="s">
        <v>3802</v>
      </c>
    </row>
    <row r="2500">
      <c r="A2500" s="154"/>
      <c r="B2500" s="155"/>
      <c r="C2500" s="155"/>
      <c r="D2500" s="156" t="s">
        <v>140</v>
      </c>
      <c r="E2500" s="156" t="s">
        <v>4</v>
      </c>
      <c r="F2500" s="155"/>
      <c r="G2500" s="157" t="n">
        <v>2</v>
      </c>
      <c r="H2500" s="158"/>
      <c r="I2500" s="155"/>
      <c r="J2500" s="155"/>
      <c r="K2500" s="146"/>
    </row>
    <row r="2501">
      <c r="A2501" s="9" t="s">
        <v>3803</v>
      </c>
      <c r="B2501" s="10" t="s">
        <v>87</v>
      </c>
      <c r="C2501" s="10" t="s">
        <v>3804</v>
      </c>
      <c r="D2501" s="14" t="s">
        <v>3805</v>
      </c>
      <c r="E2501" s="10"/>
      <c r="F2501" s="10" t="s">
        <v>133</v>
      </c>
      <c r="G2501" s="111" t="n">
        <v>2</v>
      </c>
      <c r="H2501" s="152" t="n">
        <v>0</v>
      </c>
      <c r="I2501" s="111">
        <f>G2501*H2501</f>
      </c>
      <c r="J2501" s="153" t="s">
        <v>134</v>
      </c>
      <c r="K2501" s="146"/>
      <c r="Z2501" s="111">
        <f>IF(AQ2501="5",BJ2501,0)</f>
      </c>
      <c r="AB2501" s="111">
        <f>IF(AQ2501="1",BH2501,0)</f>
      </c>
      <c r="AC2501" s="111">
        <f>IF(AQ2501="1",BI2501,0)</f>
      </c>
      <c r="AD2501" s="111">
        <f>IF(AQ2501="7",BH2501,0)</f>
      </c>
      <c r="AE2501" s="111">
        <f>IF(AQ2501="7",BI2501,0)</f>
      </c>
      <c r="AF2501" s="111">
        <f>IF(AQ2501="2",BH2501,0)</f>
      </c>
      <c r="AG2501" s="111">
        <f>IF(AQ2501="2",BI2501,0)</f>
      </c>
      <c r="AH2501" s="111">
        <f>IF(AQ2501="0",BJ2501,0)</f>
      </c>
      <c r="AI2501" s="132" t="s">
        <v>87</v>
      </c>
      <c r="AJ2501" s="111">
        <f>IF(AN2501=0,I2501,0)</f>
      </c>
      <c r="AK2501" s="111">
        <f>IF(AN2501=12,I2501,0)</f>
      </c>
      <c r="AL2501" s="111">
        <f>IF(AN2501=21,I2501,0)</f>
      </c>
      <c r="AN2501" s="111" t="n">
        <v>21</v>
      </c>
      <c r="AO2501" s="111">
        <f>H2501*1</f>
      </c>
      <c r="AP2501" s="111">
        <f>H2501*(1-1)</f>
      </c>
      <c r="AQ2501" s="153" t="s">
        <v>3759</v>
      </c>
      <c r="AV2501" s="111">
        <f>AW2501+AX2501</f>
      </c>
      <c r="AW2501" s="111">
        <f>G2501*AO2501</f>
      </c>
      <c r="AX2501" s="111">
        <f>G2501*AP2501</f>
      </c>
      <c r="AY2501" s="153" t="s">
        <v>3760</v>
      </c>
      <c r="AZ2501" s="153" t="s">
        <v>3761</v>
      </c>
      <c r="BA2501" s="132" t="s">
        <v>2990</v>
      </c>
      <c r="BC2501" s="111">
        <f>AW2501+AX2501</f>
      </c>
      <c r="BD2501" s="111">
        <f>H2501/(100-BE2501)*100</f>
      </c>
      <c r="BE2501" s="111" t="n">
        <v>0</v>
      </c>
      <c r="BF2501" s="111">
        <f>2501</f>
      </c>
      <c r="BH2501" s="111">
        <f>G2501*AO2501</f>
      </c>
      <c r="BI2501" s="111">
        <f>G2501*AP2501</f>
      </c>
      <c r="BJ2501" s="111">
        <f>G2501*H2501</f>
      </c>
      <c r="BK2501" s="111"/>
      <c r="BL2501" s="111"/>
      <c r="BW2501" s="111" t="n">
        <v>21</v>
      </c>
      <c r="BX2501" s="14" t="s">
        <v>3805</v>
      </c>
    </row>
    <row r="2502">
      <c r="A2502" s="154"/>
      <c r="B2502" s="155"/>
      <c r="C2502" s="155"/>
      <c r="D2502" s="156" t="s">
        <v>140</v>
      </c>
      <c r="E2502" s="156" t="s">
        <v>4</v>
      </c>
      <c r="F2502" s="155"/>
      <c r="G2502" s="157" t="n">
        <v>2</v>
      </c>
      <c r="H2502" s="158"/>
      <c r="I2502" s="155"/>
      <c r="J2502" s="155"/>
      <c r="K2502" s="146"/>
    </row>
    <row r="2503">
      <c r="A2503" s="9" t="s">
        <v>3806</v>
      </c>
      <c r="B2503" s="10" t="s">
        <v>87</v>
      </c>
      <c r="C2503" s="10" t="s">
        <v>3807</v>
      </c>
      <c r="D2503" s="14" t="s">
        <v>3808</v>
      </c>
      <c r="E2503" s="10"/>
      <c r="F2503" s="10" t="s">
        <v>133</v>
      </c>
      <c r="G2503" s="111" t="n">
        <v>2</v>
      </c>
      <c r="H2503" s="152" t="n">
        <v>0</v>
      </c>
      <c r="I2503" s="111">
        <f>G2503*H2503</f>
      </c>
      <c r="J2503" s="153" t="s">
        <v>134</v>
      </c>
      <c r="K2503" s="146"/>
      <c r="Z2503" s="111">
        <f>IF(AQ2503="5",BJ2503,0)</f>
      </c>
      <c r="AB2503" s="111">
        <f>IF(AQ2503="1",BH2503,0)</f>
      </c>
      <c r="AC2503" s="111">
        <f>IF(AQ2503="1",BI2503,0)</f>
      </c>
      <c r="AD2503" s="111">
        <f>IF(AQ2503="7",BH2503,0)</f>
      </c>
      <c r="AE2503" s="111">
        <f>IF(AQ2503="7",BI2503,0)</f>
      </c>
      <c r="AF2503" s="111">
        <f>IF(AQ2503="2",BH2503,0)</f>
      </c>
      <c r="AG2503" s="111">
        <f>IF(AQ2503="2",BI2503,0)</f>
      </c>
      <c r="AH2503" s="111">
        <f>IF(AQ2503="0",BJ2503,0)</f>
      </c>
      <c r="AI2503" s="132" t="s">
        <v>87</v>
      </c>
      <c r="AJ2503" s="111">
        <f>IF(AN2503=0,I2503,0)</f>
      </c>
      <c r="AK2503" s="111">
        <f>IF(AN2503=12,I2503,0)</f>
      </c>
      <c r="AL2503" s="111">
        <f>IF(AN2503=21,I2503,0)</f>
      </c>
      <c r="AN2503" s="111" t="n">
        <v>21</v>
      </c>
      <c r="AO2503" s="111">
        <f>H2503*1</f>
      </c>
      <c r="AP2503" s="111">
        <f>H2503*(1-1)</f>
      </c>
      <c r="AQ2503" s="153" t="s">
        <v>3759</v>
      </c>
      <c r="AV2503" s="111">
        <f>AW2503+AX2503</f>
      </c>
      <c r="AW2503" s="111">
        <f>G2503*AO2503</f>
      </c>
      <c r="AX2503" s="111">
        <f>G2503*AP2503</f>
      </c>
      <c r="AY2503" s="153" t="s">
        <v>3760</v>
      </c>
      <c r="AZ2503" s="153" t="s">
        <v>3761</v>
      </c>
      <c r="BA2503" s="132" t="s">
        <v>2990</v>
      </c>
      <c r="BC2503" s="111">
        <f>AW2503+AX2503</f>
      </c>
      <c r="BD2503" s="111">
        <f>H2503/(100-BE2503)*100</f>
      </c>
      <c r="BE2503" s="111" t="n">
        <v>0</v>
      </c>
      <c r="BF2503" s="111">
        <f>2503</f>
      </c>
      <c r="BH2503" s="111">
        <f>G2503*AO2503</f>
      </c>
      <c r="BI2503" s="111">
        <f>G2503*AP2503</f>
      </c>
      <c r="BJ2503" s="111">
        <f>G2503*H2503</f>
      </c>
      <c r="BK2503" s="111"/>
      <c r="BL2503" s="111"/>
      <c r="BW2503" s="111" t="n">
        <v>21</v>
      </c>
      <c r="BX2503" s="14" t="s">
        <v>3808</v>
      </c>
    </row>
    <row r="2504">
      <c r="A2504" s="154"/>
      <c r="B2504" s="155"/>
      <c r="C2504" s="155"/>
      <c r="D2504" s="156" t="s">
        <v>140</v>
      </c>
      <c r="E2504" s="156" t="s">
        <v>4</v>
      </c>
      <c r="F2504" s="155"/>
      <c r="G2504" s="157" t="n">
        <v>2</v>
      </c>
      <c r="H2504" s="158"/>
      <c r="I2504" s="155"/>
      <c r="J2504" s="155"/>
      <c r="K2504" s="146"/>
    </row>
    <row r="2505">
      <c r="A2505" s="9" t="s">
        <v>3809</v>
      </c>
      <c r="B2505" s="10" t="s">
        <v>87</v>
      </c>
      <c r="C2505" s="10" t="s">
        <v>3810</v>
      </c>
      <c r="D2505" s="14" t="s">
        <v>3811</v>
      </c>
      <c r="E2505" s="10"/>
      <c r="F2505" s="10" t="s">
        <v>133</v>
      </c>
      <c r="G2505" s="111" t="n">
        <v>2</v>
      </c>
      <c r="H2505" s="152" t="n">
        <v>0</v>
      </c>
      <c r="I2505" s="111">
        <f>G2505*H2505</f>
      </c>
      <c r="J2505" s="153" t="s">
        <v>134</v>
      </c>
      <c r="K2505" s="146"/>
      <c r="Z2505" s="111">
        <f>IF(AQ2505="5",BJ2505,0)</f>
      </c>
      <c r="AB2505" s="111">
        <f>IF(AQ2505="1",BH2505,0)</f>
      </c>
      <c r="AC2505" s="111">
        <f>IF(AQ2505="1",BI2505,0)</f>
      </c>
      <c r="AD2505" s="111">
        <f>IF(AQ2505="7",BH2505,0)</f>
      </c>
      <c r="AE2505" s="111">
        <f>IF(AQ2505="7",BI2505,0)</f>
      </c>
      <c r="AF2505" s="111">
        <f>IF(AQ2505="2",BH2505,0)</f>
      </c>
      <c r="AG2505" s="111">
        <f>IF(AQ2505="2",BI2505,0)</f>
      </c>
      <c r="AH2505" s="111">
        <f>IF(AQ2505="0",BJ2505,0)</f>
      </c>
      <c r="AI2505" s="132" t="s">
        <v>87</v>
      </c>
      <c r="AJ2505" s="111">
        <f>IF(AN2505=0,I2505,0)</f>
      </c>
      <c r="AK2505" s="111">
        <f>IF(AN2505=12,I2505,0)</f>
      </c>
      <c r="AL2505" s="111">
        <f>IF(AN2505=21,I2505,0)</f>
      </c>
      <c r="AN2505" s="111" t="n">
        <v>21</v>
      </c>
      <c r="AO2505" s="111">
        <f>H2505*1</f>
      </c>
      <c r="AP2505" s="111">
        <f>H2505*(1-1)</f>
      </c>
      <c r="AQ2505" s="153" t="s">
        <v>3759</v>
      </c>
      <c r="AV2505" s="111">
        <f>AW2505+AX2505</f>
      </c>
      <c r="AW2505" s="111">
        <f>G2505*AO2505</f>
      </c>
      <c r="AX2505" s="111">
        <f>G2505*AP2505</f>
      </c>
      <c r="AY2505" s="153" t="s">
        <v>3760</v>
      </c>
      <c r="AZ2505" s="153" t="s">
        <v>3761</v>
      </c>
      <c r="BA2505" s="132" t="s">
        <v>2990</v>
      </c>
      <c r="BC2505" s="111">
        <f>AW2505+AX2505</f>
      </c>
      <c r="BD2505" s="111">
        <f>H2505/(100-BE2505)*100</f>
      </c>
      <c r="BE2505" s="111" t="n">
        <v>0</v>
      </c>
      <c r="BF2505" s="111">
        <f>2505</f>
      </c>
      <c r="BH2505" s="111">
        <f>G2505*AO2505</f>
      </c>
      <c r="BI2505" s="111">
        <f>G2505*AP2505</f>
      </c>
      <c r="BJ2505" s="111">
        <f>G2505*H2505</f>
      </c>
      <c r="BK2505" s="111"/>
      <c r="BL2505" s="111"/>
      <c r="BW2505" s="111" t="n">
        <v>21</v>
      </c>
      <c r="BX2505" s="14" t="s">
        <v>3811</v>
      </c>
    </row>
    <row r="2506">
      <c r="A2506" s="154"/>
      <c r="B2506" s="155"/>
      <c r="C2506" s="155"/>
      <c r="D2506" s="156" t="s">
        <v>140</v>
      </c>
      <c r="E2506" s="156" t="s">
        <v>4</v>
      </c>
      <c r="F2506" s="155"/>
      <c r="G2506" s="157" t="n">
        <v>2</v>
      </c>
      <c r="H2506" s="158"/>
      <c r="I2506" s="155"/>
      <c r="J2506" s="155"/>
      <c r="K2506" s="146"/>
    </row>
    <row r="2507">
      <c r="A2507" s="9" t="s">
        <v>3812</v>
      </c>
      <c r="B2507" s="10" t="s">
        <v>87</v>
      </c>
      <c r="C2507" s="10" t="s">
        <v>3813</v>
      </c>
      <c r="D2507" s="14" t="s">
        <v>3814</v>
      </c>
      <c r="E2507" s="10"/>
      <c r="F2507" s="10" t="s">
        <v>133</v>
      </c>
      <c r="G2507" s="111" t="n">
        <v>1</v>
      </c>
      <c r="H2507" s="152" t="n">
        <v>0</v>
      </c>
      <c r="I2507" s="111">
        <f>G2507*H2507</f>
      </c>
      <c r="J2507" s="153" t="s">
        <v>134</v>
      </c>
      <c r="K2507" s="146"/>
      <c r="Z2507" s="111">
        <f>IF(AQ2507="5",BJ2507,0)</f>
      </c>
      <c r="AB2507" s="111">
        <f>IF(AQ2507="1",BH2507,0)</f>
      </c>
      <c r="AC2507" s="111">
        <f>IF(AQ2507="1",BI2507,0)</f>
      </c>
      <c r="AD2507" s="111">
        <f>IF(AQ2507="7",BH2507,0)</f>
      </c>
      <c r="AE2507" s="111">
        <f>IF(AQ2507="7",BI2507,0)</f>
      </c>
      <c r="AF2507" s="111">
        <f>IF(AQ2507="2",BH2507,0)</f>
      </c>
      <c r="AG2507" s="111">
        <f>IF(AQ2507="2",BI2507,0)</f>
      </c>
      <c r="AH2507" s="111">
        <f>IF(AQ2507="0",BJ2507,0)</f>
      </c>
      <c r="AI2507" s="132" t="s">
        <v>87</v>
      </c>
      <c r="AJ2507" s="111">
        <f>IF(AN2507=0,I2507,0)</f>
      </c>
      <c r="AK2507" s="111">
        <f>IF(AN2507=12,I2507,0)</f>
      </c>
      <c r="AL2507" s="111">
        <f>IF(AN2507=21,I2507,0)</f>
      </c>
      <c r="AN2507" s="111" t="n">
        <v>21</v>
      </c>
      <c r="AO2507" s="111">
        <f>H2507*1</f>
      </c>
      <c r="AP2507" s="111">
        <f>H2507*(1-1)</f>
      </c>
      <c r="AQ2507" s="153" t="s">
        <v>3759</v>
      </c>
      <c r="AV2507" s="111">
        <f>AW2507+AX2507</f>
      </c>
      <c r="AW2507" s="111">
        <f>G2507*AO2507</f>
      </c>
      <c r="AX2507" s="111">
        <f>G2507*AP2507</f>
      </c>
      <c r="AY2507" s="153" t="s">
        <v>3760</v>
      </c>
      <c r="AZ2507" s="153" t="s">
        <v>3761</v>
      </c>
      <c r="BA2507" s="132" t="s">
        <v>2990</v>
      </c>
      <c r="BC2507" s="111">
        <f>AW2507+AX2507</f>
      </c>
      <c r="BD2507" s="111">
        <f>H2507/(100-BE2507)*100</f>
      </c>
      <c r="BE2507" s="111" t="n">
        <v>0</v>
      </c>
      <c r="BF2507" s="111">
        <f>2507</f>
      </c>
      <c r="BH2507" s="111">
        <f>G2507*AO2507</f>
      </c>
      <c r="BI2507" s="111">
        <f>G2507*AP2507</f>
      </c>
      <c r="BJ2507" s="111">
        <f>G2507*H2507</f>
      </c>
      <c r="BK2507" s="111"/>
      <c r="BL2507" s="111"/>
      <c r="BW2507" s="111" t="n">
        <v>21</v>
      </c>
      <c r="BX2507" s="14" t="s">
        <v>3814</v>
      </c>
    </row>
    <row r="2508">
      <c r="A2508" s="154"/>
      <c r="B2508" s="155"/>
      <c r="C2508" s="155"/>
      <c r="D2508" s="156" t="s">
        <v>130</v>
      </c>
      <c r="E2508" s="156" t="s">
        <v>4</v>
      </c>
      <c r="F2508" s="155"/>
      <c r="G2508" s="157" t="n">
        <v>1</v>
      </c>
      <c r="H2508" s="158"/>
      <c r="I2508" s="155"/>
      <c r="J2508" s="155"/>
      <c r="K2508" s="146"/>
    </row>
    <row r="2509">
      <c r="A2509" s="9" t="s">
        <v>3815</v>
      </c>
      <c r="B2509" s="10" t="s">
        <v>87</v>
      </c>
      <c r="C2509" s="10" t="s">
        <v>3816</v>
      </c>
      <c r="D2509" s="14" t="s">
        <v>3817</v>
      </c>
      <c r="E2509" s="10"/>
      <c r="F2509" s="10" t="s">
        <v>133</v>
      </c>
      <c r="G2509" s="111" t="n">
        <v>4</v>
      </c>
      <c r="H2509" s="152" t="n">
        <v>0</v>
      </c>
      <c r="I2509" s="111">
        <f>G2509*H2509</f>
      </c>
      <c r="J2509" s="153" t="s">
        <v>134</v>
      </c>
      <c r="K2509" s="146"/>
      <c r="Z2509" s="111">
        <f>IF(AQ2509="5",BJ2509,0)</f>
      </c>
      <c r="AB2509" s="111">
        <f>IF(AQ2509="1",BH2509,0)</f>
      </c>
      <c r="AC2509" s="111">
        <f>IF(AQ2509="1",BI2509,0)</f>
      </c>
      <c r="AD2509" s="111">
        <f>IF(AQ2509="7",BH2509,0)</f>
      </c>
      <c r="AE2509" s="111">
        <f>IF(AQ2509="7",BI2509,0)</f>
      </c>
      <c r="AF2509" s="111">
        <f>IF(AQ2509="2",BH2509,0)</f>
      </c>
      <c r="AG2509" s="111">
        <f>IF(AQ2509="2",BI2509,0)</f>
      </c>
      <c r="AH2509" s="111">
        <f>IF(AQ2509="0",BJ2509,0)</f>
      </c>
      <c r="AI2509" s="132" t="s">
        <v>87</v>
      </c>
      <c r="AJ2509" s="111">
        <f>IF(AN2509=0,I2509,0)</f>
      </c>
      <c r="AK2509" s="111">
        <f>IF(AN2509=12,I2509,0)</f>
      </c>
      <c r="AL2509" s="111">
        <f>IF(AN2509=21,I2509,0)</f>
      </c>
      <c r="AN2509" s="111" t="n">
        <v>21</v>
      </c>
      <c r="AO2509" s="111">
        <f>H2509*1</f>
      </c>
      <c r="AP2509" s="111">
        <f>H2509*(1-1)</f>
      </c>
      <c r="AQ2509" s="153" t="s">
        <v>3759</v>
      </c>
      <c r="AV2509" s="111">
        <f>AW2509+AX2509</f>
      </c>
      <c r="AW2509" s="111">
        <f>G2509*AO2509</f>
      </c>
      <c r="AX2509" s="111">
        <f>G2509*AP2509</f>
      </c>
      <c r="AY2509" s="153" t="s">
        <v>3760</v>
      </c>
      <c r="AZ2509" s="153" t="s">
        <v>3761</v>
      </c>
      <c r="BA2509" s="132" t="s">
        <v>2990</v>
      </c>
      <c r="BC2509" s="111">
        <f>AW2509+AX2509</f>
      </c>
      <c r="BD2509" s="111">
        <f>H2509/(100-BE2509)*100</f>
      </c>
      <c r="BE2509" s="111" t="n">
        <v>0</v>
      </c>
      <c r="BF2509" s="111">
        <f>2509</f>
      </c>
      <c r="BH2509" s="111">
        <f>G2509*AO2509</f>
      </c>
      <c r="BI2509" s="111">
        <f>G2509*AP2509</f>
      </c>
      <c r="BJ2509" s="111">
        <f>G2509*H2509</f>
      </c>
      <c r="BK2509" s="111"/>
      <c r="BL2509" s="111"/>
      <c r="BW2509" s="111" t="n">
        <v>21</v>
      </c>
      <c r="BX2509" s="14" t="s">
        <v>3817</v>
      </c>
    </row>
    <row r="2510">
      <c r="A2510" s="154"/>
      <c r="B2510" s="155"/>
      <c r="C2510" s="155"/>
      <c r="D2510" s="156" t="s">
        <v>149</v>
      </c>
      <c r="E2510" s="156" t="s">
        <v>4</v>
      </c>
      <c r="F2510" s="155"/>
      <c r="G2510" s="157" t="n">
        <v>4</v>
      </c>
      <c r="H2510" s="158"/>
      <c r="I2510" s="155"/>
      <c r="J2510" s="155"/>
      <c r="K2510" s="146"/>
    </row>
    <row r="2511">
      <c r="A2511" s="9" t="s">
        <v>3818</v>
      </c>
      <c r="B2511" s="10" t="s">
        <v>87</v>
      </c>
      <c r="C2511" s="10" t="s">
        <v>3819</v>
      </c>
      <c r="D2511" s="14" t="s">
        <v>3820</v>
      </c>
      <c r="E2511" s="10"/>
      <c r="F2511" s="10" t="s">
        <v>133</v>
      </c>
      <c r="G2511" s="111" t="n">
        <v>2</v>
      </c>
      <c r="H2511" s="152" t="n">
        <v>0</v>
      </c>
      <c r="I2511" s="111">
        <f>G2511*H2511</f>
      </c>
      <c r="J2511" s="153" t="s">
        <v>134</v>
      </c>
      <c r="K2511" s="146"/>
      <c r="Z2511" s="111">
        <f>IF(AQ2511="5",BJ2511,0)</f>
      </c>
      <c r="AB2511" s="111">
        <f>IF(AQ2511="1",BH2511,0)</f>
      </c>
      <c r="AC2511" s="111">
        <f>IF(AQ2511="1",BI2511,0)</f>
      </c>
      <c r="AD2511" s="111">
        <f>IF(AQ2511="7",BH2511,0)</f>
      </c>
      <c r="AE2511" s="111">
        <f>IF(AQ2511="7",BI2511,0)</f>
      </c>
      <c r="AF2511" s="111">
        <f>IF(AQ2511="2",BH2511,0)</f>
      </c>
      <c r="AG2511" s="111">
        <f>IF(AQ2511="2",BI2511,0)</f>
      </c>
      <c r="AH2511" s="111">
        <f>IF(AQ2511="0",BJ2511,0)</f>
      </c>
      <c r="AI2511" s="132" t="s">
        <v>87</v>
      </c>
      <c r="AJ2511" s="111">
        <f>IF(AN2511=0,I2511,0)</f>
      </c>
      <c r="AK2511" s="111">
        <f>IF(AN2511=12,I2511,0)</f>
      </c>
      <c r="AL2511" s="111">
        <f>IF(AN2511=21,I2511,0)</f>
      </c>
      <c r="AN2511" s="111" t="n">
        <v>21</v>
      </c>
      <c r="AO2511" s="111">
        <f>H2511*1</f>
      </c>
      <c r="AP2511" s="111">
        <f>H2511*(1-1)</f>
      </c>
      <c r="AQ2511" s="153" t="s">
        <v>3759</v>
      </c>
      <c r="AV2511" s="111">
        <f>AW2511+AX2511</f>
      </c>
      <c r="AW2511" s="111">
        <f>G2511*AO2511</f>
      </c>
      <c r="AX2511" s="111">
        <f>G2511*AP2511</f>
      </c>
      <c r="AY2511" s="153" t="s">
        <v>3760</v>
      </c>
      <c r="AZ2511" s="153" t="s">
        <v>3761</v>
      </c>
      <c r="BA2511" s="132" t="s">
        <v>2990</v>
      </c>
      <c r="BC2511" s="111">
        <f>AW2511+AX2511</f>
      </c>
      <c r="BD2511" s="111">
        <f>H2511/(100-BE2511)*100</f>
      </c>
      <c r="BE2511" s="111" t="n">
        <v>0</v>
      </c>
      <c r="BF2511" s="111">
        <f>2511</f>
      </c>
      <c r="BH2511" s="111">
        <f>G2511*AO2511</f>
      </c>
      <c r="BI2511" s="111">
        <f>G2511*AP2511</f>
      </c>
      <c r="BJ2511" s="111">
        <f>G2511*H2511</f>
      </c>
      <c r="BK2511" s="111"/>
      <c r="BL2511" s="111"/>
      <c r="BW2511" s="111" t="n">
        <v>21</v>
      </c>
      <c r="BX2511" s="14" t="s">
        <v>3820</v>
      </c>
    </row>
    <row r="2512">
      <c r="A2512" s="154"/>
      <c r="B2512" s="155"/>
      <c r="C2512" s="155"/>
      <c r="D2512" s="156" t="s">
        <v>140</v>
      </c>
      <c r="E2512" s="156" t="s">
        <v>4</v>
      </c>
      <c r="F2512" s="155"/>
      <c r="G2512" s="157" t="n">
        <v>2</v>
      </c>
      <c r="H2512" s="158"/>
      <c r="I2512" s="155"/>
      <c r="J2512" s="155"/>
      <c r="K2512" s="146"/>
    </row>
    <row r="2513">
      <c r="A2513" s="9" t="s">
        <v>1614</v>
      </c>
      <c r="B2513" s="10" t="s">
        <v>87</v>
      </c>
      <c r="C2513" s="10" t="s">
        <v>3821</v>
      </c>
      <c r="D2513" s="14" t="s">
        <v>3822</v>
      </c>
      <c r="E2513" s="10"/>
      <c r="F2513" s="10" t="s">
        <v>282</v>
      </c>
      <c r="G2513" s="111" t="n">
        <v>56</v>
      </c>
      <c r="H2513" s="152" t="n">
        <v>0</v>
      </c>
      <c r="I2513" s="111">
        <f>G2513*H2513</f>
      </c>
      <c r="J2513" s="153" t="s">
        <v>134</v>
      </c>
      <c r="K2513" s="146"/>
      <c r="Z2513" s="111">
        <f>IF(AQ2513="5",BJ2513,0)</f>
      </c>
      <c r="AB2513" s="111">
        <f>IF(AQ2513="1",BH2513,0)</f>
      </c>
      <c r="AC2513" s="111">
        <f>IF(AQ2513="1",BI2513,0)</f>
      </c>
      <c r="AD2513" s="111">
        <f>IF(AQ2513="7",BH2513,0)</f>
      </c>
      <c r="AE2513" s="111">
        <f>IF(AQ2513="7",BI2513,0)</f>
      </c>
      <c r="AF2513" s="111">
        <f>IF(AQ2513="2",BH2513,0)</f>
      </c>
      <c r="AG2513" s="111">
        <f>IF(AQ2513="2",BI2513,0)</f>
      </c>
      <c r="AH2513" s="111">
        <f>IF(AQ2513="0",BJ2513,0)</f>
      </c>
      <c r="AI2513" s="132" t="s">
        <v>87</v>
      </c>
      <c r="AJ2513" s="111">
        <f>IF(AN2513=0,I2513,0)</f>
      </c>
      <c r="AK2513" s="111">
        <f>IF(AN2513=12,I2513,0)</f>
      </c>
      <c r="AL2513" s="111">
        <f>IF(AN2513=21,I2513,0)</f>
      </c>
      <c r="AN2513" s="111" t="n">
        <v>21</v>
      </c>
      <c r="AO2513" s="111">
        <f>H2513*1</f>
      </c>
      <c r="AP2513" s="111">
        <f>H2513*(1-1)</f>
      </c>
      <c r="AQ2513" s="153" t="s">
        <v>3759</v>
      </c>
      <c r="AV2513" s="111">
        <f>AW2513+AX2513</f>
      </c>
      <c r="AW2513" s="111">
        <f>G2513*AO2513</f>
      </c>
      <c r="AX2513" s="111">
        <f>G2513*AP2513</f>
      </c>
      <c r="AY2513" s="153" t="s">
        <v>3760</v>
      </c>
      <c r="AZ2513" s="153" t="s">
        <v>3761</v>
      </c>
      <c r="BA2513" s="132" t="s">
        <v>2990</v>
      </c>
      <c r="BC2513" s="111">
        <f>AW2513+AX2513</f>
      </c>
      <c r="BD2513" s="111">
        <f>H2513/(100-BE2513)*100</f>
      </c>
      <c r="BE2513" s="111" t="n">
        <v>0</v>
      </c>
      <c r="BF2513" s="111">
        <f>2513</f>
      </c>
      <c r="BH2513" s="111">
        <f>G2513*AO2513</f>
      </c>
      <c r="BI2513" s="111">
        <f>G2513*AP2513</f>
      </c>
      <c r="BJ2513" s="111">
        <f>G2513*H2513</f>
      </c>
      <c r="BK2513" s="111"/>
      <c r="BL2513" s="111"/>
      <c r="BW2513" s="111" t="n">
        <v>21</v>
      </c>
      <c r="BX2513" s="14" t="s">
        <v>3822</v>
      </c>
    </row>
    <row r="2514">
      <c r="A2514" s="154"/>
      <c r="B2514" s="155"/>
      <c r="C2514" s="155"/>
      <c r="D2514" s="156" t="s">
        <v>3823</v>
      </c>
      <c r="E2514" s="156" t="s">
        <v>4</v>
      </c>
      <c r="F2514" s="155"/>
      <c r="G2514" s="157" t="n">
        <v>56</v>
      </c>
      <c r="H2514" s="158"/>
      <c r="I2514" s="155"/>
      <c r="J2514" s="155"/>
      <c r="K2514" s="146"/>
    </row>
    <row r="2515">
      <c r="A2515" s="9" t="s">
        <v>1663</v>
      </c>
      <c r="B2515" s="10" t="s">
        <v>87</v>
      </c>
      <c r="C2515" s="10" t="s">
        <v>3824</v>
      </c>
      <c r="D2515" s="14" t="s">
        <v>3825</v>
      </c>
      <c r="E2515" s="10"/>
      <c r="F2515" s="10" t="s">
        <v>282</v>
      </c>
      <c r="G2515" s="111" t="n">
        <v>50</v>
      </c>
      <c r="H2515" s="152" t="n">
        <v>0</v>
      </c>
      <c r="I2515" s="111">
        <f>G2515*H2515</f>
      </c>
      <c r="J2515" s="153" t="s">
        <v>134</v>
      </c>
      <c r="K2515" s="146"/>
      <c r="Z2515" s="111">
        <f>IF(AQ2515="5",BJ2515,0)</f>
      </c>
      <c r="AB2515" s="111">
        <f>IF(AQ2515="1",BH2515,0)</f>
      </c>
      <c r="AC2515" s="111">
        <f>IF(AQ2515="1",BI2515,0)</f>
      </c>
      <c r="AD2515" s="111">
        <f>IF(AQ2515="7",BH2515,0)</f>
      </c>
      <c r="AE2515" s="111">
        <f>IF(AQ2515="7",BI2515,0)</f>
      </c>
      <c r="AF2515" s="111">
        <f>IF(AQ2515="2",BH2515,0)</f>
      </c>
      <c r="AG2515" s="111">
        <f>IF(AQ2515="2",BI2515,0)</f>
      </c>
      <c r="AH2515" s="111">
        <f>IF(AQ2515="0",BJ2515,0)</f>
      </c>
      <c r="AI2515" s="132" t="s">
        <v>87</v>
      </c>
      <c r="AJ2515" s="111">
        <f>IF(AN2515=0,I2515,0)</f>
      </c>
      <c r="AK2515" s="111">
        <f>IF(AN2515=12,I2515,0)</f>
      </c>
      <c r="AL2515" s="111">
        <f>IF(AN2515=21,I2515,0)</f>
      </c>
      <c r="AN2515" s="111" t="n">
        <v>21</v>
      </c>
      <c r="AO2515" s="111">
        <f>H2515*1</f>
      </c>
      <c r="AP2515" s="111">
        <f>H2515*(1-1)</f>
      </c>
      <c r="AQ2515" s="153" t="s">
        <v>3759</v>
      </c>
      <c r="AV2515" s="111">
        <f>AW2515+AX2515</f>
      </c>
      <c r="AW2515" s="111">
        <f>G2515*AO2515</f>
      </c>
      <c r="AX2515" s="111">
        <f>G2515*AP2515</f>
      </c>
      <c r="AY2515" s="153" t="s">
        <v>3760</v>
      </c>
      <c r="AZ2515" s="153" t="s">
        <v>3761</v>
      </c>
      <c r="BA2515" s="132" t="s">
        <v>2990</v>
      </c>
      <c r="BC2515" s="111">
        <f>AW2515+AX2515</f>
      </c>
      <c r="BD2515" s="111">
        <f>H2515/(100-BE2515)*100</f>
      </c>
      <c r="BE2515" s="111" t="n">
        <v>0</v>
      </c>
      <c r="BF2515" s="111">
        <f>2515</f>
      </c>
      <c r="BH2515" s="111">
        <f>G2515*AO2515</f>
      </c>
      <c r="BI2515" s="111">
        <f>G2515*AP2515</f>
      </c>
      <c r="BJ2515" s="111">
        <f>G2515*H2515</f>
      </c>
      <c r="BK2515" s="111"/>
      <c r="BL2515" s="111"/>
      <c r="BW2515" s="111" t="n">
        <v>21</v>
      </c>
      <c r="BX2515" s="14" t="s">
        <v>3825</v>
      </c>
    </row>
    <row r="2516">
      <c r="A2516" s="154"/>
      <c r="B2516" s="155"/>
      <c r="C2516" s="155"/>
      <c r="D2516" s="156" t="s">
        <v>148</v>
      </c>
      <c r="E2516" s="156" t="s">
        <v>4</v>
      </c>
      <c r="F2516" s="155"/>
      <c r="G2516" s="157" t="n">
        <v>50</v>
      </c>
      <c r="H2516" s="158"/>
      <c r="I2516" s="155"/>
      <c r="J2516" s="155"/>
      <c r="K2516" s="146"/>
    </row>
    <row r="2517">
      <c r="A2517" s="9" t="s">
        <v>1850</v>
      </c>
      <c r="B2517" s="10" t="s">
        <v>87</v>
      </c>
      <c r="C2517" s="10" t="s">
        <v>3826</v>
      </c>
      <c r="D2517" s="14" t="s">
        <v>3827</v>
      </c>
      <c r="E2517" s="10"/>
      <c r="F2517" s="10" t="s">
        <v>145</v>
      </c>
      <c r="G2517" s="111" t="n">
        <v>112</v>
      </c>
      <c r="H2517" s="152" t="n">
        <v>0</v>
      </c>
      <c r="I2517" s="111">
        <f>G2517*H2517</f>
      </c>
      <c r="J2517" s="153" t="s">
        <v>134</v>
      </c>
      <c r="K2517" s="146"/>
      <c r="Z2517" s="111">
        <f>IF(AQ2517="5",BJ2517,0)</f>
      </c>
      <c r="AB2517" s="111">
        <f>IF(AQ2517="1",BH2517,0)</f>
      </c>
      <c r="AC2517" s="111">
        <f>IF(AQ2517="1",BI2517,0)</f>
      </c>
      <c r="AD2517" s="111">
        <f>IF(AQ2517="7",BH2517,0)</f>
      </c>
      <c r="AE2517" s="111">
        <f>IF(AQ2517="7",BI2517,0)</f>
      </c>
      <c r="AF2517" s="111">
        <f>IF(AQ2517="2",BH2517,0)</f>
      </c>
      <c r="AG2517" s="111">
        <f>IF(AQ2517="2",BI2517,0)</f>
      </c>
      <c r="AH2517" s="111">
        <f>IF(AQ2517="0",BJ2517,0)</f>
      </c>
      <c r="AI2517" s="132" t="s">
        <v>87</v>
      </c>
      <c r="AJ2517" s="111">
        <f>IF(AN2517=0,I2517,0)</f>
      </c>
      <c r="AK2517" s="111">
        <f>IF(AN2517=12,I2517,0)</f>
      </c>
      <c r="AL2517" s="111">
        <f>IF(AN2517=21,I2517,0)</f>
      </c>
      <c r="AN2517" s="111" t="n">
        <v>21</v>
      </c>
      <c r="AO2517" s="111">
        <f>H2517*1</f>
      </c>
      <c r="AP2517" s="111">
        <f>H2517*(1-1)</f>
      </c>
      <c r="AQ2517" s="153" t="s">
        <v>3759</v>
      </c>
      <c r="AV2517" s="111">
        <f>AW2517+AX2517</f>
      </c>
      <c r="AW2517" s="111">
        <f>G2517*AO2517</f>
      </c>
      <c r="AX2517" s="111">
        <f>G2517*AP2517</f>
      </c>
      <c r="AY2517" s="153" t="s">
        <v>3760</v>
      </c>
      <c r="AZ2517" s="153" t="s">
        <v>3761</v>
      </c>
      <c r="BA2517" s="132" t="s">
        <v>2990</v>
      </c>
      <c r="BC2517" s="111">
        <f>AW2517+AX2517</f>
      </c>
      <c r="BD2517" s="111">
        <f>H2517/(100-BE2517)*100</f>
      </c>
      <c r="BE2517" s="111" t="n">
        <v>0</v>
      </c>
      <c r="BF2517" s="111">
        <f>2517</f>
      </c>
      <c r="BH2517" s="111">
        <f>G2517*AO2517</f>
      </c>
      <c r="BI2517" s="111">
        <f>G2517*AP2517</f>
      </c>
      <c r="BJ2517" s="111">
        <f>G2517*H2517</f>
      </c>
      <c r="BK2517" s="111"/>
      <c r="BL2517" s="111"/>
      <c r="BW2517" s="111" t="n">
        <v>21</v>
      </c>
      <c r="BX2517" s="14" t="s">
        <v>3827</v>
      </c>
    </row>
    <row r="2518">
      <c r="A2518" s="154"/>
      <c r="B2518" s="155"/>
      <c r="C2518" s="155"/>
      <c r="D2518" s="156" t="s">
        <v>878</v>
      </c>
      <c r="E2518" s="156" t="s">
        <v>4</v>
      </c>
      <c r="F2518" s="155"/>
      <c r="G2518" s="157" t="n">
        <v>112</v>
      </c>
      <c r="H2518" s="158"/>
      <c r="I2518" s="155"/>
      <c r="J2518" s="155"/>
      <c r="K2518" s="146"/>
    </row>
    <row r="2519">
      <c r="A2519" s="9" t="s">
        <v>3828</v>
      </c>
      <c r="B2519" s="10" t="s">
        <v>87</v>
      </c>
      <c r="C2519" s="10" t="s">
        <v>3829</v>
      </c>
      <c r="D2519" s="14" t="s">
        <v>3830</v>
      </c>
      <c r="E2519" s="10"/>
      <c r="F2519" s="10" t="s">
        <v>133</v>
      </c>
      <c r="G2519" s="111" t="n">
        <v>1</v>
      </c>
      <c r="H2519" s="152" t="n">
        <v>0</v>
      </c>
      <c r="I2519" s="111">
        <f>G2519*H2519</f>
      </c>
      <c r="J2519" s="153" t="s">
        <v>3003</v>
      </c>
      <c r="K2519" s="146"/>
      <c r="Z2519" s="111">
        <f>IF(AQ2519="5",BJ2519,0)</f>
      </c>
      <c r="AB2519" s="111">
        <f>IF(AQ2519="1",BH2519,0)</f>
      </c>
      <c r="AC2519" s="111">
        <f>IF(AQ2519="1",BI2519,0)</f>
      </c>
      <c r="AD2519" s="111">
        <f>IF(AQ2519="7",BH2519,0)</f>
      </c>
      <c r="AE2519" s="111">
        <f>IF(AQ2519="7",BI2519,0)</f>
      </c>
      <c r="AF2519" s="111">
        <f>IF(AQ2519="2",BH2519,0)</f>
      </c>
      <c r="AG2519" s="111">
        <f>IF(AQ2519="2",BI2519,0)</f>
      </c>
      <c r="AH2519" s="111">
        <f>IF(AQ2519="0",BJ2519,0)</f>
      </c>
      <c r="AI2519" s="132" t="s">
        <v>87</v>
      </c>
      <c r="AJ2519" s="111">
        <f>IF(AN2519=0,I2519,0)</f>
      </c>
      <c r="AK2519" s="111">
        <f>IF(AN2519=12,I2519,0)</f>
      </c>
      <c r="AL2519" s="111">
        <f>IF(AN2519=21,I2519,0)</f>
      </c>
      <c r="AN2519" s="111" t="n">
        <v>21</v>
      </c>
      <c r="AO2519" s="111">
        <f>H2519*1</f>
      </c>
      <c r="AP2519" s="111">
        <f>H2519*(1-1)</f>
      </c>
      <c r="AQ2519" s="153" t="s">
        <v>3759</v>
      </c>
      <c r="AV2519" s="111">
        <f>AW2519+AX2519</f>
      </c>
      <c r="AW2519" s="111">
        <f>G2519*AO2519</f>
      </c>
      <c r="AX2519" s="111">
        <f>G2519*AP2519</f>
      </c>
      <c r="AY2519" s="153" t="s">
        <v>3760</v>
      </c>
      <c r="AZ2519" s="153" t="s">
        <v>3761</v>
      </c>
      <c r="BA2519" s="132" t="s">
        <v>2990</v>
      </c>
      <c r="BC2519" s="111">
        <f>AW2519+AX2519</f>
      </c>
      <c r="BD2519" s="111">
        <f>H2519/(100-BE2519)*100</f>
      </c>
      <c r="BE2519" s="111" t="n">
        <v>0</v>
      </c>
      <c r="BF2519" s="111">
        <f>2519</f>
      </c>
      <c r="BH2519" s="111">
        <f>G2519*AO2519</f>
      </c>
      <c r="BI2519" s="111">
        <f>G2519*AP2519</f>
      </c>
      <c r="BJ2519" s="111">
        <f>G2519*H2519</f>
      </c>
      <c r="BK2519" s="111"/>
      <c r="BL2519" s="111"/>
      <c r="BW2519" s="111" t="n">
        <v>21</v>
      </c>
      <c r="BX2519" s="14" t="s">
        <v>3830</v>
      </c>
    </row>
    <row r="2520">
      <c r="A2520" s="154"/>
      <c r="B2520" s="155"/>
      <c r="C2520" s="155"/>
      <c r="D2520" s="156" t="s">
        <v>130</v>
      </c>
      <c r="E2520" s="156" t="s">
        <v>4</v>
      </c>
      <c r="F2520" s="155"/>
      <c r="G2520" s="157" t="n">
        <v>1</v>
      </c>
      <c r="H2520" s="158"/>
      <c r="I2520" s="155"/>
      <c r="J2520" s="155"/>
      <c r="K2520" s="146"/>
    </row>
    <row r="2521">
      <c r="A2521" s="9" t="s">
        <v>3831</v>
      </c>
      <c r="B2521" s="10" t="s">
        <v>87</v>
      </c>
      <c r="C2521" s="10" t="s">
        <v>3832</v>
      </c>
      <c r="D2521" s="14" t="s">
        <v>3833</v>
      </c>
      <c r="E2521" s="10"/>
      <c r="F2521" s="10" t="s">
        <v>133</v>
      </c>
      <c r="G2521" s="111" t="n">
        <v>5</v>
      </c>
      <c r="H2521" s="152" t="n">
        <v>0</v>
      </c>
      <c r="I2521" s="111">
        <f>G2521*H2521</f>
      </c>
      <c r="J2521" s="153" t="s">
        <v>3834</v>
      </c>
      <c r="K2521" s="146"/>
      <c r="Z2521" s="111">
        <f>IF(AQ2521="5",BJ2521,0)</f>
      </c>
      <c r="AB2521" s="111">
        <f>IF(AQ2521="1",BH2521,0)</f>
      </c>
      <c r="AC2521" s="111">
        <f>IF(AQ2521="1",BI2521,0)</f>
      </c>
      <c r="AD2521" s="111">
        <f>IF(AQ2521="7",BH2521,0)</f>
      </c>
      <c r="AE2521" s="111">
        <f>IF(AQ2521="7",BI2521,0)</f>
      </c>
      <c r="AF2521" s="111">
        <f>IF(AQ2521="2",BH2521,0)</f>
      </c>
      <c r="AG2521" s="111">
        <f>IF(AQ2521="2",BI2521,0)</f>
      </c>
      <c r="AH2521" s="111">
        <f>IF(AQ2521="0",BJ2521,0)</f>
      </c>
      <c r="AI2521" s="132" t="s">
        <v>87</v>
      </c>
      <c r="AJ2521" s="111">
        <f>IF(AN2521=0,I2521,0)</f>
      </c>
      <c r="AK2521" s="111">
        <f>IF(AN2521=12,I2521,0)</f>
      </c>
      <c r="AL2521" s="111">
        <f>IF(AN2521=21,I2521,0)</f>
      </c>
      <c r="AN2521" s="111" t="n">
        <v>21</v>
      </c>
      <c r="AO2521" s="111">
        <f>H2521*1</f>
      </c>
      <c r="AP2521" s="111">
        <f>H2521*(1-1)</f>
      </c>
      <c r="AQ2521" s="153" t="s">
        <v>3759</v>
      </c>
      <c r="AV2521" s="111">
        <f>AW2521+AX2521</f>
      </c>
      <c r="AW2521" s="111">
        <f>G2521*AO2521</f>
      </c>
      <c r="AX2521" s="111">
        <f>G2521*AP2521</f>
      </c>
      <c r="AY2521" s="153" t="s">
        <v>3760</v>
      </c>
      <c r="AZ2521" s="153" t="s">
        <v>3761</v>
      </c>
      <c r="BA2521" s="132" t="s">
        <v>2990</v>
      </c>
      <c r="BC2521" s="111">
        <f>AW2521+AX2521</f>
      </c>
      <c r="BD2521" s="111">
        <f>H2521/(100-BE2521)*100</f>
      </c>
      <c r="BE2521" s="111" t="n">
        <v>0</v>
      </c>
      <c r="BF2521" s="111">
        <f>2521</f>
      </c>
      <c r="BH2521" s="111">
        <f>G2521*AO2521</f>
      </c>
      <c r="BI2521" s="111">
        <f>G2521*AP2521</f>
      </c>
      <c r="BJ2521" s="111">
        <f>G2521*H2521</f>
      </c>
      <c r="BK2521" s="111"/>
      <c r="BL2521" s="111"/>
      <c r="BW2521" s="111" t="n">
        <v>21</v>
      </c>
      <c r="BX2521" s="14" t="s">
        <v>3833</v>
      </c>
    </row>
    <row r="2522">
      <c r="A2522" s="154"/>
      <c r="B2522" s="155"/>
      <c r="C2522" s="155"/>
      <c r="D2522" s="156" t="s">
        <v>156</v>
      </c>
      <c r="E2522" s="156" t="s">
        <v>4</v>
      </c>
      <c r="F2522" s="155"/>
      <c r="G2522" s="157" t="n">
        <v>5</v>
      </c>
      <c r="H2522" s="158"/>
      <c r="I2522" s="155"/>
      <c r="J2522" s="155"/>
      <c r="K2522" s="146"/>
    </row>
    <row r="2523">
      <c r="A2523" s="9" t="s">
        <v>3835</v>
      </c>
      <c r="B2523" s="10" t="s">
        <v>87</v>
      </c>
      <c r="C2523" s="10" t="s">
        <v>3836</v>
      </c>
      <c r="D2523" s="14" t="s">
        <v>3837</v>
      </c>
      <c r="E2523" s="10"/>
      <c r="F2523" s="10" t="s">
        <v>133</v>
      </c>
      <c r="G2523" s="111" t="n">
        <v>1</v>
      </c>
      <c r="H2523" s="152" t="n">
        <v>0</v>
      </c>
      <c r="I2523" s="111">
        <f>G2523*H2523</f>
      </c>
      <c r="J2523" s="153" t="s">
        <v>3003</v>
      </c>
      <c r="K2523" s="146"/>
      <c r="Z2523" s="111">
        <f>IF(AQ2523="5",BJ2523,0)</f>
      </c>
      <c r="AB2523" s="111">
        <f>IF(AQ2523="1",BH2523,0)</f>
      </c>
      <c r="AC2523" s="111">
        <f>IF(AQ2523="1",BI2523,0)</f>
      </c>
      <c r="AD2523" s="111">
        <f>IF(AQ2523="7",BH2523,0)</f>
      </c>
      <c r="AE2523" s="111">
        <f>IF(AQ2523="7",BI2523,0)</f>
      </c>
      <c r="AF2523" s="111">
        <f>IF(AQ2523="2",BH2523,0)</f>
      </c>
      <c r="AG2523" s="111">
        <f>IF(AQ2523="2",BI2523,0)</f>
      </c>
      <c r="AH2523" s="111">
        <f>IF(AQ2523="0",BJ2523,0)</f>
      </c>
      <c r="AI2523" s="132" t="s">
        <v>87</v>
      </c>
      <c r="AJ2523" s="111">
        <f>IF(AN2523=0,I2523,0)</f>
      </c>
      <c r="AK2523" s="111">
        <f>IF(AN2523=12,I2523,0)</f>
      </c>
      <c r="AL2523" s="111">
        <f>IF(AN2523=21,I2523,0)</f>
      </c>
      <c r="AN2523" s="111" t="n">
        <v>21</v>
      </c>
      <c r="AO2523" s="111">
        <f>H2523*1</f>
      </c>
      <c r="AP2523" s="111">
        <f>H2523*(1-1)</f>
      </c>
      <c r="AQ2523" s="153" t="s">
        <v>3759</v>
      </c>
      <c r="AV2523" s="111">
        <f>AW2523+AX2523</f>
      </c>
      <c r="AW2523" s="111">
        <f>G2523*AO2523</f>
      </c>
      <c r="AX2523" s="111">
        <f>G2523*AP2523</f>
      </c>
      <c r="AY2523" s="153" t="s">
        <v>3760</v>
      </c>
      <c r="AZ2523" s="153" t="s">
        <v>3761</v>
      </c>
      <c r="BA2523" s="132" t="s">
        <v>2990</v>
      </c>
      <c r="BC2523" s="111">
        <f>AW2523+AX2523</f>
      </c>
      <c r="BD2523" s="111">
        <f>H2523/(100-BE2523)*100</f>
      </c>
      <c r="BE2523" s="111" t="n">
        <v>0</v>
      </c>
      <c r="BF2523" s="111">
        <f>2523</f>
      </c>
      <c r="BH2523" s="111">
        <f>G2523*AO2523</f>
      </c>
      <c r="BI2523" s="111">
        <f>G2523*AP2523</f>
      </c>
      <c r="BJ2523" s="111">
        <f>G2523*H2523</f>
      </c>
      <c r="BK2523" s="111"/>
      <c r="BL2523" s="111"/>
      <c r="BW2523" s="111" t="n">
        <v>21</v>
      </c>
      <c r="BX2523" s="14" t="s">
        <v>3837</v>
      </c>
    </row>
    <row r="2524">
      <c r="A2524" s="154"/>
      <c r="B2524" s="155"/>
      <c r="C2524" s="155"/>
      <c r="D2524" s="156" t="s">
        <v>130</v>
      </c>
      <c r="E2524" s="156" t="s">
        <v>4</v>
      </c>
      <c r="F2524" s="155"/>
      <c r="G2524" s="157" t="n">
        <v>1</v>
      </c>
      <c r="H2524" s="158"/>
      <c r="I2524" s="155"/>
      <c r="J2524" s="155"/>
      <c r="K2524" s="146"/>
    </row>
    <row r="2525">
      <c r="A2525" s="9" t="s">
        <v>3838</v>
      </c>
      <c r="B2525" s="10" t="s">
        <v>87</v>
      </c>
      <c r="C2525" s="10" t="s">
        <v>3839</v>
      </c>
      <c r="D2525" s="14" t="s">
        <v>3840</v>
      </c>
      <c r="E2525" s="10"/>
      <c r="F2525" s="10" t="s">
        <v>133</v>
      </c>
      <c r="G2525" s="111" t="n">
        <v>1</v>
      </c>
      <c r="H2525" s="152" t="n">
        <v>0</v>
      </c>
      <c r="I2525" s="111">
        <f>G2525*H2525</f>
      </c>
      <c r="J2525" s="153" t="s">
        <v>3003</v>
      </c>
      <c r="K2525" s="146"/>
      <c r="Z2525" s="111">
        <f>IF(AQ2525="5",BJ2525,0)</f>
      </c>
      <c r="AB2525" s="111">
        <f>IF(AQ2525="1",BH2525,0)</f>
      </c>
      <c r="AC2525" s="111">
        <f>IF(AQ2525="1",BI2525,0)</f>
      </c>
      <c r="AD2525" s="111">
        <f>IF(AQ2525="7",BH2525,0)</f>
      </c>
      <c r="AE2525" s="111">
        <f>IF(AQ2525="7",BI2525,0)</f>
      </c>
      <c r="AF2525" s="111">
        <f>IF(AQ2525="2",BH2525,0)</f>
      </c>
      <c r="AG2525" s="111">
        <f>IF(AQ2525="2",BI2525,0)</f>
      </c>
      <c r="AH2525" s="111">
        <f>IF(AQ2525="0",BJ2525,0)</f>
      </c>
      <c r="AI2525" s="132" t="s">
        <v>87</v>
      </c>
      <c r="AJ2525" s="111">
        <f>IF(AN2525=0,I2525,0)</f>
      </c>
      <c r="AK2525" s="111">
        <f>IF(AN2525=12,I2525,0)</f>
      </c>
      <c r="AL2525" s="111">
        <f>IF(AN2525=21,I2525,0)</f>
      </c>
      <c r="AN2525" s="111" t="n">
        <v>21</v>
      </c>
      <c r="AO2525" s="111">
        <f>H2525*1</f>
      </c>
      <c r="AP2525" s="111">
        <f>H2525*(1-1)</f>
      </c>
      <c r="AQ2525" s="153" t="s">
        <v>3759</v>
      </c>
      <c r="AV2525" s="111">
        <f>AW2525+AX2525</f>
      </c>
      <c r="AW2525" s="111">
        <f>G2525*AO2525</f>
      </c>
      <c r="AX2525" s="111">
        <f>G2525*AP2525</f>
      </c>
      <c r="AY2525" s="153" t="s">
        <v>3760</v>
      </c>
      <c r="AZ2525" s="153" t="s">
        <v>3761</v>
      </c>
      <c r="BA2525" s="132" t="s">
        <v>2990</v>
      </c>
      <c r="BC2525" s="111">
        <f>AW2525+AX2525</f>
      </c>
      <c r="BD2525" s="111">
        <f>H2525/(100-BE2525)*100</f>
      </c>
      <c r="BE2525" s="111" t="n">
        <v>0</v>
      </c>
      <c r="BF2525" s="111">
        <f>2525</f>
      </c>
      <c r="BH2525" s="111">
        <f>G2525*AO2525</f>
      </c>
      <c r="BI2525" s="111">
        <f>G2525*AP2525</f>
      </c>
      <c r="BJ2525" s="111">
        <f>G2525*H2525</f>
      </c>
      <c r="BK2525" s="111"/>
      <c r="BL2525" s="111"/>
      <c r="BW2525" s="111" t="n">
        <v>21</v>
      </c>
      <c r="BX2525" s="14" t="s">
        <v>3840</v>
      </c>
    </row>
    <row r="2526">
      <c r="A2526" s="154"/>
      <c r="B2526" s="155"/>
      <c r="C2526" s="155"/>
      <c r="D2526" s="156" t="s">
        <v>130</v>
      </c>
      <c r="E2526" s="156" t="s">
        <v>4</v>
      </c>
      <c r="F2526" s="155"/>
      <c r="G2526" s="157" t="n">
        <v>1</v>
      </c>
      <c r="H2526" s="158"/>
      <c r="I2526" s="155"/>
      <c r="J2526" s="155"/>
      <c r="K2526" s="146"/>
    </row>
    <row r="2527">
      <c r="A2527" s="9" t="s">
        <v>3841</v>
      </c>
      <c r="B2527" s="10" t="s">
        <v>87</v>
      </c>
      <c r="C2527" s="10" t="s">
        <v>3842</v>
      </c>
      <c r="D2527" s="14" t="s">
        <v>3843</v>
      </c>
      <c r="E2527" s="10"/>
      <c r="F2527" s="10" t="s">
        <v>133</v>
      </c>
      <c r="G2527" s="111" t="n">
        <v>1</v>
      </c>
      <c r="H2527" s="152" t="n">
        <v>0</v>
      </c>
      <c r="I2527" s="111">
        <f>G2527*H2527</f>
      </c>
      <c r="J2527" s="153" t="s">
        <v>3003</v>
      </c>
      <c r="K2527" s="146"/>
      <c r="Z2527" s="111">
        <f>IF(AQ2527="5",BJ2527,0)</f>
      </c>
      <c r="AB2527" s="111">
        <f>IF(AQ2527="1",BH2527,0)</f>
      </c>
      <c r="AC2527" s="111">
        <f>IF(AQ2527="1",BI2527,0)</f>
      </c>
      <c r="AD2527" s="111">
        <f>IF(AQ2527="7",BH2527,0)</f>
      </c>
      <c r="AE2527" s="111">
        <f>IF(AQ2527="7",BI2527,0)</f>
      </c>
      <c r="AF2527" s="111">
        <f>IF(AQ2527="2",BH2527,0)</f>
      </c>
      <c r="AG2527" s="111">
        <f>IF(AQ2527="2",BI2527,0)</f>
      </c>
      <c r="AH2527" s="111">
        <f>IF(AQ2527="0",BJ2527,0)</f>
      </c>
      <c r="AI2527" s="132" t="s">
        <v>87</v>
      </c>
      <c r="AJ2527" s="111">
        <f>IF(AN2527=0,I2527,0)</f>
      </c>
      <c r="AK2527" s="111">
        <f>IF(AN2527=12,I2527,0)</f>
      </c>
      <c r="AL2527" s="111">
        <f>IF(AN2527=21,I2527,0)</f>
      </c>
      <c r="AN2527" s="111" t="n">
        <v>21</v>
      </c>
      <c r="AO2527" s="111">
        <f>H2527*1</f>
      </c>
      <c r="AP2527" s="111">
        <f>H2527*(1-1)</f>
      </c>
      <c r="AQ2527" s="153" t="s">
        <v>3759</v>
      </c>
      <c r="AV2527" s="111">
        <f>AW2527+AX2527</f>
      </c>
      <c r="AW2527" s="111">
        <f>G2527*AO2527</f>
      </c>
      <c r="AX2527" s="111">
        <f>G2527*AP2527</f>
      </c>
      <c r="AY2527" s="153" t="s">
        <v>3760</v>
      </c>
      <c r="AZ2527" s="153" t="s">
        <v>3761</v>
      </c>
      <c r="BA2527" s="132" t="s">
        <v>2990</v>
      </c>
      <c r="BC2527" s="111">
        <f>AW2527+AX2527</f>
      </c>
      <c r="BD2527" s="111">
        <f>H2527/(100-BE2527)*100</f>
      </c>
      <c r="BE2527" s="111" t="n">
        <v>0</v>
      </c>
      <c r="BF2527" s="111">
        <f>2527</f>
      </c>
      <c r="BH2527" s="111">
        <f>G2527*AO2527</f>
      </c>
      <c r="BI2527" s="111">
        <f>G2527*AP2527</f>
      </c>
      <c r="BJ2527" s="111">
        <f>G2527*H2527</f>
      </c>
      <c r="BK2527" s="111"/>
      <c r="BL2527" s="111"/>
      <c r="BW2527" s="111" t="n">
        <v>21</v>
      </c>
      <c r="BX2527" s="14" t="s">
        <v>3843</v>
      </c>
    </row>
    <row r="2528">
      <c r="A2528" s="154"/>
      <c r="B2528" s="155"/>
      <c r="C2528" s="155"/>
      <c r="D2528" s="156" t="s">
        <v>130</v>
      </c>
      <c r="E2528" s="156" t="s">
        <v>4</v>
      </c>
      <c r="F2528" s="155"/>
      <c r="G2528" s="157" t="n">
        <v>1</v>
      </c>
      <c r="H2528" s="158"/>
      <c r="I2528" s="155"/>
      <c r="J2528" s="155"/>
      <c r="K2528" s="146"/>
    </row>
    <row r="2529">
      <c r="A2529" s="9" t="s">
        <v>3844</v>
      </c>
      <c r="B2529" s="10" t="s">
        <v>87</v>
      </c>
      <c r="C2529" s="10" t="s">
        <v>3845</v>
      </c>
      <c r="D2529" s="14" t="s">
        <v>3846</v>
      </c>
      <c r="E2529" s="10"/>
      <c r="F2529" s="10" t="s">
        <v>133</v>
      </c>
      <c r="G2529" s="111" t="n">
        <v>1</v>
      </c>
      <c r="H2529" s="152" t="n">
        <v>0</v>
      </c>
      <c r="I2529" s="111">
        <f>G2529*H2529</f>
      </c>
      <c r="J2529" s="153" t="s">
        <v>3834</v>
      </c>
      <c r="K2529" s="146"/>
      <c r="Z2529" s="111">
        <f>IF(AQ2529="5",BJ2529,0)</f>
      </c>
      <c r="AB2529" s="111">
        <f>IF(AQ2529="1",BH2529,0)</f>
      </c>
      <c r="AC2529" s="111">
        <f>IF(AQ2529="1",BI2529,0)</f>
      </c>
      <c r="AD2529" s="111">
        <f>IF(AQ2529="7",BH2529,0)</f>
      </c>
      <c r="AE2529" s="111">
        <f>IF(AQ2529="7",BI2529,0)</f>
      </c>
      <c r="AF2529" s="111">
        <f>IF(AQ2529="2",BH2529,0)</f>
      </c>
      <c r="AG2529" s="111">
        <f>IF(AQ2529="2",BI2529,0)</f>
      </c>
      <c r="AH2529" s="111">
        <f>IF(AQ2529="0",BJ2529,0)</f>
      </c>
      <c r="AI2529" s="132" t="s">
        <v>87</v>
      </c>
      <c r="AJ2529" s="111">
        <f>IF(AN2529=0,I2529,0)</f>
      </c>
      <c r="AK2529" s="111">
        <f>IF(AN2529=12,I2529,0)</f>
      </c>
      <c r="AL2529" s="111">
        <f>IF(AN2529=21,I2529,0)</f>
      </c>
      <c r="AN2529" s="111" t="n">
        <v>21</v>
      </c>
      <c r="AO2529" s="111">
        <f>H2529*1</f>
      </c>
      <c r="AP2529" s="111">
        <f>H2529*(1-1)</f>
      </c>
      <c r="AQ2529" s="153" t="s">
        <v>3759</v>
      </c>
      <c r="AV2529" s="111">
        <f>AW2529+AX2529</f>
      </c>
      <c r="AW2529" s="111">
        <f>G2529*AO2529</f>
      </c>
      <c r="AX2529" s="111">
        <f>G2529*AP2529</f>
      </c>
      <c r="AY2529" s="153" t="s">
        <v>3760</v>
      </c>
      <c r="AZ2529" s="153" t="s">
        <v>3761</v>
      </c>
      <c r="BA2529" s="132" t="s">
        <v>2990</v>
      </c>
      <c r="BC2529" s="111">
        <f>AW2529+AX2529</f>
      </c>
      <c r="BD2529" s="111">
        <f>H2529/(100-BE2529)*100</f>
      </c>
      <c r="BE2529" s="111" t="n">
        <v>0</v>
      </c>
      <c r="BF2529" s="111">
        <f>2529</f>
      </c>
      <c r="BH2529" s="111">
        <f>G2529*AO2529</f>
      </c>
      <c r="BI2529" s="111">
        <f>G2529*AP2529</f>
      </c>
      <c r="BJ2529" s="111">
        <f>G2529*H2529</f>
      </c>
      <c r="BK2529" s="111"/>
      <c r="BL2529" s="111"/>
      <c r="BW2529" s="111" t="n">
        <v>21</v>
      </c>
      <c r="BX2529" s="14" t="s">
        <v>3846</v>
      </c>
    </row>
    <row r="2530">
      <c r="A2530" s="154"/>
      <c r="B2530" s="155"/>
      <c r="C2530" s="155"/>
      <c r="D2530" s="156" t="s">
        <v>130</v>
      </c>
      <c r="E2530" s="156" t="s">
        <v>4</v>
      </c>
      <c r="F2530" s="155"/>
      <c r="G2530" s="157" t="n">
        <v>1</v>
      </c>
      <c r="H2530" s="158"/>
      <c r="I2530" s="155"/>
      <c r="J2530" s="155"/>
      <c r="K2530" s="146"/>
    </row>
    <row r="2531">
      <c r="A2531" s="9" t="s">
        <v>3847</v>
      </c>
      <c r="B2531" s="10" t="s">
        <v>87</v>
      </c>
      <c r="C2531" s="10" t="s">
        <v>3848</v>
      </c>
      <c r="D2531" s="14" t="s">
        <v>3849</v>
      </c>
      <c r="E2531" s="10"/>
      <c r="F2531" s="10" t="s">
        <v>133</v>
      </c>
      <c r="G2531" s="111" t="n">
        <v>1</v>
      </c>
      <c r="H2531" s="152" t="n">
        <v>0</v>
      </c>
      <c r="I2531" s="111">
        <f>G2531*H2531</f>
      </c>
      <c r="J2531" s="153" t="s">
        <v>3003</v>
      </c>
      <c r="K2531" s="146"/>
      <c r="Z2531" s="111">
        <f>IF(AQ2531="5",BJ2531,0)</f>
      </c>
      <c r="AB2531" s="111">
        <f>IF(AQ2531="1",BH2531,0)</f>
      </c>
      <c r="AC2531" s="111">
        <f>IF(AQ2531="1",BI2531,0)</f>
      </c>
      <c r="AD2531" s="111">
        <f>IF(AQ2531="7",BH2531,0)</f>
      </c>
      <c r="AE2531" s="111">
        <f>IF(AQ2531="7",BI2531,0)</f>
      </c>
      <c r="AF2531" s="111">
        <f>IF(AQ2531="2",BH2531,0)</f>
      </c>
      <c r="AG2531" s="111">
        <f>IF(AQ2531="2",BI2531,0)</f>
      </c>
      <c r="AH2531" s="111">
        <f>IF(AQ2531="0",BJ2531,0)</f>
      </c>
      <c r="AI2531" s="132" t="s">
        <v>87</v>
      </c>
      <c r="AJ2531" s="111">
        <f>IF(AN2531=0,I2531,0)</f>
      </c>
      <c r="AK2531" s="111">
        <f>IF(AN2531=12,I2531,0)</f>
      </c>
      <c r="AL2531" s="111">
        <f>IF(AN2531=21,I2531,0)</f>
      </c>
      <c r="AN2531" s="111" t="n">
        <v>21</v>
      </c>
      <c r="AO2531" s="111">
        <f>H2531*1</f>
      </c>
      <c r="AP2531" s="111">
        <f>H2531*(1-1)</f>
      </c>
      <c r="AQ2531" s="153" t="s">
        <v>3759</v>
      </c>
      <c r="AV2531" s="111">
        <f>AW2531+AX2531</f>
      </c>
      <c r="AW2531" s="111">
        <f>G2531*AO2531</f>
      </c>
      <c r="AX2531" s="111">
        <f>G2531*AP2531</f>
      </c>
      <c r="AY2531" s="153" t="s">
        <v>3760</v>
      </c>
      <c r="AZ2531" s="153" t="s">
        <v>3761</v>
      </c>
      <c r="BA2531" s="132" t="s">
        <v>2990</v>
      </c>
      <c r="BC2531" s="111">
        <f>AW2531+AX2531</f>
      </c>
      <c r="BD2531" s="111">
        <f>H2531/(100-BE2531)*100</f>
      </c>
      <c r="BE2531" s="111" t="n">
        <v>0</v>
      </c>
      <c r="BF2531" s="111">
        <f>2531</f>
      </c>
      <c r="BH2531" s="111">
        <f>G2531*AO2531</f>
      </c>
      <c r="BI2531" s="111">
        <f>G2531*AP2531</f>
      </c>
      <c r="BJ2531" s="111">
        <f>G2531*H2531</f>
      </c>
      <c r="BK2531" s="111"/>
      <c r="BL2531" s="111"/>
      <c r="BW2531" s="111" t="n">
        <v>21</v>
      </c>
      <c r="BX2531" s="14" t="s">
        <v>3849</v>
      </c>
    </row>
    <row r="2532">
      <c r="A2532" s="154"/>
      <c r="B2532" s="155"/>
      <c r="C2532" s="155"/>
      <c r="D2532" s="156" t="s">
        <v>130</v>
      </c>
      <c r="E2532" s="156" t="s">
        <v>4</v>
      </c>
      <c r="F2532" s="155"/>
      <c r="G2532" s="157" t="n">
        <v>1</v>
      </c>
      <c r="H2532" s="158"/>
      <c r="I2532" s="155"/>
      <c r="J2532" s="155"/>
      <c r="K2532" s="146"/>
    </row>
    <row r="2533">
      <c r="A2533" s="147" t="s">
        <v>4</v>
      </c>
      <c r="B2533" s="148" t="s">
        <v>87</v>
      </c>
      <c r="C2533" s="148" t="s">
        <v>2930</v>
      </c>
      <c r="D2533" s="149" t="s">
        <v>57</v>
      </c>
      <c r="E2533" s="148"/>
      <c r="F2533" s="150" t="s">
        <v>79</v>
      </c>
      <c r="G2533" s="150" t="s">
        <v>79</v>
      </c>
      <c r="H2533" s="151" t="s">
        <v>79</v>
      </c>
      <c r="I2533" s="117">
        <f>I2534</f>
      </c>
      <c r="J2533" s="132" t="s">
        <v>4</v>
      </c>
      <c r="K2533" s="146"/>
      <c r="AI2533" s="132" t="s">
        <v>87</v>
      </c>
    </row>
    <row r="2534">
      <c r="A2534" s="147" t="s">
        <v>4</v>
      </c>
      <c r="B2534" s="148" t="s">
        <v>87</v>
      </c>
      <c r="C2534" s="148" t="s">
        <v>2951</v>
      </c>
      <c r="D2534" s="149" t="s">
        <v>25</v>
      </c>
      <c r="E2534" s="148"/>
      <c r="F2534" s="150" t="s">
        <v>79</v>
      </c>
      <c r="G2534" s="150" t="s">
        <v>79</v>
      </c>
      <c r="H2534" s="151" t="s">
        <v>79</v>
      </c>
      <c r="I2534" s="117">
        <f>SUM(I2535:I2535)</f>
      </c>
      <c r="J2534" s="132" t="s">
        <v>4</v>
      </c>
      <c r="K2534" s="146"/>
      <c r="AI2534" s="132" t="s">
        <v>87</v>
      </c>
      <c r="AS2534" s="117">
        <f>SUM(AJ2535:AJ2535)</f>
      </c>
      <c r="AT2534" s="117">
        <f>SUM(AK2535:AK2535)</f>
      </c>
      <c r="AU2534" s="117">
        <f>SUM(AL2535:AL2535)</f>
      </c>
    </row>
    <row r="2535">
      <c r="A2535" s="9" t="s">
        <v>3327</v>
      </c>
      <c r="B2535" s="10" t="s">
        <v>87</v>
      </c>
      <c r="C2535" s="10" t="s">
        <v>2953</v>
      </c>
      <c r="D2535" s="14" t="s">
        <v>25</v>
      </c>
      <c r="E2535" s="10"/>
      <c r="F2535" s="10" t="s">
        <v>2935</v>
      </c>
      <c r="G2535" s="111" t="n">
        <v>1</v>
      </c>
      <c r="H2535" s="152" t="n">
        <v>0</v>
      </c>
      <c r="I2535" s="111">
        <f>G2535*H2535</f>
      </c>
      <c r="J2535" s="153" t="s">
        <v>4</v>
      </c>
      <c r="K2535" s="146"/>
      <c r="Z2535" s="111">
        <f>IF(AQ2535="5",BJ2535,0)</f>
      </c>
      <c r="AB2535" s="111">
        <f>IF(AQ2535="1",BH2535,0)</f>
      </c>
      <c r="AC2535" s="111">
        <f>IF(AQ2535="1",BI2535,0)</f>
      </c>
      <c r="AD2535" s="111">
        <f>IF(AQ2535="7",BH2535,0)</f>
      </c>
      <c r="AE2535" s="111">
        <f>IF(AQ2535="7",BI2535,0)</f>
      </c>
      <c r="AF2535" s="111">
        <f>IF(AQ2535="2",BH2535,0)</f>
      </c>
      <c r="AG2535" s="111">
        <f>IF(AQ2535="2",BI2535,0)</f>
      </c>
      <c r="AH2535" s="111">
        <f>IF(AQ2535="0",BJ2535,0)</f>
      </c>
      <c r="AI2535" s="132" t="s">
        <v>87</v>
      </c>
      <c r="AJ2535" s="111">
        <f>IF(AN2535=0,I2535,0)</f>
      </c>
      <c r="AK2535" s="111">
        <f>IF(AN2535=12,I2535,0)</f>
      </c>
      <c r="AL2535" s="111">
        <f>IF(AN2535=21,I2535,0)</f>
      </c>
      <c r="AN2535" s="111" t="n">
        <v>21</v>
      </c>
      <c r="AO2535" s="111">
        <f>H2535*0</f>
      </c>
      <c r="AP2535" s="111">
        <f>H2535*(1-0)</f>
      </c>
      <c r="AQ2535" s="153" t="s">
        <v>802</v>
      </c>
      <c r="AV2535" s="111">
        <f>AW2535+AX2535</f>
      </c>
      <c r="AW2535" s="111">
        <f>G2535*AO2535</f>
      </c>
      <c r="AX2535" s="111">
        <f>G2535*AP2535</f>
      </c>
      <c r="AY2535" s="153" t="s">
        <v>2955</v>
      </c>
      <c r="AZ2535" s="153" t="s">
        <v>3850</v>
      </c>
      <c r="BA2535" s="132" t="s">
        <v>2990</v>
      </c>
      <c r="BC2535" s="111">
        <f>AW2535+AX2535</f>
      </c>
      <c r="BD2535" s="111">
        <f>H2535/(100-BE2535)*100</f>
      </c>
      <c r="BE2535" s="111" t="n">
        <v>0</v>
      </c>
      <c r="BF2535" s="111">
        <f>2535</f>
      </c>
      <c r="BH2535" s="111">
        <f>G2535*AO2535</f>
      </c>
      <c r="BI2535" s="111">
        <f>G2535*AP2535</f>
      </c>
      <c r="BJ2535" s="111">
        <f>G2535*H2535</f>
      </c>
      <c r="BK2535" s="111"/>
      <c r="BL2535" s="111"/>
      <c r="BO2535" s="111">
        <f>G2535*H2535</f>
      </c>
      <c r="BW2535" s="111" t="n">
        <v>21</v>
      </c>
      <c r="BX2535" s="14" t="s">
        <v>25</v>
      </c>
    </row>
    <row r="2536">
      <c r="A2536" s="154"/>
      <c r="B2536" s="155"/>
      <c r="C2536" s="155"/>
      <c r="D2536" s="156" t="s">
        <v>130</v>
      </c>
      <c r="E2536" s="156" t="s">
        <v>4</v>
      </c>
      <c r="F2536" s="155"/>
      <c r="G2536" s="157" t="n">
        <v>1</v>
      </c>
      <c r="H2536" s="158"/>
      <c r="I2536" s="155"/>
      <c r="J2536" s="155"/>
      <c r="K2536" s="146"/>
    </row>
    <row r="2537">
      <c r="A2537" s="147" t="s">
        <v>4</v>
      </c>
      <c r="B2537" s="148" t="s">
        <v>89</v>
      </c>
      <c r="C2537" s="148" t="s">
        <v>4</v>
      </c>
      <c r="D2537" s="149" t="s">
        <v>90</v>
      </c>
      <c r="E2537" s="148"/>
      <c r="F2537" s="150" t="s">
        <v>79</v>
      </c>
      <c r="G2537" s="150" t="s">
        <v>79</v>
      </c>
      <c r="H2537" s="151" t="s">
        <v>79</v>
      </c>
      <c r="I2537" s="117">
        <f>I2538+I2541+I2563+I2631+I2635+I2638+I2641+I2643</f>
      </c>
      <c r="J2537" s="132" t="s">
        <v>4</v>
      </c>
      <c r="K2537" s="146"/>
    </row>
    <row r="2538">
      <c r="A2538" s="147" t="s">
        <v>4</v>
      </c>
      <c r="B2538" s="148" t="s">
        <v>89</v>
      </c>
      <c r="C2538" s="148" t="s">
        <v>765</v>
      </c>
      <c r="D2538" s="149" t="s">
        <v>3851</v>
      </c>
      <c r="E2538" s="148"/>
      <c r="F2538" s="150" t="s">
        <v>79</v>
      </c>
      <c r="G2538" s="150" t="s">
        <v>79</v>
      </c>
      <c r="H2538" s="151" t="s">
        <v>79</v>
      </c>
      <c r="I2538" s="117">
        <f>SUM(I2539:I2540)</f>
      </c>
      <c r="J2538" s="132" t="s">
        <v>4</v>
      </c>
      <c r="K2538" s="146"/>
      <c r="AI2538" s="132" t="s">
        <v>89</v>
      </c>
      <c r="AS2538" s="117">
        <f>SUM(AJ2539:AJ2540)</f>
      </c>
      <c r="AT2538" s="117">
        <f>SUM(AK2539:AK2540)</f>
      </c>
      <c r="AU2538" s="117">
        <f>SUM(AL2539:AL2540)</f>
      </c>
    </row>
    <row r="2539">
      <c r="A2539" s="9" t="s">
        <v>1944</v>
      </c>
      <c r="B2539" s="10" t="s">
        <v>89</v>
      </c>
      <c r="C2539" s="10" t="s">
        <v>3852</v>
      </c>
      <c r="D2539" s="14" t="s">
        <v>3853</v>
      </c>
      <c r="E2539" s="10"/>
      <c r="F2539" s="10" t="s">
        <v>3854</v>
      </c>
      <c r="G2539" s="111" t="n">
        <v>16</v>
      </c>
      <c r="H2539" s="152" t="n">
        <v>0</v>
      </c>
      <c r="I2539" s="111">
        <f>G2539*H2539</f>
      </c>
      <c r="J2539" s="153" t="s">
        <v>4</v>
      </c>
      <c r="K2539" s="146"/>
      <c r="Z2539" s="111">
        <f>IF(AQ2539="5",BJ2539,0)</f>
      </c>
      <c r="AB2539" s="111">
        <f>IF(AQ2539="1",BH2539,0)</f>
      </c>
      <c r="AC2539" s="111">
        <f>IF(AQ2539="1",BI2539,0)</f>
      </c>
      <c r="AD2539" s="111">
        <f>IF(AQ2539="7",BH2539,0)</f>
      </c>
      <c r="AE2539" s="111">
        <f>IF(AQ2539="7",BI2539,0)</f>
      </c>
      <c r="AF2539" s="111">
        <f>IF(AQ2539="2",BH2539,0)</f>
      </c>
      <c r="AG2539" s="111">
        <f>IF(AQ2539="2",BI2539,0)</f>
      </c>
      <c r="AH2539" s="111">
        <f>IF(AQ2539="0",BJ2539,0)</f>
      </c>
      <c r="AI2539" s="132" t="s">
        <v>89</v>
      </c>
      <c r="AJ2539" s="111">
        <f>IF(AN2539=0,I2539,0)</f>
      </c>
      <c r="AK2539" s="111">
        <f>IF(AN2539=12,I2539,0)</f>
      </c>
      <c r="AL2539" s="111">
        <f>IF(AN2539=21,I2539,0)</f>
      </c>
      <c r="AN2539" s="111" t="n">
        <v>21</v>
      </c>
      <c r="AO2539" s="111">
        <f>H2539*0</f>
      </c>
      <c r="AP2539" s="111">
        <f>H2539*(1-0)</f>
      </c>
      <c r="AQ2539" s="153" t="s">
        <v>130</v>
      </c>
      <c r="AV2539" s="111">
        <f>AW2539+AX2539</f>
      </c>
      <c r="AW2539" s="111">
        <f>G2539*AO2539</f>
      </c>
      <c r="AX2539" s="111">
        <f>G2539*AP2539</f>
      </c>
      <c r="AY2539" s="153" t="s">
        <v>1436</v>
      </c>
      <c r="AZ2539" s="153" t="s">
        <v>3855</v>
      </c>
      <c r="BA2539" s="132" t="s">
        <v>3856</v>
      </c>
      <c r="BC2539" s="111">
        <f>AW2539+AX2539</f>
      </c>
      <c r="BD2539" s="111">
        <f>H2539/(100-BE2539)*100</f>
      </c>
      <c r="BE2539" s="111" t="n">
        <v>0</v>
      </c>
      <c r="BF2539" s="111">
        <f>2539</f>
      </c>
      <c r="BH2539" s="111">
        <f>G2539*AO2539</f>
      </c>
      <c r="BI2539" s="111">
        <f>G2539*AP2539</f>
      </c>
      <c r="BJ2539" s="111">
        <f>G2539*H2539</f>
      </c>
      <c r="BK2539" s="111"/>
      <c r="BL2539" s="111" t="n">
        <v>95</v>
      </c>
      <c r="BW2539" s="111" t="n">
        <v>21</v>
      </c>
      <c r="BX2539" s="14" t="s">
        <v>3853</v>
      </c>
    </row>
    <row r="2540" ht="24.75">
      <c r="A2540" s="9" t="s">
        <v>3857</v>
      </c>
      <c r="B2540" s="10" t="s">
        <v>89</v>
      </c>
      <c r="C2540" s="10" t="s">
        <v>3858</v>
      </c>
      <c r="D2540" s="14" t="s">
        <v>3859</v>
      </c>
      <c r="E2540" s="10"/>
      <c r="F2540" s="10" t="s">
        <v>3860</v>
      </c>
      <c r="G2540" s="111" t="n">
        <v>1</v>
      </c>
      <c r="H2540" s="152" t="n">
        <v>0</v>
      </c>
      <c r="I2540" s="111">
        <f>G2540*H2540</f>
      </c>
      <c r="J2540" s="153" t="s">
        <v>4</v>
      </c>
      <c r="K2540" s="146"/>
      <c r="Z2540" s="111">
        <f>IF(AQ2540="5",BJ2540,0)</f>
      </c>
      <c r="AB2540" s="111">
        <f>IF(AQ2540="1",BH2540,0)</f>
      </c>
      <c r="AC2540" s="111">
        <f>IF(AQ2540="1",BI2540,0)</f>
      </c>
      <c r="AD2540" s="111">
        <f>IF(AQ2540="7",BH2540,0)</f>
      </c>
      <c r="AE2540" s="111">
        <f>IF(AQ2540="7",BI2540,0)</f>
      </c>
      <c r="AF2540" s="111">
        <f>IF(AQ2540="2",BH2540,0)</f>
      </c>
      <c r="AG2540" s="111">
        <f>IF(AQ2540="2",BI2540,0)</f>
      </c>
      <c r="AH2540" s="111">
        <f>IF(AQ2540="0",BJ2540,0)</f>
      </c>
      <c r="AI2540" s="132" t="s">
        <v>89</v>
      </c>
      <c r="AJ2540" s="111">
        <f>IF(AN2540=0,I2540,0)</f>
      </c>
      <c r="AK2540" s="111">
        <f>IF(AN2540=12,I2540,0)</f>
      </c>
      <c r="AL2540" s="111">
        <f>IF(AN2540=21,I2540,0)</f>
      </c>
      <c r="AN2540" s="111" t="n">
        <v>21</v>
      </c>
      <c r="AO2540" s="111">
        <f>H2540*0</f>
      </c>
      <c r="AP2540" s="111">
        <f>H2540*(1-0)</f>
      </c>
      <c r="AQ2540" s="153" t="s">
        <v>130</v>
      </c>
      <c r="AV2540" s="111">
        <f>AW2540+AX2540</f>
      </c>
      <c r="AW2540" s="111">
        <f>G2540*AO2540</f>
      </c>
      <c r="AX2540" s="111">
        <f>G2540*AP2540</f>
      </c>
      <c r="AY2540" s="153" t="s">
        <v>1436</v>
      </c>
      <c r="AZ2540" s="153" t="s">
        <v>3855</v>
      </c>
      <c r="BA2540" s="132" t="s">
        <v>3856</v>
      </c>
      <c r="BC2540" s="111">
        <f>AW2540+AX2540</f>
      </c>
      <c r="BD2540" s="111">
        <f>H2540/(100-BE2540)*100</f>
      </c>
      <c r="BE2540" s="111" t="n">
        <v>0</v>
      </c>
      <c r="BF2540" s="111">
        <f>2540</f>
      </c>
      <c r="BH2540" s="111">
        <f>G2540*AO2540</f>
      </c>
      <c r="BI2540" s="111">
        <f>G2540*AP2540</f>
      </c>
      <c r="BJ2540" s="111">
        <f>G2540*H2540</f>
      </c>
      <c r="BK2540" s="111"/>
      <c r="BL2540" s="111" t="n">
        <v>95</v>
      </c>
      <c r="BW2540" s="111" t="n">
        <v>21</v>
      </c>
      <c r="BX2540" s="14" t="s">
        <v>3859</v>
      </c>
    </row>
    <row r="2541">
      <c r="A2541" s="147" t="s">
        <v>4</v>
      </c>
      <c r="B2541" s="148" t="s">
        <v>89</v>
      </c>
      <c r="C2541" s="148" t="s">
        <v>1850</v>
      </c>
      <c r="D2541" s="149" t="s">
        <v>1851</v>
      </c>
      <c r="E2541" s="148"/>
      <c r="F2541" s="150" t="s">
        <v>79</v>
      </c>
      <c r="G2541" s="150" t="s">
        <v>79</v>
      </c>
      <c r="H2541" s="151" t="s">
        <v>79</v>
      </c>
      <c r="I2541" s="117">
        <f>SUM(I2542:I2560)</f>
      </c>
      <c r="J2541" s="132" t="s">
        <v>4</v>
      </c>
      <c r="K2541" s="146"/>
      <c r="AI2541" s="132" t="s">
        <v>89</v>
      </c>
      <c r="AS2541" s="117">
        <f>SUM(AJ2542:AJ2560)</f>
      </c>
      <c r="AT2541" s="117">
        <f>SUM(AK2542:AK2560)</f>
      </c>
      <c r="AU2541" s="117">
        <f>SUM(AL2542:AL2560)</f>
      </c>
    </row>
    <row r="2542" ht="24.75">
      <c r="A2542" s="9" t="s">
        <v>3677</v>
      </c>
      <c r="B2542" s="10" t="s">
        <v>89</v>
      </c>
      <c r="C2542" s="10" t="s">
        <v>3861</v>
      </c>
      <c r="D2542" s="14" t="s">
        <v>3862</v>
      </c>
      <c r="E2542" s="10"/>
      <c r="F2542" s="10" t="s">
        <v>145</v>
      </c>
      <c r="G2542" s="111" t="n">
        <v>74.75</v>
      </c>
      <c r="H2542" s="152" t="n">
        <v>0</v>
      </c>
      <c r="I2542" s="111">
        <f>G2542*H2542</f>
      </c>
      <c r="J2542" s="153" t="s">
        <v>4</v>
      </c>
      <c r="K2542" s="146"/>
      <c r="Z2542" s="111">
        <f>IF(AQ2542="5",BJ2542,0)</f>
      </c>
      <c r="AB2542" s="111">
        <f>IF(AQ2542="1",BH2542,0)</f>
      </c>
      <c r="AC2542" s="111">
        <f>IF(AQ2542="1",BI2542,0)</f>
      </c>
      <c r="AD2542" s="111">
        <f>IF(AQ2542="7",BH2542,0)</f>
      </c>
      <c r="AE2542" s="111">
        <f>IF(AQ2542="7",BI2542,0)</f>
      </c>
      <c r="AF2542" s="111">
        <f>IF(AQ2542="2",BH2542,0)</f>
      </c>
      <c r="AG2542" s="111">
        <f>IF(AQ2542="2",BI2542,0)</f>
      </c>
      <c r="AH2542" s="111">
        <f>IF(AQ2542="0",BJ2542,0)</f>
      </c>
      <c r="AI2542" s="132" t="s">
        <v>89</v>
      </c>
      <c r="AJ2542" s="111">
        <f>IF(AN2542=0,I2542,0)</f>
      </c>
      <c r="AK2542" s="111">
        <f>IF(AN2542=12,I2542,0)</f>
      </c>
      <c r="AL2542" s="111">
        <f>IF(AN2542=21,I2542,0)</f>
      </c>
      <c r="AN2542" s="111" t="n">
        <v>21</v>
      </c>
      <c r="AO2542" s="111">
        <f>H2542*0</f>
      </c>
      <c r="AP2542" s="111">
        <f>H2542*(1-0)</f>
      </c>
      <c r="AQ2542" s="153" t="s">
        <v>173</v>
      </c>
      <c r="AV2542" s="111">
        <f>AW2542+AX2542</f>
      </c>
      <c r="AW2542" s="111">
        <f>G2542*AO2542</f>
      </c>
      <c r="AX2542" s="111">
        <f>G2542*AP2542</f>
      </c>
      <c r="AY2542" s="153" t="s">
        <v>1855</v>
      </c>
      <c r="AZ2542" s="153" t="s">
        <v>3863</v>
      </c>
      <c r="BA2542" s="132" t="s">
        <v>3856</v>
      </c>
      <c r="BC2542" s="111">
        <f>AW2542+AX2542</f>
      </c>
      <c r="BD2542" s="111">
        <f>H2542/(100-BE2542)*100</f>
      </c>
      <c r="BE2542" s="111" t="n">
        <v>0</v>
      </c>
      <c r="BF2542" s="111">
        <f>2542</f>
      </c>
      <c r="BH2542" s="111">
        <f>G2542*AO2542</f>
      </c>
      <c r="BI2542" s="111">
        <f>G2542*AP2542</f>
      </c>
      <c r="BJ2542" s="111">
        <f>G2542*H2542</f>
      </c>
      <c r="BK2542" s="111"/>
      <c r="BL2542" s="111" t="n">
        <v>713</v>
      </c>
      <c r="BW2542" s="111" t="n">
        <v>21</v>
      </c>
      <c r="BX2542" s="14" t="s">
        <v>3862</v>
      </c>
    </row>
    <row r="2543">
      <c r="A2543" s="154"/>
      <c r="B2543" s="155"/>
      <c r="C2543" s="155"/>
      <c r="D2543" s="156" t="s">
        <v>3864</v>
      </c>
      <c r="E2543" s="156" t="s">
        <v>3865</v>
      </c>
      <c r="F2543" s="155"/>
      <c r="G2543" s="157" t="n">
        <v>3.5</v>
      </c>
      <c r="H2543" s="158"/>
      <c r="I2543" s="155"/>
      <c r="J2543" s="155"/>
      <c r="K2543" s="146"/>
    </row>
    <row r="2544">
      <c r="A2544" s="154"/>
      <c r="B2544" s="155"/>
      <c r="C2544" s="155"/>
      <c r="D2544" s="156" t="s">
        <v>3866</v>
      </c>
      <c r="E2544" s="156" t="s">
        <v>3867</v>
      </c>
      <c r="F2544" s="155"/>
      <c r="G2544" s="157" t="n">
        <v>3.4</v>
      </c>
      <c r="H2544" s="158"/>
      <c r="I2544" s="155"/>
      <c r="J2544" s="155"/>
      <c r="K2544" s="146"/>
    </row>
    <row r="2545">
      <c r="A2545" s="154"/>
      <c r="B2545" s="155"/>
      <c r="C2545" s="155"/>
      <c r="D2545" s="156" t="s">
        <v>3868</v>
      </c>
      <c r="E2545" s="156" t="s">
        <v>3869</v>
      </c>
      <c r="F2545" s="155"/>
      <c r="G2545" s="157" t="n">
        <v>23.1</v>
      </c>
      <c r="H2545" s="158"/>
      <c r="I2545" s="155"/>
      <c r="J2545" s="155"/>
      <c r="K2545" s="146"/>
    </row>
    <row r="2546">
      <c r="A2546" s="154"/>
      <c r="B2546" s="155"/>
      <c r="C2546" s="155"/>
      <c r="D2546" s="156" t="s">
        <v>3870</v>
      </c>
      <c r="E2546" s="156" t="s">
        <v>3871</v>
      </c>
      <c r="F2546" s="155"/>
      <c r="G2546" s="157" t="n">
        <v>9.85</v>
      </c>
      <c r="H2546" s="158"/>
      <c r="I2546" s="155"/>
      <c r="J2546" s="155"/>
      <c r="K2546" s="146"/>
    </row>
    <row r="2547">
      <c r="A2547" s="154"/>
      <c r="B2547" s="155"/>
      <c r="C2547" s="155"/>
      <c r="D2547" s="156" t="s">
        <v>3872</v>
      </c>
      <c r="E2547" s="156" t="s">
        <v>3873</v>
      </c>
      <c r="F2547" s="155"/>
      <c r="G2547" s="157" t="n">
        <v>34.9</v>
      </c>
      <c r="H2547" s="158"/>
      <c r="I2547" s="155"/>
      <c r="J2547" s="155"/>
      <c r="K2547" s="146"/>
    </row>
    <row r="2548" ht="24.75">
      <c r="A2548" s="9" t="s">
        <v>1957</v>
      </c>
      <c r="B2548" s="10" t="s">
        <v>89</v>
      </c>
      <c r="C2548" s="10" t="s">
        <v>3874</v>
      </c>
      <c r="D2548" s="14" t="s">
        <v>3875</v>
      </c>
      <c r="E2548" s="10"/>
      <c r="F2548" s="10" t="s">
        <v>145</v>
      </c>
      <c r="G2548" s="111" t="n">
        <v>74.75</v>
      </c>
      <c r="H2548" s="152" t="n">
        <v>0</v>
      </c>
      <c r="I2548" s="111">
        <f>G2548*H2548</f>
      </c>
      <c r="J2548" s="153" t="s">
        <v>4</v>
      </c>
      <c r="K2548" s="146"/>
      <c r="Z2548" s="111">
        <f>IF(AQ2548="5",BJ2548,0)</f>
      </c>
      <c r="AB2548" s="111">
        <f>IF(AQ2548="1",BH2548,0)</f>
      </c>
      <c r="AC2548" s="111">
        <f>IF(AQ2548="1",BI2548,0)</f>
      </c>
      <c r="AD2548" s="111">
        <f>IF(AQ2548="7",BH2548,0)</f>
      </c>
      <c r="AE2548" s="111">
        <f>IF(AQ2548="7",BI2548,0)</f>
      </c>
      <c r="AF2548" s="111">
        <f>IF(AQ2548="2",BH2548,0)</f>
      </c>
      <c r="AG2548" s="111">
        <f>IF(AQ2548="2",BI2548,0)</f>
      </c>
      <c r="AH2548" s="111">
        <f>IF(AQ2548="0",BJ2548,0)</f>
      </c>
      <c r="AI2548" s="132" t="s">
        <v>89</v>
      </c>
      <c r="AJ2548" s="111">
        <f>IF(AN2548=0,I2548,0)</f>
      </c>
      <c r="AK2548" s="111">
        <f>IF(AN2548=12,I2548,0)</f>
      </c>
      <c r="AL2548" s="111">
        <f>IF(AN2548=21,I2548,0)</f>
      </c>
      <c r="AN2548" s="111" t="n">
        <v>21</v>
      </c>
      <c r="AO2548" s="111">
        <f>H2548*0</f>
      </c>
      <c r="AP2548" s="111">
        <f>H2548*(1-0)</f>
      </c>
      <c r="AQ2548" s="153" t="s">
        <v>173</v>
      </c>
      <c r="AV2548" s="111">
        <f>AW2548+AX2548</f>
      </c>
      <c r="AW2548" s="111">
        <f>G2548*AO2548</f>
      </c>
      <c r="AX2548" s="111">
        <f>G2548*AP2548</f>
      </c>
      <c r="AY2548" s="153" t="s">
        <v>1855</v>
      </c>
      <c r="AZ2548" s="153" t="s">
        <v>3863</v>
      </c>
      <c r="BA2548" s="132" t="s">
        <v>3856</v>
      </c>
      <c r="BC2548" s="111">
        <f>AW2548+AX2548</f>
      </c>
      <c r="BD2548" s="111">
        <f>H2548/(100-BE2548)*100</f>
      </c>
      <c r="BE2548" s="111" t="n">
        <v>0</v>
      </c>
      <c r="BF2548" s="111">
        <f>2548</f>
      </c>
      <c r="BH2548" s="111">
        <f>G2548*AO2548</f>
      </c>
      <c r="BI2548" s="111">
        <f>G2548*AP2548</f>
      </c>
      <c r="BJ2548" s="111">
        <f>G2548*H2548</f>
      </c>
      <c r="BK2548" s="111"/>
      <c r="BL2548" s="111" t="n">
        <v>713</v>
      </c>
      <c r="BW2548" s="111" t="n">
        <v>21</v>
      </c>
      <c r="BX2548" s="14" t="s">
        <v>3875</v>
      </c>
    </row>
    <row r="2549">
      <c r="A2549" s="154"/>
      <c r="B2549" s="155"/>
      <c r="C2549" s="155"/>
      <c r="D2549" s="156" t="s">
        <v>3876</v>
      </c>
      <c r="E2549" s="156" t="s">
        <v>3877</v>
      </c>
      <c r="F2549" s="155"/>
      <c r="G2549" s="157" t="n">
        <v>74.75</v>
      </c>
      <c r="H2549" s="158"/>
      <c r="I2549" s="155"/>
      <c r="J2549" s="155"/>
      <c r="K2549" s="146"/>
    </row>
    <row r="2550">
      <c r="A2550" s="9" t="s">
        <v>3878</v>
      </c>
      <c r="B2550" s="10" t="s">
        <v>89</v>
      </c>
      <c r="C2550" s="10" t="s">
        <v>3879</v>
      </c>
      <c r="D2550" s="14" t="s">
        <v>3880</v>
      </c>
      <c r="E2550" s="10"/>
      <c r="F2550" s="10" t="s">
        <v>61</v>
      </c>
      <c r="G2550" s="111" t="n">
        <v>1370.7604</v>
      </c>
      <c r="H2550" s="152" t="n">
        <v>0</v>
      </c>
      <c r="I2550" s="111">
        <f>G2550*H2550</f>
      </c>
      <c r="J2550" s="153" t="s">
        <v>4</v>
      </c>
      <c r="K2550" s="146"/>
      <c r="Z2550" s="111">
        <f>IF(AQ2550="5",BJ2550,0)</f>
      </c>
      <c r="AB2550" s="111">
        <f>IF(AQ2550="1",BH2550,0)</f>
      </c>
      <c r="AC2550" s="111">
        <f>IF(AQ2550="1",BI2550,0)</f>
      </c>
      <c r="AD2550" s="111">
        <f>IF(AQ2550="7",BH2550,0)</f>
      </c>
      <c r="AE2550" s="111">
        <f>IF(AQ2550="7",BI2550,0)</f>
      </c>
      <c r="AF2550" s="111">
        <f>IF(AQ2550="2",BH2550,0)</f>
      </c>
      <c r="AG2550" s="111">
        <f>IF(AQ2550="2",BI2550,0)</f>
      </c>
      <c r="AH2550" s="111">
        <f>IF(AQ2550="0",BJ2550,0)</f>
      </c>
      <c r="AI2550" s="132" t="s">
        <v>89</v>
      </c>
      <c r="AJ2550" s="111">
        <f>IF(AN2550=0,I2550,0)</f>
      </c>
      <c r="AK2550" s="111">
        <f>IF(AN2550=12,I2550,0)</f>
      </c>
      <c r="AL2550" s="111">
        <f>IF(AN2550=21,I2550,0)</f>
      </c>
      <c r="AN2550" s="111" t="n">
        <v>21</v>
      </c>
      <c r="AO2550" s="111">
        <f>H2550*0</f>
      </c>
      <c r="AP2550" s="111">
        <f>H2550*(1-0)</f>
      </c>
      <c r="AQ2550" s="153" t="s">
        <v>173</v>
      </c>
      <c r="AV2550" s="111">
        <f>AW2550+AX2550</f>
      </c>
      <c r="AW2550" s="111">
        <f>G2550*AO2550</f>
      </c>
      <c r="AX2550" s="111">
        <f>G2550*AP2550</f>
      </c>
      <c r="AY2550" s="153" t="s">
        <v>1855</v>
      </c>
      <c r="AZ2550" s="153" t="s">
        <v>3863</v>
      </c>
      <c r="BA2550" s="132" t="s">
        <v>3856</v>
      </c>
      <c r="BC2550" s="111">
        <f>AW2550+AX2550</f>
      </c>
      <c r="BD2550" s="111">
        <f>H2550/(100-BE2550)*100</f>
      </c>
      <c r="BE2550" s="111" t="n">
        <v>0</v>
      </c>
      <c r="BF2550" s="111">
        <f>2550</f>
      </c>
      <c r="BH2550" s="111">
        <f>G2550*AO2550</f>
      </c>
      <c r="BI2550" s="111">
        <f>G2550*AP2550</f>
      </c>
      <c r="BJ2550" s="111">
        <f>G2550*H2550</f>
      </c>
      <c r="BK2550" s="111"/>
      <c r="BL2550" s="111" t="n">
        <v>713</v>
      </c>
      <c r="BW2550" s="111" t="n">
        <v>21</v>
      </c>
      <c r="BX2550" s="14" t="s">
        <v>3880</v>
      </c>
    </row>
    <row r="2551" ht="24.75">
      <c r="A2551" s="9" t="s">
        <v>3881</v>
      </c>
      <c r="B2551" s="10" t="s">
        <v>89</v>
      </c>
      <c r="C2551" s="10" t="s">
        <v>3861</v>
      </c>
      <c r="D2551" s="14" t="s">
        <v>3862</v>
      </c>
      <c r="E2551" s="10"/>
      <c r="F2551" s="10" t="s">
        <v>145</v>
      </c>
      <c r="G2551" s="111" t="n">
        <v>5.96903</v>
      </c>
      <c r="H2551" s="152" t="n">
        <v>0</v>
      </c>
      <c r="I2551" s="111">
        <f>G2551*H2551</f>
      </c>
      <c r="J2551" s="153" t="s">
        <v>4</v>
      </c>
      <c r="K2551" s="146"/>
      <c r="Z2551" s="111">
        <f>IF(AQ2551="5",BJ2551,0)</f>
      </c>
      <c r="AB2551" s="111">
        <f>IF(AQ2551="1",BH2551,0)</f>
      </c>
      <c r="AC2551" s="111">
        <f>IF(AQ2551="1",BI2551,0)</f>
      </c>
      <c r="AD2551" s="111">
        <f>IF(AQ2551="7",BH2551,0)</f>
      </c>
      <c r="AE2551" s="111">
        <f>IF(AQ2551="7",BI2551,0)</f>
      </c>
      <c r="AF2551" s="111">
        <f>IF(AQ2551="2",BH2551,0)</f>
      </c>
      <c r="AG2551" s="111">
        <f>IF(AQ2551="2",BI2551,0)</f>
      </c>
      <c r="AH2551" s="111">
        <f>IF(AQ2551="0",BJ2551,0)</f>
      </c>
      <c r="AI2551" s="132" t="s">
        <v>89</v>
      </c>
      <c r="AJ2551" s="111">
        <f>IF(AN2551=0,I2551,0)</f>
      </c>
      <c r="AK2551" s="111">
        <f>IF(AN2551=12,I2551,0)</f>
      </c>
      <c r="AL2551" s="111">
        <f>IF(AN2551=21,I2551,0)</f>
      </c>
      <c r="AN2551" s="111" t="n">
        <v>21</v>
      </c>
      <c r="AO2551" s="111">
        <f>H2551*0</f>
      </c>
      <c r="AP2551" s="111">
        <f>H2551*(1-0)</f>
      </c>
      <c r="AQ2551" s="153" t="s">
        <v>173</v>
      </c>
      <c r="AV2551" s="111">
        <f>AW2551+AX2551</f>
      </c>
      <c r="AW2551" s="111">
        <f>G2551*AO2551</f>
      </c>
      <c r="AX2551" s="111">
        <f>G2551*AP2551</f>
      </c>
      <c r="AY2551" s="153" t="s">
        <v>1855</v>
      </c>
      <c r="AZ2551" s="153" t="s">
        <v>3863</v>
      </c>
      <c r="BA2551" s="132" t="s">
        <v>3856</v>
      </c>
      <c r="BC2551" s="111">
        <f>AW2551+AX2551</f>
      </c>
      <c r="BD2551" s="111">
        <f>H2551/(100-BE2551)*100</f>
      </c>
      <c r="BE2551" s="111" t="n">
        <v>0</v>
      </c>
      <c r="BF2551" s="111">
        <f>2551</f>
      </c>
      <c r="BH2551" s="111">
        <f>G2551*AO2551</f>
      </c>
      <c r="BI2551" s="111">
        <f>G2551*AP2551</f>
      </c>
      <c r="BJ2551" s="111">
        <f>G2551*H2551</f>
      </c>
      <c r="BK2551" s="111"/>
      <c r="BL2551" s="111" t="n">
        <v>713</v>
      </c>
      <c r="BW2551" s="111" t="n">
        <v>21</v>
      </c>
      <c r="BX2551" s="14" t="s">
        <v>3862</v>
      </c>
    </row>
    <row r="2552">
      <c r="A2552" s="154"/>
      <c r="B2552" s="155"/>
      <c r="C2552" s="155"/>
      <c r="D2552" s="156" t="s">
        <v>3882</v>
      </c>
      <c r="E2552" s="156" t="s">
        <v>4</v>
      </c>
      <c r="F2552" s="155"/>
      <c r="G2552" s="157" t="n">
        <v>5.96903</v>
      </c>
      <c r="H2552" s="158"/>
      <c r="I2552" s="155"/>
      <c r="J2552" s="155"/>
      <c r="K2552" s="146"/>
    </row>
    <row r="2553">
      <c r="A2553" s="9" t="s">
        <v>3883</v>
      </c>
      <c r="B2553" s="10" t="s">
        <v>89</v>
      </c>
      <c r="C2553" s="10" t="s">
        <v>3884</v>
      </c>
      <c r="D2553" s="14" t="s">
        <v>3885</v>
      </c>
      <c r="E2553" s="10"/>
      <c r="F2553" s="10" t="s">
        <v>61</v>
      </c>
      <c r="G2553" s="111" t="n">
        <v>48.91</v>
      </c>
      <c r="H2553" s="152" t="n">
        <v>0</v>
      </c>
      <c r="I2553" s="111">
        <f>G2553*H2553</f>
      </c>
      <c r="J2553" s="153" t="s">
        <v>4</v>
      </c>
      <c r="K2553" s="146"/>
      <c r="Z2553" s="111">
        <f>IF(AQ2553="5",BJ2553,0)</f>
      </c>
      <c r="AB2553" s="111">
        <f>IF(AQ2553="1",BH2553,0)</f>
      </c>
      <c r="AC2553" s="111">
        <f>IF(AQ2553="1",BI2553,0)</f>
      </c>
      <c r="AD2553" s="111">
        <f>IF(AQ2553="7",BH2553,0)</f>
      </c>
      <c r="AE2553" s="111">
        <f>IF(AQ2553="7",BI2553,0)</f>
      </c>
      <c r="AF2553" s="111">
        <f>IF(AQ2553="2",BH2553,0)</f>
      </c>
      <c r="AG2553" s="111">
        <f>IF(AQ2553="2",BI2553,0)</f>
      </c>
      <c r="AH2553" s="111">
        <f>IF(AQ2553="0",BJ2553,0)</f>
      </c>
      <c r="AI2553" s="132" t="s">
        <v>89</v>
      </c>
      <c r="AJ2553" s="111">
        <f>IF(AN2553=0,I2553,0)</f>
      </c>
      <c r="AK2553" s="111">
        <f>IF(AN2553=12,I2553,0)</f>
      </c>
      <c r="AL2553" s="111">
        <f>IF(AN2553=21,I2553,0)</f>
      </c>
      <c r="AN2553" s="111" t="n">
        <v>21</v>
      </c>
      <c r="AO2553" s="111">
        <f>H2553*0</f>
      </c>
      <c r="AP2553" s="111">
        <f>H2553*(1-0)</f>
      </c>
      <c r="AQ2553" s="153" t="s">
        <v>173</v>
      </c>
      <c r="AV2553" s="111">
        <f>AW2553+AX2553</f>
      </c>
      <c r="AW2553" s="111">
        <f>G2553*AO2553</f>
      </c>
      <c r="AX2553" s="111">
        <f>G2553*AP2553</f>
      </c>
      <c r="AY2553" s="153" t="s">
        <v>1855</v>
      </c>
      <c r="AZ2553" s="153" t="s">
        <v>3863</v>
      </c>
      <c r="BA2553" s="132" t="s">
        <v>3856</v>
      </c>
      <c r="BC2553" s="111">
        <f>AW2553+AX2553</f>
      </c>
      <c r="BD2553" s="111">
        <f>H2553/(100-BE2553)*100</f>
      </c>
      <c r="BE2553" s="111" t="n">
        <v>0</v>
      </c>
      <c r="BF2553" s="111">
        <f>2553</f>
      </c>
      <c r="BH2553" s="111">
        <f>G2553*AO2553</f>
      </c>
      <c r="BI2553" s="111">
        <f>G2553*AP2553</f>
      </c>
      <c r="BJ2553" s="111">
        <f>G2553*H2553</f>
      </c>
      <c r="BK2553" s="111"/>
      <c r="BL2553" s="111" t="n">
        <v>713</v>
      </c>
      <c r="BW2553" s="111" t="n">
        <v>21</v>
      </c>
      <c r="BX2553" s="14" t="s">
        <v>3885</v>
      </c>
    </row>
    <row r="2554">
      <c r="A2554" s="9" t="s">
        <v>3886</v>
      </c>
      <c r="B2554" s="10" t="s">
        <v>89</v>
      </c>
      <c r="C2554" s="10" t="s">
        <v>3887</v>
      </c>
      <c r="D2554" s="14" t="s">
        <v>3888</v>
      </c>
      <c r="E2554" s="10"/>
      <c r="F2554" s="10" t="s">
        <v>2426</v>
      </c>
      <c r="G2554" s="111" t="n">
        <v>532.9675</v>
      </c>
      <c r="H2554" s="152" t="n">
        <v>0</v>
      </c>
      <c r="I2554" s="111">
        <f>G2554*H2554</f>
      </c>
      <c r="J2554" s="153" t="s">
        <v>4</v>
      </c>
      <c r="K2554" s="146"/>
      <c r="Z2554" s="111">
        <f>IF(AQ2554="5",BJ2554,0)</f>
      </c>
      <c r="AB2554" s="111">
        <f>IF(AQ2554="1",BH2554,0)</f>
      </c>
      <c r="AC2554" s="111">
        <f>IF(AQ2554="1",BI2554,0)</f>
      </c>
      <c r="AD2554" s="111">
        <f>IF(AQ2554="7",BH2554,0)</f>
      </c>
      <c r="AE2554" s="111">
        <f>IF(AQ2554="7",BI2554,0)</f>
      </c>
      <c r="AF2554" s="111">
        <f>IF(AQ2554="2",BH2554,0)</f>
      </c>
      <c r="AG2554" s="111">
        <f>IF(AQ2554="2",BI2554,0)</f>
      </c>
      <c r="AH2554" s="111">
        <f>IF(AQ2554="0",BJ2554,0)</f>
      </c>
      <c r="AI2554" s="132" t="s">
        <v>89</v>
      </c>
      <c r="AJ2554" s="111">
        <f>IF(AN2554=0,I2554,0)</f>
      </c>
      <c r="AK2554" s="111">
        <f>IF(AN2554=12,I2554,0)</f>
      </c>
      <c r="AL2554" s="111">
        <f>IF(AN2554=21,I2554,0)</f>
      </c>
      <c r="AN2554" s="111" t="n">
        <v>21</v>
      </c>
      <c r="AO2554" s="111">
        <f>H2554*1</f>
      </c>
      <c r="AP2554" s="111">
        <f>H2554*(1-1)</f>
      </c>
      <c r="AQ2554" s="153" t="s">
        <v>173</v>
      </c>
      <c r="AV2554" s="111">
        <f>AW2554+AX2554</f>
      </c>
      <c r="AW2554" s="111">
        <f>G2554*AO2554</f>
      </c>
      <c r="AX2554" s="111">
        <f>G2554*AP2554</f>
      </c>
      <c r="AY2554" s="153" t="s">
        <v>1855</v>
      </c>
      <c r="AZ2554" s="153" t="s">
        <v>3863</v>
      </c>
      <c r="BA2554" s="132" t="s">
        <v>3856</v>
      </c>
      <c r="BC2554" s="111">
        <f>AW2554+AX2554</f>
      </c>
      <c r="BD2554" s="111">
        <f>H2554/(100-BE2554)*100</f>
      </c>
      <c r="BE2554" s="111" t="n">
        <v>0</v>
      </c>
      <c r="BF2554" s="111">
        <f>2554</f>
      </c>
      <c r="BH2554" s="111">
        <f>G2554*AO2554</f>
      </c>
      <c r="BI2554" s="111">
        <f>G2554*AP2554</f>
      </c>
      <c r="BJ2554" s="111">
        <f>G2554*H2554</f>
      </c>
      <c r="BK2554" s="111"/>
      <c r="BL2554" s="111" t="n">
        <v>713</v>
      </c>
      <c r="BW2554" s="111" t="n">
        <v>21</v>
      </c>
      <c r="BX2554" s="14" t="s">
        <v>3888</v>
      </c>
    </row>
    <row r="2555">
      <c r="A2555" s="154"/>
      <c r="B2555" s="155"/>
      <c r="C2555" s="155"/>
      <c r="D2555" s="156" t="s">
        <v>3889</v>
      </c>
      <c r="E2555" s="156" t="s">
        <v>3890</v>
      </c>
      <c r="F2555" s="155"/>
      <c r="G2555" s="157" t="n">
        <v>463.45</v>
      </c>
      <c r="H2555" s="158"/>
      <c r="I2555" s="155"/>
      <c r="J2555" s="155"/>
      <c r="K2555" s="146"/>
    </row>
    <row r="2556">
      <c r="A2556" s="154"/>
      <c r="B2556" s="155"/>
      <c r="C2556" s="155"/>
      <c r="D2556" s="156" t="s">
        <v>3891</v>
      </c>
      <c r="E2556" s="156" t="s">
        <v>3892</v>
      </c>
      <c r="F2556" s="155"/>
      <c r="G2556" s="157" t="n">
        <v>69.5175</v>
      </c>
      <c r="H2556" s="158"/>
      <c r="I2556" s="155"/>
      <c r="J2556" s="155"/>
      <c r="K2556" s="146"/>
    </row>
    <row r="2557">
      <c r="A2557" s="9" t="s">
        <v>3893</v>
      </c>
      <c r="B2557" s="10" t="s">
        <v>89</v>
      </c>
      <c r="C2557" s="10" t="s">
        <v>3894</v>
      </c>
      <c r="D2557" s="14" t="s">
        <v>3895</v>
      </c>
      <c r="E2557" s="10"/>
      <c r="F2557" s="10" t="s">
        <v>145</v>
      </c>
      <c r="G2557" s="111" t="n">
        <v>85.9625</v>
      </c>
      <c r="H2557" s="152" t="n">
        <v>0</v>
      </c>
      <c r="I2557" s="111">
        <f>G2557*H2557</f>
      </c>
      <c r="J2557" s="153" t="s">
        <v>4</v>
      </c>
      <c r="K2557" s="146"/>
      <c r="Z2557" s="111">
        <f>IF(AQ2557="5",BJ2557,0)</f>
      </c>
      <c r="AB2557" s="111">
        <f>IF(AQ2557="1",BH2557,0)</f>
      </c>
      <c r="AC2557" s="111">
        <f>IF(AQ2557="1",BI2557,0)</f>
      </c>
      <c r="AD2557" s="111">
        <f>IF(AQ2557="7",BH2557,0)</f>
      </c>
      <c r="AE2557" s="111">
        <f>IF(AQ2557="7",BI2557,0)</f>
      </c>
      <c r="AF2557" s="111">
        <f>IF(AQ2557="2",BH2557,0)</f>
      </c>
      <c r="AG2557" s="111">
        <f>IF(AQ2557="2",BI2557,0)</f>
      </c>
      <c r="AH2557" s="111">
        <f>IF(AQ2557="0",BJ2557,0)</f>
      </c>
      <c r="AI2557" s="132" t="s">
        <v>89</v>
      </c>
      <c r="AJ2557" s="111">
        <f>IF(AN2557=0,I2557,0)</f>
      </c>
      <c r="AK2557" s="111">
        <f>IF(AN2557=12,I2557,0)</f>
      </c>
      <c r="AL2557" s="111">
        <f>IF(AN2557=21,I2557,0)</f>
      </c>
      <c r="AN2557" s="111" t="n">
        <v>21</v>
      </c>
      <c r="AO2557" s="111">
        <f>H2557*1</f>
      </c>
      <c r="AP2557" s="111">
        <f>H2557*(1-1)</f>
      </c>
      <c r="AQ2557" s="153" t="s">
        <v>173</v>
      </c>
      <c r="AV2557" s="111">
        <f>AW2557+AX2557</f>
      </c>
      <c r="AW2557" s="111">
        <f>G2557*AO2557</f>
      </c>
      <c r="AX2557" s="111">
        <f>G2557*AP2557</f>
      </c>
      <c r="AY2557" s="153" t="s">
        <v>1855</v>
      </c>
      <c r="AZ2557" s="153" t="s">
        <v>3863</v>
      </c>
      <c r="BA2557" s="132" t="s">
        <v>3856</v>
      </c>
      <c r="BC2557" s="111">
        <f>AW2557+AX2557</f>
      </c>
      <c r="BD2557" s="111">
        <f>H2557/(100-BE2557)*100</f>
      </c>
      <c r="BE2557" s="111" t="n">
        <v>0</v>
      </c>
      <c r="BF2557" s="111">
        <f>2557</f>
      </c>
      <c r="BH2557" s="111">
        <f>G2557*AO2557</f>
      </c>
      <c r="BI2557" s="111">
        <f>G2557*AP2557</f>
      </c>
      <c r="BJ2557" s="111">
        <f>G2557*H2557</f>
      </c>
      <c r="BK2557" s="111"/>
      <c r="BL2557" s="111" t="n">
        <v>713</v>
      </c>
      <c r="BW2557" s="111" t="n">
        <v>21</v>
      </c>
      <c r="BX2557" s="14" t="s">
        <v>3895</v>
      </c>
    </row>
    <row r="2558">
      <c r="A2558" s="154"/>
      <c r="B2558" s="155"/>
      <c r="C2558" s="155"/>
      <c r="D2558" s="156" t="s">
        <v>3876</v>
      </c>
      <c r="E2558" s="156" t="s">
        <v>3877</v>
      </c>
      <c r="F2558" s="155"/>
      <c r="G2558" s="157" t="n">
        <v>74.75</v>
      </c>
      <c r="H2558" s="158"/>
      <c r="I2558" s="155"/>
      <c r="J2558" s="155"/>
      <c r="K2558" s="146"/>
    </row>
    <row r="2559">
      <c r="A2559" s="154"/>
      <c r="B2559" s="155"/>
      <c r="C2559" s="155"/>
      <c r="D2559" s="156" t="s">
        <v>3896</v>
      </c>
      <c r="E2559" s="156" t="s">
        <v>3892</v>
      </c>
      <c r="F2559" s="155"/>
      <c r="G2559" s="157" t="n">
        <v>11.2125</v>
      </c>
      <c r="H2559" s="158"/>
      <c r="I2559" s="155"/>
      <c r="J2559" s="155"/>
      <c r="K2559" s="146"/>
    </row>
    <row r="2560">
      <c r="A2560" s="9" t="s">
        <v>3897</v>
      </c>
      <c r="B2560" s="10" t="s">
        <v>89</v>
      </c>
      <c r="C2560" s="10" t="s">
        <v>3898</v>
      </c>
      <c r="D2560" s="14" t="s">
        <v>3899</v>
      </c>
      <c r="E2560" s="10"/>
      <c r="F2560" s="10" t="s">
        <v>282</v>
      </c>
      <c r="G2560" s="111" t="n">
        <v>21</v>
      </c>
      <c r="H2560" s="152" t="n">
        <v>0</v>
      </c>
      <c r="I2560" s="111">
        <f>G2560*H2560</f>
      </c>
      <c r="J2560" s="153" t="s">
        <v>4</v>
      </c>
      <c r="K2560" s="146"/>
      <c r="Z2560" s="111">
        <f>IF(AQ2560="5",BJ2560,0)</f>
      </c>
      <c r="AB2560" s="111">
        <f>IF(AQ2560="1",BH2560,0)</f>
      </c>
      <c r="AC2560" s="111">
        <f>IF(AQ2560="1",BI2560,0)</f>
      </c>
      <c r="AD2560" s="111">
        <f>IF(AQ2560="7",BH2560,0)</f>
      </c>
      <c r="AE2560" s="111">
        <f>IF(AQ2560="7",BI2560,0)</f>
      </c>
      <c r="AF2560" s="111">
        <f>IF(AQ2560="2",BH2560,0)</f>
      </c>
      <c r="AG2560" s="111">
        <f>IF(AQ2560="2",BI2560,0)</f>
      </c>
      <c r="AH2560" s="111">
        <f>IF(AQ2560="0",BJ2560,0)</f>
      </c>
      <c r="AI2560" s="132" t="s">
        <v>89</v>
      </c>
      <c r="AJ2560" s="111">
        <f>IF(AN2560=0,I2560,0)</f>
      </c>
      <c r="AK2560" s="111">
        <f>IF(AN2560=12,I2560,0)</f>
      </c>
      <c r="AL2560" s="111">
        <f>IF(AN2560=21,I2560,0)</f>
      </c>
      <c r="AN2560" s="111" t="n">
        <v>21</v>
      </c>
      <c r="AO2560" s="111">
        <f>H2560*1</f>
      </c>
      <c r="AP2560" s="111">
        <f>H2560*(1-1)</f>
      </c>
      <c r="AQ2560" s="153" t="s">
        <v>173</v>
      </c>
      <c r="AV2560" s="111">
        <f>AW2560+AX2560</f>
      </c>
      <c r="AW2560" s="111">
        <f>G2560*AO2560</f>
      </c>
      <c r="AX2560" s="111">
        <f>G2560*AP2560</f>
      </c>
      <c r="AY2560" s="153" t="s">
        <v>1855</v>
      </c>
      <c r="AZ2560" s="153" t="s">
        <v>3863</v>
      </c>
      <c r="BA2560" s="132" t="s">
        <v>3856</v>
      </c>
      <c r="BC2560" s="111">
        <f>AW2560+AX2560</f>
      </c>
      <c r="BD2560" s="111">
        <f>H2560/(100-BE2560)*100</f>
      </c>
      <c r="BE2560" s="111" t="n">
        <v>0</v>
      </c>
      <c r="BF2560" s="111">
        <f>2560</f>
      </c>
      <c r="BH2560" s="111">
        <f>G2560*AO2560</f>
      </c>
      <c r="BI2560" s="111">
        <f>G2560*AP2560</f>
      </c>
      <c r="BJ2560" s="111">
        <f>G2560*H2560</f>
      </c>
      <c r="BK2560" s="111"/>
      <c r="BL2560" s="111" t="n">
        <v>713</v>
      </c>
      <c r="BW2560" s="111" t="n">
        <v>21</v>
      </c>
      <c r="BX2560" s="14" t="s">
        <v>3899</v>
      </c>
    </row>
    <row r="2561">
      <c r="A2561" s="154"/>
      <c r="B2561" s="155"/>
      <c r="C2561" s="155"/>
      <c r="D2561" s="156" t="s">
        <v>3900</v>
      </c>
      <c r="E2561" s="156" t="s">
        <v>4</v>
      </c>
      <c r="F2561" s="155"/>
      <c r="G2561" s="157" t="n">
        <v>19</v>
      </c>
      <c r="H2561" s="158"/>
      <c r="I2561" s="155"/>
      <c r="J2561" s="155"/>
      <c r="K2561" s="146"/>
    </row>
    <row r="2562">
      <c r="A2562" s="154"/>
      <c r="B2562" s="155"/>
      <c r="C2562" s="155"/>
      <c r="D2562" s="156" t="s">
        <v>3901</v>
      </c>
      <c r="E2562" s="156" t="s">
        <v>3902</v>
      </c>
      <c r="F2562" s="155"/>
      <c r="G2562" s="157" t="n">
        <v>2</v>
      </c>
      <c r="H2562" s="158"/>
      <c r="I2562" s="155"/>
      <c r="J2562" s="155"/>
      <c r="K2562" s="146"/>
    </row>
    <row r="2563">
      <c r="A2563" s="147" t="s">
        <v>4</v>
      </c>
      <c r="B2563" s="148" t="s">
        <v>89</v>
      </c>
      <c r="C2563" s="148" t="s">
        <v>3723</v>
      </c>
      <c r="D2563" s="149" t="s">
        <v>3724</v>
      </c>
      <c r="E2563" s="148"/>
      <c r="F2563" s="150" t="s">
        <v>79</v>
      </c>
      <c r="G2563" s="150" t="s">
        <v>79</v>
      </c>
      <c r="H2563" s="151" t="s">
        <v>79</v>
      </c>
      <c r="I2563" s="117">
        <f>SUM(I2564:I2630)</f>
      </c>
      <c r="J2563" s="132" t="s">
        <v>4</v>
      </c>
      <c r="K2563" s="146"/>
      <c r="AI2563" s="132" t="s">
        <v>89</v>
      </c>
      <c r="AS2563" s="117">
        <f>SUM(AJ2564:AJ2630)</f>
      </c>
      <c r="AT2563" s="117">
        <f>SUM(AK2564:AK2630)</f>
      </c>
      <c r="AU2563" s="117">
        <f>SUM(AL2564:AL2630)</f>
      </c>
    </row>
    <row r="2564">
      <c r="A2564" s="9" t="s">
        <v>3723</v>
      </c>
      <c r="B2564" s="10" t="s">
        <v>89</v>
      </c>
      <c r="C2564" s="10" t="s">
        <v>3903</v>
      </c>
      <c r="D2564" s="14" t="s">
        <v>3904</v>
      </c>
      <c r="E2564" s="10"/>
      <c r="F2564" s="10" t="s">
        <v>282</v>
      </c>
      <c r="G2564" s="111" t="n">
        <v>2</v>
      </c>
      <c r="H2564" s="152" t="n">
        <v>0</v>
      </c>
      <c r="I2564" s="111">
        <f>G2564*H2564</f>
      </c>
      <c r="J2564" s="153" t="s">
        <v>4</v>
      </c>
      <c r="K2564" s="146"/>
      <c r="Z2564" s="111">
        <f>IF(AQ2564="5",BJ2564,0)</f>
      </c>
      <c r="AB2564" s="111">
        <f>IF(AQ2564="1",BH2564,0)</f>
      </c>
      <c r="AC2564" s="111">
        <f>IF(AQ2564="1",BI2564,0)</f>
      </c>
      <c r="AD2564" s="111">
        <f>IF(AQ2564="7",BH2564,0)</f>
      </c>
      <c r="AE2564" s="111">
        <f>IF(AQ2564="7",BI2564,0)</f>
      </c>
      <c r="AF2564" s="111">
        <f>IF(AQ2564="2",BH2564,0)</f>
      </c>
      <c r="AG2564" s="111">
        <f>IF(AQ2564="2",BI2564,0)</f>
      </c>
      <c r="AH2564" s="111">
        <f>IF(AQ2564="0",BJ2564,0)</f>
      </c>
      <c r="AI2564" s="132" t="s">
        <v>89</v>
      </c>
      <c r="AJ2564" s="111">
        <f>IF(AN2564=0,I2564,0)</f>
      </c>
      <c r="AK2564" s="111">
        <f>IF(AN2564=12,I2564,0)</f>
      </c>
      <c r="AL2564" s="111">
        <f>IF(AN2564=21,I2564,0)</f>
      </c>
      <c r="AN2564" s="111" t="n">
        <v>21</v>
      </c>
      <c r="AO2564" s="111">
        <f>H2564*0</f>
      </c>
      <c r="AP2564" s="111">
        <f>H2564*(1-0)</f>
      </c>
      <c r="AQ2564" s="153" t="s">
        <v>173</v>
      </c>
      <c r="AV2564" s="111">
        <f>AW2564+AX2564</f>
      </c>
      <c r="AW2564" s="111">
        <f>G2564*AO2564</f>
      </c>
      <c r="AX2564" s="111">
        <f>G2564*AP2564</f>
      </c>
      <c r="AY2564" s="153" t="s">
        <v>3728</v>
      </c>
      <c r="AZ2564" s="153" t="s">
        <v>3905</v>
      </c>
      <c r="BA2564" s="132" t="s">
        <v>3856</v>
      </c>
      <c r="BC2564" s="111">
        <f>AW2564+AX2564</f>
      </c>
      <c r="BD2564" s="111">
        <f>H2564/(100-BE2564)*100</f>
      </c>
      <c r="BE2564" s="111" t="n">
        <v>0</v>
      </c>
      <c r="BF2564" s="111">
        <f>2564</f>
      </c>
      <c r="BH2564" s="111">
        <f>G2564*AO2564</f>
      </c>
      <c r="BI2564" s="111">
        <f>G2564*AP2564</f>
      </c>
      <c r="BJ2564" s="111">
        <f>G2564*H2564</f>
      </c>
      <c r="BK2564" s="111"/>
      <c r="BL2564" s="111" t="n">
        <v>732</v>
      </c>
      <c r="BW2564" s="111" t="n">
        <v>21</v>
      </c>
      <c r="BX2564" s="14" t="s">
        <v>3904</v>
      </c>
    </row>
    <row r="2565">
      <c r="A2565" s="154"/>
      <c r="B2565" s="155"/>
      <c r="C2565" s="155"/>
      <c r="D2565" s="156" t="s">
        <v>3901</v>
      </c>
      <c r="E2565" s="156" t="s">
        <v>3906</v>
      </c>
      <c r="F2565" s="155"/>
      <c r="G2565" s="157" t="n">
        <v>2</v>
      </c>
      <c r="H2565" s="158"/>
      <c r="I2565" s="155"/>
      <c r="J2565" s="155"/>
      <c r="K2565" s="146"/>
    </row>
    <row r="2566">
      <c r="A2566" s="9" t="s">
        <v>3907</v>
      </c>
      <c r="B2566" s="10" t="s">
        <v>89</v>
      </c>
      <c r="C2566" s="10" t="s">
        <v>3908</v>
      </c>
      <c r="D2566" s="14" t="s">
        <v>3909</v>
      </c>
      <c r="E2566" s="10"/>
      <c r="F2566" s="10" t="s">
        <v>282</v>
      </c>
      <c r="G2566" s="111" t="n">
        <v>1</v>
      </c>
      <c r="H2566" s="152" t="n">
        <v>0</v>
      </c>
      <c r="I2566" s="111">
        <f>G2566*H2566</f>
      </c>
      <c r="J2566" s="153" t="s">
        <v>4</v>
      </c>
      <c r="K2566" s="146"/>
      <c r="Z2566" s="111">
        <f>IF(AQ2566="5",BJ2566,0)</f>
      </c>
      <c r="AB2566" s="111">
        <f>IF(AQ2566="1",BH2566,0)</f>
      </c>
      <c r="AC2566" s="111">
        <f>IF(AQ2566="1",BI2566,0)</f>
      </c>
      <c r="AD2566" s="111">
        <f>IF(AQ2566="7",BH2566,0)</f>
      </c>
      <c r="AE2566" s="111">
        <f>IF(AQ2566="7",BI2566,0)</f>
      </c>
      <c r="AF2566" s="111">
        <f>IF(AQ2566="2",BH2566,0)</f>
      </c>
      <c r="AG2566" s="111">
        <f>IF(AQ2566="2",BI2566,0)</f>
      </c>
      <c r="AH2566" s="111">
        <f>IF(AQ2566="0",BJ2566,0)</f>
      </c>
      <c r="AI2566" s="132" t="s">
        <v>89</v>
      </c>
      <c r="AJ2566" s="111">
        <f>IF(AN2566=0,I2566,0)</f>
      </c>
      <c r="AK2566" s="111">
        <f>IF(AN2566=12,I2566,0)</f>
      </c>
      <c r="AL2566" s="111">
        <f>IF(AN2566=21,I2566,0)</f>
      </c>
      <c r="AN2566" s="111" t="n">
        <v>21</v>
      </c>
      <c r="AO2566" s="111">
        <f>H2566*0</f>
      </c>
      <c r="AP2566" s="111">
        <f>H2566*(1-0)</f>
      </c>
      <c r="AQ2566" s="153" t="s">
        <v>173</v>
      </c>
      <c r="AV2566" s="111">
        <f>AW2566+AX2566</f>
      </c>
      <c r="AW2566" s="111">
        <f>G2566*AO2566</f>
      </c>
      <c r="AX2566" s="111">
        <f>G2566*AP2566</f>
      </c>
      <c r="AY2566" s="153" t="s">
        <v>3728</v>
      </c>
      <c r="AZ2566" s="153" t="s">
        <v>3905</v>
      </c>
      <c r="BA2566" s="132" t="s">
        <v>3856</v>
      </c>
      <c r="BC2566" s="111">
        <f>AW2566+AX2566</f>
      </c>
      <c r="BD2566" s="111">
        <f>H2566/(100-BE2566)*100</f>
      </c>
      <c r="BE2566" s="111" t="n">
        <v>0</v>
      </c>
      <c r="BF2566" s="111">
        <f>2566</f>
      </c>
      <c r="BH2566" s="111">
        <f>G2566*AO2566</f>
      </c>
      <c r="BI2566" s="111">
        <f>G2566*AP2566</f>
      </c>
      <c r="BJ2566" s="111">
        <f>G2566*H2566</f>
      </c>
      <c r="BK2566" s="111"/>
      <c r="BL2566" s="111" t="n">
        <v>732</v>
      </c>
      <c r="BW2566" s="111" t="n">
        <v>21</v>
      </c>
      <c r="BX2566" s="14" t="s">
        <v>3909</v>
      </c>
    </row>
    <row r="2567">
      <c r="A2567" s="154"/>
      <c r="B2567" s="155"/>
      <c r="C2567" s="155"/>
      <c r="D2567" s="156" t="s">
        <v>3910</v>
      </c>
      <c r="E2567" s="156" t="s">
        <v>3911</v>
      </c>
      <c r="F2567" s="155"/>
      <c r="G2567" s="157" t="n">
        <v>1</v>
      </c>
      <c r="H2567" s="158"/>
      <c r="I2567" s="155"/>
      <c r="J2567" s="155"/>
      <c r="K2567" s="146"/>
    </row>
    <row r="2568">
      <c r="A2568" s="9" t="s">
        <v>3912</v>
      </c>
      <c r="B2568" s="10" t="s">
        <v>89</v>
      </c>
      <c r="C2568" s="10" t="s">
        <v>3913</v>
      </c>
      <c r="D2568" s="14" t="s">
        <v>3914</v>
      </c>
      <c r="E2568" s="10"/>
      <c r="F2568" s="10" t="s">
        <v>282</v>
      </c>
      <c r="G2568" s="111" t="n">
        <v>24</v>
      </c>
      <c r="H2568" s="152" t="n">
        <v>0</v>
      </c>
      <c r="I2568" s="111">
        <f>G2568*H2568</f>
      </c>
      <c r="J2568" s="153" t="s">
        <v>4</v>
      </c>
      <c r="K2568" s="146"/>
      <c r="Z2568" s="111">
        <f>IF(AQ2568="5",BJ2568,0)</f>
      </c>
      <c r="AB2568" s="111">
        <f>IF(AQ2568="1",BH2568,0)</f>
      </c>
      <c r="AC2568" s="111">
        <f>IF(AQ2568="1",BI2568,0)</f>
      </c>
      <c r="AD2568" s="111">
        <f>IF(AQ2568="7",BH2568,0)</f>
      </c>
      <c r="AE2568" s="111">
        <f>IF(AQ2568="7",BI2568,0)</f>
      </c>
      <c r="AF2568" s="111">
        <f>IF(AQ2568="2",BH2568,0)</f>
      </c>
      <c r="AG2568" s="111">
        <f>IF(AQ2568="2",BI2568,0)</f>
      </c>
      <c r="AH2568" s="111">
        <f>IF(AQ2568="0",BJ2568,0)</f>
      </c>
      <c r="AI2568" s="132" t="s">
        <v>89</v>
      </c>
      <c r="AJ2568" s="111">
        <f>IF(AN2568=0,I2568,0)</f>
      </c>
      <c r="AK2568" s="111">
        <f>IF(AN2568=12,I2568,0)</f>
      </c>
      <c r="AL2568" s="111">
        <f>IF(AN2568=21,I2568,0)</f>
      </c>
      <c r="AN2568" s="111" t="n">
        <v>21</v>
      </c>
      <c r="AO2568" s="111">
        <f>H2568*0</f>
      </c>
      <c r="AP2568" s="111">
        <f>H2568*(1-0)</f>
      </c>
      <c r="AQ2568" s="153" t="s">
        <v>173</v>
      </c>
      <c r="AV2568" s="111">
        <f>AW2568+AX2568</f>
      </c>
      <c r="AW2568" s="111">
        <f>G2568*AO2568</f>
      </c>
      <c r="AX2568" s="111">
        <f>G2568*AP2568</f>
      </c>
      <c r="AY2568" s="153" t="s">
        <v>3728</v>
      </c>
      <c r="AZ2568" s="153" t="s">
        <v>3905</v>
      </c>
      <c r="BA2568" s="132" t="s">
        <v>3856</v>
      </c>
      <c r="BC2568" s="111">
        <f>AW2568+AX2568</f>
      </c>
      <c r="BD2568" s="111">
        <f>H2568/(100-BE2568)*100</f>
      </c>
      <c r="BE2568" s="111" t="n">
        <v>0</v>
      </c>
      <c r="BF2568" s="111">
        <f>2568</f>
      </c>
      <c r="BH2568" s="111">
        <f>G2568*AO2568</f>
      </c>
      <c r="BI2568" s="111">
        <f>G2568*AP2568</f>
      </c>
      <c r="BJ2568" s="111">
        <f>G2568*H2568</f>
      </c>
      <c r="BK2568" s="111"/>
      <c r="BL2568" s="111" t="n">
        <v>732</v>
      </c>
      <c r="BW2568" s="111" t="n">
        <v>21</v>
      </c>
      <c r="BX2568" s="14" t="s">
        <v>3914</v>
      </c>
    </row>
    <row r="2569">
      <c r="A2569" s="154"/>
      <c r="B2569" s="155"/>
      <c r="C2569" s="155"/>
      <c r="D2569" s="156" t="s">
        <v>3915</v>
      </c>
      <c r="E2569" s="156" t="s">
        <v>3916</v>
      </c>
      <c r="F2569" s="155"/>
      <c r="G2569" s="157" t="n">
        <v>24</v>
      </c>
      <c r="H2569" s="158"/>
      <c r="I2569" s="155"/>
      <c r="J2569" s="155"/>
      <c r="K2569" s="146"/>
    </row>
    <row r="2570">
      <c r="A2570" s="9" t="s">
        <v>3917</v>
      </c>
      <c r="B2570" s="10" t="s">
        <v>89</v>
      </c>
      <c r="C2570" s="10" t="s">
        <v>3918</v>
      </c>
      <c r="D2570" s="14" t="s">
        <v>3919</v>
      </c>
      <c r="E2570" s="10"/>
      <c r="F2570" s="10" t="s">
        <v>282</v>
      </c>
      <c r="G2570" s="111" t="n">
        <v>43</v>
      </c>
      <c r="H2570" s="152" t="n">
        <v>0</v>
      </c>
      <c r="I2570" s="111">
        <f>G2570*H2570</f>
      </c>
      <c r="J2570" s="153" t="s">
        <v>4</v>
      </c>
      <c r="K2570" s="146"/>
      <c r="Z2570" s="111">
        <f>IF(AQ2570="5",BJ2570,0)</f>
      </c>
      <c r="AB2570" s="111">
        <f>IF(AQ2570="1",BH2570,0)</f>
      </c>
      <c r="AC2570" s="111">
        <f>IF(AQ2570="1",BI2570,0)</f>
      </c>
      <c r="AD2570" s="111">
        <f>IF(AQ2570="7",BH2570,0)</f>
      </c>
      <c r="AE2570" s="111">
        <f>IF(AQ2570="7",BI2570,0)</f>
      </c>
      <c r="AF2570" s="111">
        <f>IF(AQ2570="2",BH2570,0)</f>
      </c>
      <c r="AG2570" s="111">
        <f>IF(AQ2570="2",BI2570,0)</f>
      </c>
      <c r="AH2570" s="111">
        <f>IF(AQ2570="0",BJ2570,0)</f>
      </c>
      <c r="AI2570" s="132" t="s">
        <v>89</v>
      </c>
      <c r="AJ2570" s="111">
        <f>IF(AN2570=0,I2570,0)</f>
      </c>
      <c r="AK2570" s="111">
        <f>IF(AN2570=12,I2570,0)</f>
      </c>
      <c r="AL2570" s="111">
        <f>IF(AN2570=21,I2570,0)</f>
      </c>
      <c r="AN2570" s="111" t="n">
        <v>21</v>
      </c>
      <c r="AO2570" s="111">
        <f>H2570*0</f>
      </c>
      <c r="AP2570" s="111">
        <f>H2570*(1-0)</f>
      </c>
      <c r="AQ2570" s="153" t="s">
        <v>173</v>
      </c>
      <c r="AV2570" s="111">
        <f>AW2570+AX2570</f>
      </c>
      <c r="AW2570" s="111">
        <f>G2570*AO2570</f>
      </c>
      <c r="AX2570" s="111">
        <f>G2570*AP2570</f>
      </c>
      <c r="AY2570" s="153" t="s">
        <v>3728</v>
      </c>
      <c r="AZ2570" s="153" t="s">
        <v>3905</v>
      </c>
      <c r="BA2570" s="132" t="s">
        <v>3856</v>
      </c>
      <c r="BC2570" s="111">
        <f>AW2570+AX2570</f>
      </c>
      <c r="BD2570" s="111">
        <f>H2570/(100-BE2570)*100</f>
      </c>
      <c r="BE2570" s="111" t="n">
        <v>0</v>
      </c>
      <c r="BF2570" s="111">
        <f>2570</f>
      </c>
      <c r="BH2570" s="111">
        <f>G2570*AO2570</f>
      </c>
      <c r="BI2570" s="111">
        <f>G2570*AP2570</f>
      </c>
      <c r="BJ2570" s="111">
        <f>G2570*H2570</f>
      </c>
      <c r="BK2570" s="111"/>
      <c r="BL2570" s="111" t="n">
        <v>732</v>
      </c>
      <c r="BW2570" s="111" t="n">
        <v>21</v>
      </c>
      <c r="BX2570" s="14" t="s">
        <v>3919</v>
      </c>
    </row>
    <row r="2571">
      <c r="A2571" s="154"/>
      <c r="B2571" s="155"/>
      <c r="C2571" s="155"/>
      <c r="D2571" s="156" t="s">
        <v>3920</v>
      </c>
      <c r="E2571" s="156" t="s">
        <v>3921</v>
      </c>
      <c r="F2571" s="155"/>
      <c r="G2571" s="157" t="n">
        <v>43</v>
      </c>
      <c r="H2571" s="158"/>
      <c r="I2571" s="155"/>
      <c r="J2571" s="155"/>
      <c r="K2571" s="146"/>
    </row>
    <row r="2572">
      <c r="A2572" s="9" t="s">
        <v>1982</v>
      </c>
      <c r="B2572" s="10" t="s">
        <v>89</v>
      </c>
      <c r="C2572" s="10" t="s">
        <v>3922</v>
      </c>
      <c r="D2572" s="14" t="s">
        <v>3923</v>
      </c>
      <c r="E2572" s="10"/>
      <c r="F2572" s="10" t="s">
        <v>133</v>
      </c>
      <c r="G2572" s="111" t="n">
        <v>14</v>
      </c>
      <c r="H2572" s="152" t="n">
        <v>0</v>
      </c>
      <c r="I2572" s="111">
        <f>G2572*H2572</f>
      </c>
      <c r="J2572" s="153" t="s">
        <v>4</v>
      </c>
      <c r="K2572" s="146"/>
      <c r="Z2572" s="111">
        <f>IF(AQ2572="5",BJ2572,0)</f>
      </c>
      <c r="AB2572" s="111">
        <f>IF(AQ2572="1",BH2572,0)</f>
      </c>
      <c r="AC2572" s="111">
        <f>IF(AQ2572="1",BI2572,0)</f>
      </c>
      <c r="AD2572" s="111">
        <f>IF(AQ2572="7",BH2572,0)</f>
      </c>
      <c r="AE2572" s="111">
        <f>IF(AQ2572="7",BI2572,0)</f>
      </c>
      <c r="AF2572" s="111">
        <f>IF(AQ2572="2",BH2572,0)</f>
      </c>
      <c r="AG2572" s="111">
        <f>IF(AQ2572="2",BI2572,0)</f>
      </c>
      <c r="AH2572" s="111">
        <f>IF(AQ2572="0",BJ2572,0)</f>
      </c>
      <c r="AI2572" s="132" t="s">
        <v>89</v>
      </c>
      <c r="AJ2572" s="111">
        <f>IF(AN2572=0,I2572,0)</f>
      </c>
      <c r="AK2572" s="111">
        <f>IF(AN2572=12,I2572,0)</f>
      </c>
      <c r="AL2572" s="111">
        <f>IF(AN2572=21,I2572,0)</f>
      </c>
      <c r="AN2572" s="111" t="n">
        <v>21</v>
      </c>
      <c r="AO2572" s="111">
        <f>H2572*0</f>
      </c>
      <c r="AP2572" s="111">
        <f>H2572*(1-0)</f>
      </c>
      <c r="AQ2572" s="153" t="s">
        <v>173</v>
      </c>
      <c r="AV2572" s="111">
        <f>AW2572+AX2572</f>
      </c>
      <c r="AW2572" s="111">
        <f>G2572*AO2572</f>
      </c>
      <c r="AX2572" s="111">
        <f>G2572*AP2572</f>
      </c>
      <c r="AY2572" s="153" t="s">
        <v>3728</v>
      </c>
      <c r="AZ2572" s="153" t="s">
        <v>3905</v>
      </c>
      <c r="BA2572" s="132" t="s">
        <v>3856</v>
      </c>
      <c r="BC2572" s="111">
        <f>AW2572+AX2572</f>
      </c>
      <c r="BD2572" s="111">
        <f>H2572/(100-BE2572)*100</f>
      </c>
      <c r="BE2572" s="111" t="n">
        <v>0</v>
      </c>
      <c r="BF2572" s="111">
        <f>2572</f>
      </c>
      <c r="BH2572" s="111">
        <f>G2572*AO2572</f>
      </c>
      <c r="BI2572" s="111">
        <f>G2572*AP2572</f>
      </c>
      <c r="BJ2572" s="111">
        <f>G2572*H2572</f>
      </c>
      <c r="BK2572" s="111"/>
      <c r="BL2572" s="111" t="n">
        <v>732</v>
      </c>
      <c r="BW2572" s="111" t="n">
        <v>21</v>
      </c>
      <c r="BX2572" s="14" t="s">
        <v>3923</v>
      </c>
    </row>
    <row r="2573">
      <c r="A2573" s="9" t="s">
        <v>3924</v>
      </c>
      <c r="B2573" s="10" t="s">
        <v>89</v>
      </c>
      <c r="C2573" s="10" t="s">
        <v>3925</v>
      </c>
      <c r="D2573" s="14" t="s">
        <v>3926</v>
      </c>
      <c r="E2573" s="10"/>
      <c r="F2573" s="10" t="s">
        <v>133</v>
      </c>
      <c r="G2573" s="111" t="n">
        <v>11</v>
      </c>
      <c r="H2573" s="152" t="n">
        <v>0</v>
      </c>
      <c r="I2573" s="111">
        <f>G2573*H2573</f>
      </c>
      <c r="J2573" s="153" t="s">
        <v>4</v>
      </c>
      <c r="K2573" s="146"/>
      <c r="Z2573" s="111">
        <f>IF(AQ2573="5",BJ2573,0)</f>
      </c>
      <c r="AB2573" s="111">
        <f>IF(AQ2573="1",BH2573,0)</f>
      </c>
      <c r="AC2573" s="111">
        <f>IF(AQ2573="1",BI2573,0)</f>
      </c>
      <c r="AD2573" s="111">
        <f>IF(AQ2573="7",BH2573,0)</f>
      </c>
      <c r="AE2573" s="111">
        <f>IF(AQ2573="7",BI2573,0)</f>
      </c>
      <c r="AF2573" s="111">
        <f>IF(AQ2573="2",BH2573,0)</f>
      </c>
      <c r="AG2573" s="111">
        <f>IF(AQ2573="2",BI2573,0)</f>
      </c>
      <c r="AH2573" s="111">
        <f>IF(AQ2573="0",BJ2573,0)</f>
      </c>
      <c r="AI2573" s="132" t="s">
        <v>89</v>
      </c>
      <c r="AJ2573" s="111">
        <f>IF(AN2573=0,I2573,0)</f>
      </c>
      <c r="AK2573" s="111">
        <f>IF(AN2573=12,I2573,0)</f>
      </c>
      <c r="AL2573" s="111">
        <f>IF(AN2573=21,I2573,0)</f>
      </c>
      <c r="AN2573" s="111" t="n">
        <v>21</v>
      </c>
      <c r="AO2573" s="111">
        <f>H2573*0</f>
      </c>
      <c r="AP2573" s="111">
        <f>H2573*(1-0)</f>
      </c>
      <c r="AQ2573" s="153" t="s">
        <v>173</v>
      </c>
      <c r="AV2573" s="111">
        <f>AW2573+AX2573</f>
      </c>
      <c r="AW2573" s="111">
        <f>G2573*AO2573</f>
      </c>
      <c r="AX2573" s="111">
        <f>G2573*AP2573</f>
      </c>
      <c r="AY2573" s="153" t="s">
        <v>3728</v>
      </c>
      <c r="AZ2573" s="153" t="s">
        <v>3905</v>
      </c>
      <c r="BA2573" s="132" t="s">
        <v>3856</v>
      </c>
      <c r="BC2573" s="111">
        <f>AW2573+AX2573</f>
      </c>
      <c r="BD2573" s="111">
        <f>H2573/(100-BE2573)*100</f>
      </c>
      <c r="BE2573" s="111" t="n">
        <v>0</v>
      </c>
      <c r="BF2573" s="111">
        <f>2573</f>
      </c>
      <c r="BH2573" s="111">
        <f>G2573*AO2573</f>
      </c>
      <c r="BI2573" s="111">
        <f>G2573*AP2573</f>
      </c>
      <c r="BJ2573" s="111">
        <f>G2573*H2573</f>
      </c>
      <c r="BK2573" s="111"/>
      <c r="BL2573" s="111" t="n">
        <v>732</v>
      </c>
      <c r="BW2573" s="111" t="n">
        <v>21</v>
      </c>
      <c r="BX2573" s="14" t="s">
        <v>3926</v>
      </c>
    </row>
    <row r="2574">
      <c r="A2574" s="9" t="s">
        <v>3927</v>
      </c>
      <c r="B2574" s="10" t="s">
        <v>89</v>
      </c>
      <c r="C2574" s="10" t="s">
        <v>3928</v>
      </c>
      <c r="D2574" s="14" t="s">
        <v>3929</v>
      </c>
      <c r="E2574" s="10"/>
      <c r="F2574" s="10" t="s">
        <v>133</v>
      </c>
      <c r="G2574" s="111" t="n">
        <v>9</v>
      </c>
      <c r="H2574" s="152" t="n">
        <v>0</v>
      </c>
      <c r="I2574" s="111">
        <f>G2574*H2574</f>
      </c>
      <c r="J2574" s="153" t="s">
        <v>4</v>
      </c>
      <c r="K2574" s="146"/>
      <c r="Z2574" s="111">
        <f>IF(AQ2574="5",BJ2574,0)</f>
      </c>
      <c r="AB2574" s="111">
        <f>IF(AQ2574="1",BH2574,0)</f>
      </c>
      <c r="AC2574" s="111">
        <f>IF(AQ2574="1",BI2574,0)</f>
      </c>
      <c r="AD2574" s="111">
        <f>IF(AQ2574="7",BH2574,0)</f>
      </c>
      <c r="AE2574" s="111">
        <f>IF(AQ2574="7",BI2574,0)</f>
      </c>
      <c r="AF2574" s="111">
        <f>IF(AQ2574="2",BH2574,0)</f>
      </c>
      <c r="AG2574" s="111">
        <f>IF(AQ2574="2",BI2574,0)</f>
      </c>
      <c r="AH2574" s="111">
        <f>IF(AQ2574="0",BJ2574,0)</f>
      </c>
      <c r="AI2574" s="132" t="s">
        <v>89</v>
      </c>
      <c r="AJ2574" s="111">
        <f>IF(AN2574=0,I2574,0)</f>
      </c>
      <c r="AK2574" s="111">
        <f>IF(AN2574=12,I2574,0)</f>
      </c>
      <c r="AL2574" s="111">
        <f>IF(AN2574=21,I2574,0)</f>
      </c>
      <c r="AN2574" s="111" t="n">
        <v>21</v>
      </c>
      <c r="AO2574" s="111">
        <f>H2574*0</f>
      </c>
      <c r="AP2574" s="111">
        <f>H2574*(1-0)</f>
      </c>
      <c r="AQ2574" s="153" t="s">
        <v>173</v>
      </c>
      <c r="AV2574" s="111">
        <f>AW2574+AX2574</f>
      </c>
      <c r="AW2574" s="111">
        <f>G2574*AO2574</f>
      </c>
      <c r="AX2574" s="111">
        <f>G2574*AP2574</f>
      </c>
      <c r="AY2574" s="153" t="s">
        <v>3728</v>
      </c>
      <c r="AZ2574" s="153" t="s">
        <v>3905</v>
      </c>
      <c r="BA2574" s="132" t="s">
        <v>3856</v>
      </c>
      <c r="BC2574" s="111">
        <f>AW2574+AX2574</f>
      </c>
      <c r="BD2574" s="111">
        <f>H2574/(100-BE2574)*100</f>
      </c>
      <c r="BE2574" s="111" t="n">
        <v>0</v>
      </c>
      <c r="BF2574" s="111">
        <f>2574</f>
      </c>
      <c r="BH2574" s="111">
        <f>G2574*AO2574</f>
      </c>
      <c r="BI2574" s="111">
        <f>G2574*AP2574</f>
      </c>
      <c r="BJ2574" s="111">
        <f>G2574*H2574</f>
      </c>
      <c r="BK2574" s="111"/>
      <c r="BL2574" s="111" t="n">
        <v>732</v>
      </c>
      <c r="BW2574" s="111" t="n">
        <v>21</v>
      </c>
      <c r="BX2574" s="14" t="s">
        <v>3929</v>
      </c>
    </row>
    <row r="2575">
      <c r="A2575" s="9" t="s">
        <v>3930</v>
      </c>
      <c r="B2575" s="10" t="s">
        <v>89</v>
      </c>
      <c r="C2575" s="10" t="s">
        <v>3931</v>
      </c>
      <c r="D2575" s="14" t="s">
        <v>3932</v>
      </c>
      <c r="E2575" s="10"/>
      <c r="F2575" s="10" t="s">
        <v>2277</v>
      </c>
      <c r="G2575" s="111" t="n">
        <v>2</v>
      </c>
      <c r="H2575" s="152" t="n">
        <v>0</v>
      </c>
      <c r="I2575" s="111">
        <f>G2575*H2575</f>
      </c>
      <c r="J2575" s="153" t="s">
        <v>4</v>
      </c>
      <c r="K2575" s="146"/>
      <c r="Z2575" s="111">
        <f>IF(AQ2575="5",BJ2575,0)</f>
      </c>
      <c r="AB2575" s="111">
        <f>IF(AQ2575="1",BH2575,0)</f>
      </c>
      <c r="AC2575" s="111">
        <f>IF(AQ2575="1",BI2575,0)</f>
      </c>
      <c r="AD2575" s="111">
        <f>IF(AQ2575="7",BH2575,0)</f>
      </c>
      <c r="AE2575" s="111">
        <f>IF(AQ2575="7",BI2575,0)</f>
      </c>
      <c r="AF2575" s="111">
        <f>IF(AQ2575="2",BH2575,0)</f>
      </c>
      <c r="AG2575" s="111">
        <f>IF(AQ2575="2",BI2575,0)</f>
      </c>
      <c r="AH2575" s="111">
        <f>IF(AQ2575="0",BJ2575,0)</f>
      </c>
      <c r="AI2575" s="132" t="s">
        <v>89</v>
      </c>
      <c r="AJ2575" s="111">
        <f>IF(AN2575=0,I2575,0)</f>
      </c>
      <c r="AK2575" s="111">
        <f>IF(AN2575=12,I2575,0)</f>
      </c>
      <c r="AL2575" s="111">
        <f>IF(AN2575=21,I2575,0)</f>
      </c>
      <c r="AN2575" s="111" t="n">
        <v>21</v>
      </c>
      <c r="AO2575" s="111">
        <f>H2575*0</f>
      </c>
      <c r="AP2575" s="111">
        <f>H2575*(1-0)</f>
      </c>
      <c r="AQ2575" s="153" t="s">
        <v>173</v>
      </c>
      <c r="AV2575" s="111">
        <f>AW2575+AX2575</f>
      </c>
      <c r="AW2575" s="111">
        <f>G2575*AO2575</f>
      </c>
      <c r="AX2575" s="111">
        <f>G2575*AP2575</f>
      </c>
      <c r="AY2575" s="153" t="s">
        <v>3728</v>
      </c>
      <c r="AZ2575" s="153" t="s">
        <v>3905</v>
      </c>
      <c r="BA2575" s="132" t="s">
        <v>3856</v>
      </c>
      <c r="BC2575" s="111">
        <f>AW2575+AX2575</f>
      </c>
      <c r="BD2575" s="111">
        <f>H2575/(100-BE2575)*100</f>
      </c>
      <c r="BE2575" s="111" t="n">
        <v>0</v>
      </c>
      <c r="BF2575" s="111">
        <f>2575</f>
      </c>
      <c r="BH2575" s="111">
        <f>G2575*AO2575</f>
      </c>
      <c r="BI2575" s="111">
        <f>G2575*AP2575</f>
      </c>
      <c r="BJ2575" s="111">
        <f>G2575*H2575</f>
      </c>
      <c r="BK2575" s="111"/>
      <c r="BL2575" s="111" t="n">
        <v>732</v>
      </c>
      <c r="BW2575" s="111" t="n">
        <v>21</v>
      </c>
      <c r="BX2575" s="14" t="s">
        <v>3932</v>
      </c>
    </row>
    <row r="2576" ht="24.75">
      <c r="A2576" s="9" t="s">
        <v>3933</v>
      </c>
      <c r="B2576" s="10" t="s">
        <v>89</v>
      </c>
      <c r="C2576" s="10" t="s">
        <v>3934</v>
      </c>
      <c r="D2576" s="14" t="s">
        <v>3935</v>
      </c>
      <c r="E2576" s="10"/>
      <c r="F2576" s="10" t="s">
        <v>2277</v>
      </c>
      <c r="G2576" s="111" t="n">
        <v>5</v>
      </c>
      <c r="H2576" s="152" t="n">
        <v>0</v>
      </c>
      <c r="I2576" s="111">
        <f>G2576*H2576</f>
      </c>
      <c r="J2576" s="153" t="s">
        <v>4</v>
      </c>
      <c r="K2576" s="146"/>
      <c r="Z2576" s="111">
        <f>IF(AQ2576="5",BJ2576,0)</f>
      </c>
      <c r="AB2576" s="111">
        <f>IF(AQ2576="1",BH2576,0)</f>
      </c>
      <c r="AC2576" s="111">
        <f>IF(AQ2576="1",BI2576,0)</f>
      </c>
      <c r="AD2576" s="111">
        <f>IF(AQ2576="7",BH2576,0)</f>
      </c>
      <c r="AE2576" s="111">
        <f>IF(AQ2576="7",BI2576,0)</f>
      </c>
      <c r="AF2576" s="111">
        <f>IF(AQ2576="2",BH2576,0)</f>
      </c>
      <c r="AG2576" s="111">
        <f>IF(AQ2576="2",BI2576,0)</f>
      </c>
      <c r="AH2576" s="111">
        <f>IF(AQ2576="0",BJ2576,0)</f>
      </c>
      <c r="AI2576" s="132" t="s">
        <v>89</v>
      </c>
      <c r="AJ2576" s="111">
        <f>IF(AN2576=0,I2576,0)</f>
      </c>
      <c r="AK2576" s="111">
        <f>IF(AN2576=12,I2576,0)</f>
      </c>
      <c r="AL2576" s="111">
        <f>IF(AN2576=21,I2576,0)</f>
      </c>
      <c r="AN2576" s="111" t="n">
        <v>21</v>
      </c>
      <c r="AO2576" s="111">
        <f>H2576*0</f>
      </c>
      <c r="AP2576" s="111">
        <f>H2576*(1-0)</f>
      </c>
      <c r="AQ2576" s="153" t="s">
        <v>173</v>
      </c>
      <c r="AV2576" s="111">
        <f>AW2576+AX2576</f>
      </c>
      <c r="AW2576" s="111">
        <f>G2576*AO2576</f>
      </c>
      <c r="AX2576" s="111">
        <f>G2576*AP2576</f>
      </c>
      <c r="AY2576" s="153" t="s">
        <v>3728</v>
      </c>
      <c r="AZ2576" s="153" t="s">
        <v>3905</v>
      </c>
      <c r="BA2576" s="132" t="s">
        <v>3856</v>
      </c>
      <c r="BC2576" s="111">
        <f>AW2576+AX2576</f>
      </c>
      <c r="BD2576" s="111">
        <f>H2576/(100-BE2576)*100</f>
      </c>
      <c r="BE2576" s="111" t="n">
        <v>0</v>
      </c>
      <c r="BF2576" s="111">
        <f>2576</f>
      </c>
      <c r="BH2576" s="111">
        <f>G2576*AO2576</f>
      </c>
      <c r="BI2576" s="111">
        <f>G2576*AP2576</f>
      </c>
      <c r="BJ2576" s="111">
        <f>G2576*H2576</f>
      </c>
      <c r="BK2576" s="111"/>
      <c r="BL2576" s="111" t="n">
        <v>732</v>
      </c>
      <c r="BW2576" s="111" t="n">
        <v>21</v>
      </c>
      <c r="BX2576" s="14" t="s">
        <v>3935</v>
      </c>
    </row>
    <row r="2577" ht="24.75">
      <c r="A2577" s="9" t="s">
        <v>3936</v>
      </c>
      <c r="B2577" s="10" t="s">
        <v>89</v>
      </c>
      <c r="C2577" s="10" t="s">
        <v>3937</v>
      </c>
      <c r="D2577" s="14" t="s">
        <v>3938</v>
      </c>
      <c r="E2577" s="10"/>
      <c r="F2577" s="10" t="s">
        <v>2277</v>
      </c>
      <c r="G2577" s="111" t="n">
        <v>5</v>
      </c>
      <c r="H2577" s="152" t="n">
        <v>0</v>
      </c>
      <c r="I2577" s="111">
        <f>G2577*H2577</f>
      </c>
      <c r="J2577" s="153" t="s">
        <v>4</v>
      </c>
      <c r="K2577" s="146"/>
      <c r="Z2577" s="111">
        <f>IF(AQ2577="5",BJ2577,0)</f>
      </c>
      <c r="AB2577" s="111">
        <f>IF(AQ2577="1",BH2577,0)</f>
      </c>
      <c r="AC2577" s="111">
        <f>IF(AQ2577="1",BI2577,0)</f>
      </c>
      <c r="AD2577" s="111">
        <f>IF(AQ2577="7",BH2577,0)</f>
      </c>
      <c r="AE2577" s="111">
        <f>IF(AQ2577="7",BI2577,0)</f>
      </c>
      <c r="AF2577" s="111">
        <f>IF(AQ2577="2",BH2577,0)</f>
      </c>
      <c r="AG2577" s="111">
        <f>IF(AQ2577="2",BI2577,0)</f>
      </c>
      <c r="AH2577" s="111">
        <f>IF(AQ2577="0",BJ2577,0)</f>
      </c>
      <c r="AI2577" s="132" t="s">
        <v>89</v>
      </c>
      <c r="AJ2577" s="111">
        <f>IF(AN2577=0,I2577,0)</f>
      </c>
      <c r="AK2577" s="111">
        <f>IF(AN2577=12,I2577,0)</f>
      </c>
      <c r="AL2577" s="111">
        <f>IF(AN2577=21,I2577,0)</f>
      </c>
      <c r="AN2577" s="111" t="n">
        <v>21</v>
      </c>
      <c r="AO2577" s="111">
        <f>H2577*0</f>
      </c>
      <c r="AP2577" s="111">
        <f>H2577*(1-0)</f>
      </c>
      <c r="AQ2577" s="153" t="s">
        <v>173</v>
      </c>
      <c r="AV2577" s="111">
        <f>AW2577+AX2577</f>
      </c>
      <c r="AW2577" s="111">
        <f>G2577*AO2577</f>
      </c>
      <c r="AX2577" s="111">
        <f>G2577*AP2577</f>
      </c>
      <c r="AY2577" s="153" t="s">
        <v>3728</v>
      </c>
      <c r="AZ2577" s="153" t="s">
        <v>3905</v>
      </c>
      <c r="BA2577" s="132" t="s">
        <v>3856</v>
      </c>
      <c r="BC2577" s="111">
        <f>AW2577+AX2577</f>
      </c>
      <c r="BD2577" s="111">
        <f>H2577/(100-BE2577)*100</f>
      </c>
      <c r="BE2577" s="111" t="n">
        <v>0</v>
      </c>
      <c r="BF2577" s="111">
        <f>2577</f>
      </c>
      <c r="BH2577" s="111">
        <f>G2577*AO2577</f>
      </c>
      <c r="BI2577" s="111">
        <f>G2577*AP2577</f>
      </c>
      <c r="BJ2577" s="111">
        <f>G2577*H2577</f>
      </c>
      <c r="BK2577" s="111"/>
      <c r="BL2577" s="111" t="n">
        <v>732</v>
      </c>
      <c r="BW2577" s="111" t="n">
        <v>21</v>
      </c>
      <c r="BX2577" s="14" t="s">
        <v>3938</v>
      </c>
    </row>
    <row r="2578" ht="24.75">
      <c r="A2578" s="9" t="s">
        <v>3939</v>
      </c>
      <c r="B2578" s="10" t="s">
        <v>89</v>
      </c>
      <c r="C2578" s="10" t="s">
        <v>3940</v>
      </c>
      <c r="D2578" s="14" t="s">
        <v>3941</v>
      </c>
      <c r="E2578" s="10"/>
      <c r="F2578" s="10" t="s">
        <v>2277</v>
      </c>
      <c r="G2578" s="111" t="n">
        <v>5</v>
      </c>
      <c r="H2578" s="152" t="n">
        <v>0</v>
      </c>
      <c r="I2578" s="111">
        <f>G2578*H2578</f>
      </c>
      <c r="J2578" s="153" t="s">
        <v>4</v>
      </c>
      <c r="K2578" s="146"/>
      <c r="Z2578" s="111">
        <f>IF(AQ2578="5",BJ2578,0)</f>
      </c>
      <c r="AB2578" s="111">
        <f>IF(AQ2578="1",BH2578,0)</f>
      </c>
      <c r="AC2578" s="111">
        <f>IF(AQ2578="1",BI2578,0)</f>
      </c>
      <c r="AD2578" s="111">
        <f>IF(AQ2578="7",BH2578,0)</f>
      </c>
      <c r="AE2578" s="111">
        <f>IF(AQ2578="7",BI2578,0)</f>
      </c>
      <c r="AF2578" s="111">
        <f>IF(AQ2578="2",BH2578,0)</f>
      </c>
      <c r="AG2578" s="111">
        <f>IF(AQ2578="2",BI2578,0)</f>
      </c>
      <c r="AH2578" s="111">
        <f>IF(AQ2578="0",BJ2578,0)</f>
      </c>
      <c r="AI2578" s="132" t="s">
        <v>89</v>
      </c>
      <c r="AJ2578" s="111">
        <f>IF(AN2578=0,I2578,0)</f>
      </c>
      <c r="AK2578" s="111">
        <f>IF(AN2578=12,I2578,0)</f>
      </c>
      <c r="AL2578" s="111">
        <f>IF(AN2578=21,I2578,0)</f>
      </c>
      <c r="AN2578" s="111" t="n">
        <v>21</v>
      </c>
      <c r="AO2578" s="111">
        <f>H2578*0</f>
      </c>
      <c r="AP2578" s="111">
        <f>H2578*(1-0)</f>
      </c>
      <c r="AQ2578" s="153" t="s">
        <v>173</v>
      </c>
      <c r="AV2578" s="111">
        <f>AW2578+AX2578</f>
      </c>
      <c r="AW2578" s="111">
        <f>G2578*AO2578</f>
      </c>
      <c r="AX2578" s="111">
        <f>G2578*AP2578</f>
      </c>
      <c r="AY2578" s="153" t="s">
        <v>3728</v>
      </c>
      <c r="AZ2578" s="153" t="s">
        <v>3905</v>
      </c>
      <c r="BA2578" s="132" t="s">
        <v>3856</v>
      </c>
      <c r="BC2578" s="111">
        <f>AW2578+AX2578</f>
      </c>
      <c r="BD2578" s="111">
        <f>H2578/(100-BE2578)*100</f>
      </c>
      <c r="BE2578" s="111" t="n">
        <v>0</v>
      </c>
      <c r="BF2578" s="111">
        <f>2578</f>
      </c>
      <c r="BH2578" s="111">
        <f>G2578*AO2578</f>
      </c>
      <c r="BI2578" s="111">
        <f>G2578*AP2578</f>
      </c>
      <c r="BJ2578" s="111">
        <f>G2578*H2578</f>
      </c>
      <c r="BK2578" s="111"/>
      <c r="BL2578" s="111" t="n">
        <v>732</v>
      </c>
      <c r="BW2578" s="111" t="n">
        <v>21</v>
      </c>
      <c r="BX2578" s="14" t="s">
        <v>3941</v>
      </c>
    </row>
    <row r="2579">
      <c r="A2579" s="9" t="s">
        <v>3942</v>
      </c>
      <c r="B2579" s="10" t="s">
        <v>89</v>
      </c>
      <c r="C2579" s="10" t="s">
        <v>3943</v>
      </c>
      <c r="D2579" s="14" t="s">
        <v>3944</v>
      </c>
      <c r="E2579" s="10"/>
      <c r="F2579" s="10" t="s">
        <v>2277</v>
      </c>
      <c r="G2579" s="111" t="n">
        <v>7</v>
      </c>
      <c r="H2579" s="152" t="n">
        <v>0</v>
      </c>
      <c r="I2579" s="111">
        <f>G2579*H2579</f>
      </c>
      <c r="J2579" s="153" t="s">
        <v>4</v>
      </c>
      <c r="K2579" s="146"/>
      <c r="Z2579" s="111">
        <f>IF(AQ2579="5",BJ2579,0)</f>
      </c>
      <c r="AB2579" s="111">
        <f>IF(AQ2579="1",BH2579,0)</f>
      </c>
      <c r="AC2579" s="111">
        <f>IF(AQ2579="1",BI2579,0)</f>
      </c>
      <c r="AD2579" s="111">
        <f>IF(AQ2579="7",BH2579,0)</f>
      </c>
      <c r="AE2579" s="111">
        <f>IF(AQ2579="7",BI2579,0)</f>
      </c>
      <c r="AF2579" s="111">
        <f>IF(AQ2579="2",BH2579,0)</f>
      </c>
      <c r="AG2579" s="111">
        <f>IF(AQ2579="2",BI2579,0)</f>
      </c>
      <c r="AH2579" s="111">
        <f>IF(AQ2579="0",BJ2579,0)</f>
      </c>
      <c r="AI2579" s="132" t="s">
        <v>89</v>
      </c>
      <c r="AJ2579" s="111">
        <f>IF(AN2579=0,I2579,0)</f>
      </c>
      <c r="AK2579" s="111">
        <f>IF(AN2579=12,I2579,0)</f>
      </c>
      <c r="AL2579" s="111">
        <f>IF(AN2579=21,I2579,0)</f>
      </c>
      <c r="AN2579" s="111" t="n">
        <v>21</v>
      </c>
      <c r="AO2579" s="111">
        <f>H2579*0</f>
      </c>
      <c r="AP2579" s="111">
        <f>H2579*(1-0)</f>
      </c>
      <c r="AQ2579" s="153" t="s">
        <v>173</v>
      </c>
      <c r="AV2579" s="111">
        <f>AW2579+AX2579</f>
      </c>
      <c r="AW2579" s="111">
        <f>G2579*AO2579</f>
      </c>
      <c r="AX2579" s="111">
        <f>G2579*AP2579</f>
      </c>
      <c r="AY2579" s="153" t="s">
        <v>3728</v>
      </c>
      <c r="AZ2579" s="153" t="s">
        <v>3905</v>
      </c>
      <c r="BA2579" s="132" t="s">
        <v>3856</v>
      </c>
      <c r="BC2579" s="111">
        <f>AW2579+AX2579</f>
      </c>
      <c r="BD2579" s="111">
        <f>H2579/(100-BE2579)*100</f>
      </c>
      <c r="BE2579" s="111" t="n">
        <v>0</v>
      </c>
      <c r="BF2579" s="111">
        <f>2579</f>
      </c>
      <c r="BH2579" s="111">
        <f>G2579*AO2579</f>
      </c>
      <c r="BI2579" s="111">
        <f>G2579*AP2579</f>
      </c>
      <c r="BJ2579" s="111">
        <f>G2579*H2579</f>
      </c>
      <c r="BK2579" s="111"/>
      <c r="BL2579" s="111" t="n">
        <v>732</v>
      </c>
      <c r="BW2579" s="111" t="n">
        <v>21</v>
      </c>
      <c r="BX2579" s="14" t="s">
        <v>3944</v>
      </c>
    </row>
    <row r="2580">
      <c r="A2580" s="9" t="s">
        <v>3945</v>
      </c>
      <c r="B2580" s="10" t="s">
        <v>89</v>
      </c>
      <c r="C2580" s="10" t="s">
        <v>3946</v>
      </c>
      <c r="D2580" s="14" t="s">
        <v>3947</v>
      </c>
      <c r="E2580" s="10"/>
      <c r="F2580" s="10" t="s">
        <v>2277</v>
      </c>
      <c r="G2580" s="111" t="n">
        <v>4</v>
      </c>
      <c r="H2580" s="152" t="n">
        <v>0</v>
      </c>
      <c r="I2580" s="111">
        <f>G2580*H2580</f>
      </c>
      <c r="J2580" s="153" t="s">
        <v>4</v>
      </c>
      <c r="K2580" s="146"/>
      <c r="Z2580" s="111">
        <f>IF(AQ2580="5",BJ2580,0)</f>
      </c>
      <c r="AB2580" s="111">
        <f>IF(AQ2580="1",BH2580,0)</f>
      </c>
      <c r="AC2580" s="111">
        <f>IF(AQ2580="1",BI2580,0)</f>
      </c>
      <c r="AD2580" s="111">
        <f>IF(AQ2580="7",BH2580,0)</f>
      </c>
      <c r="AE2580" s="111">
        <f>IF(AQ2580="7",BI2580,0)</f>
      </c>
      <c r="AF2580" s="111">
        <f>IF(AQ2580="2",BH2580,0)</f>
      </c>
      <c r="AG2580" s="111">
        <f>IF(AQ2580="2",BI2580,0)</f>
      </c>
      <c r="AH2580" s="111">
        <f>IF(AQ2580="0",BJ2580,0)</f>
      </c>
      <c r="AI2580" s="132" t="s">
        <v>89</v>
      </c>
      <c r="AJ2580" s="111">
        <f>IF(AN2580=0,I2580,0)</f>
      </c>
      <c r="AK2580" s="111">
        <f>IF(AN2580=12,I2580,0)</f>
      </c>
      <c r="AL2580" s="111">
        <f>IF(AN2580=21,I2580,0)</f>
      </c>
      <c r="AN2580" s="111" t="n">
        <v>21</v>
      </c>
      <c r="AO2580" s="111">
        <f>H2580*0</f>
      </c>
      <c r="AP2580" s="111">
        <f>H2580*(1-0)</f>
      </c>
      <c r="AQ2580" s="153" t="s">
        <v>173</v>
      </c>
      <c r="AV2580" s="111">
        <f>AW2580+AX2580</f>
      </c>
      <c r="AW2580" s="111">
        <f>G2580*AO2580</f>
      </c>
      <c r="AX2580" s="111">
        <f>G2580*AP2580</f>
      </c>
      <c r="AY2580" s="153" t="s">
        <v>3728</v>
      </c>
      <c r="AZ2580" s="153" t="s">
        <v>3905</v>
      </c>
      <c r="BA2580" s="132" t="s">
        <v>3856</v>
      </c>
      <c r="BC2580" s="111">
        <f>AW2580+AX2580</f>
      </c>
      <c r="BD2580" s="111">
        <f>H2580/(100-BE2580)*100</f>
      </c>
      <c r="BE2580" s="111" t="n">
        <v>0</v>
      </c>
      <c r="BF2580" s="111">
        <f>2580</f>
      </c>
      <c r="BH2580" s="111">
        <f>G2580*AO2580</f>
      </c>
      <c r="BI2580" s="111">
        <f>G2580*AP2580</f>
      </c>
      <c r="BJ2580" s="111">
        <f>G2580*H2580</f>
      </c>
      <c r="BK2580" s="111"/>
      <c r="BL2580" s="111" t="n">
        <v>732</v>
      </c>
      <c r="BW2580" s="111" t="n">
        <v>21</v>
      </c>
      <c r="BX2580" s="14" t="s">
        <v>3947</v>
      </c>
    </row>
    <row r="2581">
      <c r="A2581" s="9" t="s">
        <v>3948</v>
      </c>
      <c r="B2581" s="10" t="s">
        <v>89</v>
      </c>
      <c r="C2581" s="10" t="s">
        <v>3949</v>
      </c>
      <c r="D2581" s="14" t="s">
        <v>3950</v>
      </c>
      <c r="E2581" s="10"/>
      <c r="F2581" s="10" t="s">
        <v>2277</v>
      </c>
      <c r="G2581" s="111" t="n">
        <v>2</v>
      </c>
      <c r="H2581" s="152" t="n">
        <v>0</v>
      </c>
      <c r="I2581" s="111">
        <f>G2581*H2581</f>
      </c>
      <c r="J2581" s="153" t="s">
        <v>4</v>
      </c>
      <c r="K2581" s="146"/>
      <c r="Z2581" s="111">
        <f>IF(AQ2581="5",BJ2581,0)</f>
      </c>
      <c r="AB2581" s="111">
        <f>IF(AQ2581="1",BH2581,0)</f>
      </c>
      <c r="AC2581" s="111">
        <f>IF(AQ2581="1",BI2581,0)</f>
      </c>
      <c r="AD2581" s="111">
        <f>IF(AQ2581="7",BH2581,0)</f>
      </c>
      <c r="AE2581" s="111">
        <f>IF(AQ2581="7",BI2581,0)</f>
      </c>
      <c r="AF2581" s="111">
        <f>IF(AQ2581="2",BH2581,0)</f>
      </c>
      <c r="AG2581" s="111">
        <f>IF(AQ2581="2",BI2581,0)</f>
      </c>
      <c r="AH2581" s="111">
        <f>IF(AQ2581="0",BJ2581,0)</f>
      </c>
      <c r="AI2581" s="132" t="s">
        <v>89</v>
      </c>
      <c r="AJ2581" s="111">
        <f>IF(AN2581=0,I2581,0)</f>
      </c>
      <c r="AK2581" s="111">
        <f>IF(AN2581=12,I2581,0)</f>
      </c>
      <c r="AL2581" s="111">
        <f>IF(AN2581=21,I2581,0)</f>
      </c>
      <c r="AN2581" s="111" t="n">
        <v>21</v>
      </c>
      <c r="AO2581" s="111">
        <f>H2581*0</f>
      </c>
      <c r="AP2581" s="111">
        <f>H2581*(1-0)</f>
      </c>
      <c r="AQ2581" s="153" t="s">
        <v>173</v>
      </c>
      <c r="AV2581" s="111">
        <f>AW2581+AX2581</f>
      </c>
      <c r="AW2581" s="111">
        <f>G2581*AO2581</f>
      </c>
      <c r="AX2581" s="111">
        <f>G2581*AP2581</f>
      </c>
      <c r="AY2581" s="153" t="s">
        <v>3728</v>
      </c>
      <c r="AZ2581" s="153" t="s">
        <v>3905</v>
      </c>
      <c r="BA2581" s="132" t="s">
        <v>3856</v>
      </c>
      <c r="BC2581" s="111">
        <f>AW2581+AX2581</f>
      </c>
      <c r="BD2581" s="111">
        <f>H2581/(100-BE2581)*100</f>
      </c>
      <c r="BE2581" s="111" t="n">
        <v>0</v>
      </c>
      <c r="BF2581" s="111">
        <f>2581</f>
      </c>
      <c r="BH2581" s="111">
        <f>G2581*AO2581</f>
      </c>
      <c r="BI2581" s="111">
        <f>G2581*AP2581</f>
      </c>
      <c r="BJ2581" s="111">
        <f>G2581*H2581</f>
      </c>
      <c r="BK2581" s="111"/>
      <c r="BL2581" s="111" t="n">
        <v>732</v>
      </c>
      <c r="BW2581" s="111" t="n">
        <v>21</v>
      </c>
      <c r="BX2581" s="14" t="s">
        <v>3950</v>
      </c>
    </row>
    <row r="2582">
      <c r="A2582" s="9" t="s">
        <v>3951</v>
      </c>
      <c r="B2582" s="10" t="s">
        <v>89</v>
      </c>
      <c r="C2582" s="10" t="s">
        <v>3952</v>
      </c>
      <c r="D2582" s="14" t="s">
        <v>3953</v>
      </c>
      <c r="E2582" s="10"/>
      <c r="F2582" s="10" t="s">
        <v>2277</v>
      </c>
      <c r="G2582" s="111" t="n">
        <v>14</v>
      </c>
      <c r="H2582" s="152" t="n">
        <v>0</v>
      </c>
      <c r="I2582" s="111">
        <f>G2582*H2582</f>
      </c>
      <c r="J2582" s="153" t="s">
        <v>4</v>
      </c>
      <c r="K2582" s="146"/>
      <c r="Z2582" s="111">
        <f>IF(AQ2582="5",BJ2582,0)</f>
      </c>
      <c r="AB2582" s="111">
        <f>IF(AQ2582="1",BH2582,0)</f>
      </c>
      <c r="AC2582" s="111">
        <f>IF(AQ2582="1",BI2582,0)</f>
      </c>
      <c r="AD2582" s="111">
        <f>IF(AQ2582="7",BH2582,0)</f>
      </c>
      <c r="AE2582" s="111">
        <f>IF(AQ2582="7",BI2582,0)</f>
      </c>
      <c r="AF2582" s="111">
        <f>IF(AQ2582="2",BH2582,0)</f>
      </c>
      <c r="AG2582" s="111">
        <f>IF(AQ2582="2",BI2582,0)</f>
      </c>
      <c r="AH2582" s="111">
        <f>IF(AQ2582="0",BJ2582,0)</f>
      </c>
      <c r="AI2582" s="132" t="s">
        <v>89</v>
      </c>
      <c r="AJ2582" s="111">
        <f>IF(AN2582=0,I2582,0)</f>
      </c>
      <c r="AK2582" s="111">
        <f>IF(AN2582=12,I2582,0)</f>
      </c>
      <c r="AL2582" s="111">
        <f>IF(AN2582=21,I2582,0)</f>
      </c>
      <c r="AN2582" s="111" t="n">
        <v>21</v>
      </c>
      <c r="AO2582" s="111">
        <f>H2582*0</f>
      </c>
      <c r="AP2582" s="111">
        <f>H2582*(1-0)</f>
      </c>
      <c r="AQ2582" s="153" t="s">
        <v>173</v>
      </c>
      <c r="AV2582" s="111">
        <f>AW2582+AX2582</f>
      </c>
      <c r="AW2582" s="111">
        <f>G2582*AO2582</f>
      </c>
      <c r="AX2582" s="111">
        <f>G2582*AP2582</f>
      </c>
      <c r="AY2582" s="153" t="s">
        <v>3728</v>
      </c>
      <c r="AZ2582" s="153" t="s">
        <v>3905</v>
      </c>
      <c r="BA2582" s="132" t="s">
        <v>3856</v>
      </c>
      <c r="BC2582" s="111">
        <f>AW2582+AX2582</f>
      </c>
      <c r="BD2582" s="111">
        <f>H2582/(100-BE2582)*100</f>
      </c>
      <c r="BE2582" s="111" t="n">
        <v>0</v>
      </c>
      <c r="BF2582" s="111">
        <f>2582</f>
      </c>
      <c r="BH2582" s="111">
        <f>G2582*AO2582</f>
      </c>
      <c r="BI2582" s="111">
        <f>G2582*AP2582</f>
      </c>
      <c r="BJ2582" s="111">
        <f>G2582*H2582</f>
      </c>
      <c r="BK2582" s="111"/>
      <c r="BL2582" s="111" t="n">
        <v>732</v>
      </c>
      <c r="BW2582" s="111" t="n">
        <v>21</v>
      </c>
      <c r="BX2582" s="14" t="s">
        <v>3953</v>
      </c>
    </row>
    <row r="2583">
      <c r="A2583" s="9" t="s">
        <v>3954</v>
      </c>
      <c r="B2583" s="10" t="s">
        <v>89</v>
      </c>
      <c r="C2583" s="10" t="s">
        <v>3955</v>
      </c>
      <c r="D2583" s="14" t="s">
        <v>3956</v>
      </c>
      <c r="E2583" s="10"/>
      <c r="F2583" s="10" t="s">
        <v>2277</v>
      </c>
      <c r="G2583" s="111" t="n">
        <v>2</v>
      </c>
      <c r="H2583" s="152" t="n">
        <v>0</v>
      </c>
      <c r="I2583" s="111">
        <f>G2583*H2583</f>
      </c>
      <c r="J2583" s="153" t="s">
        <v>4</v>
      </c>
      <c r="K2583" s="146"/>
      <c r="Z2583" s="111">
        <f>IF(AQ2583="5",BJ2583,0)</f>
      </c>
      <c r="AB2583" s="111">
        <f>IF(AQ2583="1",BH2583,0)</f>
      </c>
      <c r="AC2583" s="111">
        <f>IF(AQ2583="1",BI2583,0)</f>
      </c>
      <c r="AD2583" s="111">
        <f>IF(AQ2583="7",BH2583,0)</f>
      </c>
      <c r="AE2583" s="111">
        <f>IF(AQ2583="7",BI2583,0)</f>
      </c>
      <c r="AF2583" s="111">
        <f>IF(AQ2583="2",BH2583,0)</f>
      </c>
      <c r="AG2583" s="111">
        <f>IF(AQ2583="2",BI2583,0)</f>
      </c>
      <c r="AH2583" s="111">
        <f>IF(AQ2583="0",BJ2583,0)</f>
      </c>
      <c r="AI2583" s="132" t="s">
        <v>89</v>
      </c>
      <c r="AJ2583" s="111">
        <f>IF(AN2583=0,I2583,0)</f>
      </c>
      <c r="AK2583" s="111">
        <f>IF(AN2583=12,I2583,0)</f>
      </c>
      <c r="AL2583" s="111">
        <f>IF(AN2583=21,I2583,0)</f>
      </c>
      <c r="AN2583" s="111" t="n">
        <v>21</v>
      </c>
      <c r="AO2583" s="111">
        <f>H2583*0</f>
      </c>
      <c r="AP2583" s="111">
        <f>H2583*(1-0)</f>
      </c>
      <c r="AQ2583" s="153" t="s">
        <v>173</v>
      </c>
      <c r="AV2583" s="111">
        <f>AW2583+AX2583</f>
      </c>
      <c r="AW2583" s="111">
        <f>G2583*AO2583</f>
      </c>
      <c r="AX2583" s="111">
        <f>G2583*AP2583</f>
      </c>
      <c r="AY2583" s="153" t="s">
        <v>3728</v>
      </c>
      <c r="AZ2583" s="153" t="s">
        <v>3905</v>
      </c>
      <c r="BA2583" s="132" t="s">
        <v>3856</v>
      </c>
      <c r="BC2583" s="111">
        <f>AW2583+AX2583</f>
      </c>
      <c r="BD2583" s="111">
        <f>H2583/(100-BE2583)*100</f>
      </c>
      <c r="BE2583" s="111" t="n">
        <v>0</v>
      </c>
      <c r="BF2583" s="111">
        <f>2583</f>
      </c>
      <c r="BH2583" s="111">
        <f>G2583*AO2583</f>
      </c>
      <c r="BI2583" s="111">
        <f>G2583*AP2583</f>
      </c>
      <c r="BJ2583" s="111">
        <f>G2583*H2583</f>
      </c>
      <c r="BK2583" s="111"/>
      <c r="BL2583" s="111" t="n">
        <v>732</v>
      </c>
      <c r="BW2583" s="111" t="n">
        <v>21</v>
      </c>
      <c r="BX2583" s="14" t="s">
        <v>3956</v>
      </c>
    </row>
    <row r="2584">
      <c r="A2584" s="9" t="s">
        <v>3957</v>
      </c>
      <c r="B2584" s="10" t="s">
        <v>89</v>
      </c>
      <c r="C2584" s="10" t="s">
        <v>3958</v>
      </c>
      <c r="D2584" s="14" t="s">
        <v>3959</v>
      </c>
      <c r="E2584" s="10"/>
      <c r="F2584" s="10" t="s">
        <v>3860</v>
      </c>
      <c r="G2584" s="111" t="n">
        <v>2</v>
      </c>
      <c r="H2584" s="152" t="n">
        <v>0</v>
      </c>
      <c r="I2584" s="111">
        <f>G2584*H2584</f>
      </c>
      <c r="J2584" s="153" t="s">
        <v>4</v>
      </c>
      <c r="K2584" s="146"/>
      <c r="Z2584" s="111">
        <f>IF(AQ2584="5",BJ2584,0)</f>
      </c>
      <c r="AB2584" s="111">
        <f>IF(AQ2584="1",BH2584,0)</f>
      </c>
      <c r="AC2584" s="111">
        <f>IF(AQ2584="1",BI2584,0)</f>
      </c>
      <c r="AD2584" s="111">
        <f>IF(AQ2584="7",BH2584,0)</f>
      </c>
      <c r="AE2584" s="111">
        <f>IF(AQ2584="7",BI2584,0)</f>
      </c>
      <c r="AF2584" s="111">
        <f>IF(AQ2584="2",BH2584,0)</f>
      </c>
      <c r="AG2584" s="111">
        <f>IF(AQ2584="2",BI2584,0)</f>
      </c>
      <c r="AH2584" s="111">
        <f>IF(AQ2584="0",BJ2584,0)</f>
      </c>
      <c r="AI2584" s="132" t="s">
        <v>89</v>
      </c>
      <c r="AJ2584" s="111">
        <f>IF(AN2584=0,I2584,0)</f>
      </c>
      <c r="AK2584" s="111">
        <f>IF(AN2584=12,I2584,0)</f>
      </c>
      <c r="AL2584" s="111">
        <f>IF(AN2584=21,I2584,0)</f>
      </c>
      <c r="AN2584" s="111" t="n">
        <v>21</v>
      </c>
      <c r="AO2584" s="111">
        <f>H2584*0</f>
      </c>
      <c r="AP2584" s="111">
        <f>H2584*(1-0)</f>
      </c>
      <c r="AQ2584" s="153" t="s">
        <v>173</v>
      </c>
      <c r="AV2584" s="111">
        <f>AW2584+AX2584</f>
      </c>
      <c r="AW2584" s="111">
        <f>G2584*AO2584</f>
      </c>
      <c r="AX2584" s="111">
        <f>G2584*AP2584</f>
      </c>
      <c r="AY2584" s="153" t="s">
        <v>3728</v>
      </c>
      <c r="AZ2584" s="153" t="s">
        <v>3905</v>
      </c>
      <c r="BA2584" s="132" t="s">
        <v>3856</v>
      </c>
      <c r="BC2584" s="111">
        <f>AW2584+AX2584</f>
      </c>
      <c r="BD2584" s="111">
        <f>H2584/(100-BE2584)*100</f>
      </c>
      <c r="BE2584" s="111" t="n">
        <v>0</v>
      </c>
      <c r="BF2584" s="111">
        <f>2584</f>
      </c>
      <c r="BH2584" s="111">
        <f>G2584*AO2584</f>
      </c>
      <c r="BI2584" s="111">
        <f>G2584*AP2584</f>
      </c>
      <c r="BJ2584" s="111">
        <f>G2584*H2584</f>
      </c>
      <c r="BK2584" s="111"/>
      <c r="BL2584" s="111" t="n">
        <v>732</v>
      </c>
      <c r="BW2584" s="111" t="n">
        <v>21</v>
      </c>
      <c r="BX2584" s="14" t="s">
        <v>3959</v>
      </c>
    </row>
    <row r="2585">
      <c r="A2585" s="9" t="s">
        <v>3960</v>
      </c>
      <c r="B2585" s="10" t="s">
        <v>89</v>
      </c>
      <c r="C2585" s="10" t="s">
        <v>3961</v>
      </c>
      <c r="D2585" s="14" t="s">
        <v>3962</v>
      </c>
      <c r="E2585" s="10"/>
      <c r="F2585" s="10" t="s">
        <v>61</v>
      </c>
      <c r="G2585" s="111" t="n">
        <v>18970.98</v>
      </c>
      <c r="H2585" s="152" t="n">
        <v>0</v>
      </c>
      <c r="I2585" s="111">
        <f>G2585*H2585</f>
      </c>
      <c r="J2585" s="153" t="s">
        <v>4</v>
      </c>
      <c r="K2585" s="146"/>
      <c r="Z2585" s="111">
        <f>IF(AQ2585="5",BJ2585,0)</f>
      </c>
      <c r="AB2585" s="111">
        <f>IF(AQ2585="1",BH2585,0)</f>
      </c>
      <c r="AC2585" s="111">
        <f>IF(AQ2585="1",BI2585,0)</f>
      </c>
      <c r="AD2585" s="111">
        <f>IF(AQ2585="7",BH2585,0)</f>
      </c>
      <c r="AE2585" s="111">
        <f>IF(AQ2585="7",BI2585,0)</f>
      </c>
      <c r="AF2585" s="111">
        <f>IF(AQ2585="2",BH2585,0)</f>
      </c>
      <c r="AG2585" s="111">
        <f>IF(AQ2585="2",BI2585,0)</f>
      </c>
      <c r="AH2585" s="111">
        <f>IF(AQ2585="0",BJ2585,0)</f>
      </c>
      <c r="AI2585" s="132" t="s">
        <v>89</v>
      </c>
      <c r="AJ2585" s="111">
        <f>IF(AN2585=0,I2585,0)</f>
      </c>
      <c r="AK2585" s="111">
        <f>IF(AN2585=12,I2585,0)</f>
      </c>
      <c r="AL2585" s="111">
        <f>IF(AN2585=21,I2585,0)</f>
      </c>
      <c r="AN2585" s="111" t="n">
        <v>21</v>
      </c>
      <c r="AO2585" s="111">
        <f>H2585*0</f>
      </c>
      <c r="AP2585" s="111">
        <f>H2585*(1-0)</f>
      </c>
      <c r="AQ2585" s="153" t="s">
        <v>173</v>
      </c>
      <c r="AV2585" s="111">
        <f>AW2585+AX2585</f>
      </c>
      <c r="AW2585" s="111">
        <f>G2585*AO2585</f>
      </c>
      <c r="AX2585" s="111">
        <f>G2585*AP2585</f>
      </c>
      <c r="AY2585" s="153" t="s">
        <v>3728</v>
      </c>
      <c r="AZ2585" s="153" t="s">
        <v>3905</v>
      </c>
      <c r="BA2585" s="132" t="s">
        <v>3856</v>
      </c>
      <c r="BC2585" s="111">
        <f>AW2585+AX2585</f>
      </c>
      <c r="BD2585" s="111">
        <f>H2585/(100-BE2585)*100</f>
      </c>
      <c r="BE2585" s="111" t="n">
        <v>0</v>
      </c>
      <c r="BF2585" s="111">
        <f>2585</f>
      </c>
      <c r="BH2585" s="111">
        <f>G2585*AO2585</f>
      </c>
      <c r="BI2585" s="111">
        <f>G2585*AP2585</f>
      </c>
      <c r="BJ2585" s="111">
        <f>G2585*H2585</f>
      </c>
      <c r="BK2585" s="111"/>
      <c r="BL2585" s="111" t="n">
        <v>732</v>
      </c>
      <c r="BW2585" s="111" t="n">
        <v>21</v>
      </c>
      <c r="BX2585" s="14" t="s">
        <v>3962</v>
      </c>
    </row>
    <row r="2586">
      <c r="A2586" s="9" t="s">
        <v>3963</v>
      </c>
      <c r="B2586" s="10" t="s">
        <v>89</v>
      </c>
      <c r="C2586" s="10" t="s">
        <v>3964</v>
      </c>
      <c r="D2586" s="14" t="s">
        <v>3965</v>
      </c>
      <c r="E2586" s="10"/>
      <c r="F2586" s="10" t="s">
        <v>282</v>
      </c>
      <c r="G2586" s="111" t="n">
        <v>25</v>
      </c>
      <c r="H2586" s="152" t="n">
        <v>0</v>
      </c>
      <c r="I2586" s="111">
        <f>G2586*H2586</f>
      </c>
      <c r="J2586" s="153" t="s">
        <v>4</v>
      </c>
      <c r="K2586" s="146"/>
      <c r="Z2586" s="111">
        <f>IF(AQ2586="5",BJ2586,0)</f>
      </c>
      <c r="AB2586" s="111">
        <f>IF(AQ2586="1",BH2586,0)</f>
      </c>
      <c r="AC2586" s="111">
        <f>IF(AQ2586="1",BI2586,0)</f>
      </c>
      <c r="AD2586" s="111">
        <f>IF(AQ2586="7",BH2586,0)</f>
      </c>
      <c r="AE2586" s="111">
        <f>IF(AQ2586="7",BI2586,0)</f>
      </c>
      <c r="AF2586" s="111">
        <f>IF(AQ2586="2",BH2586,0)</f>
      </c>
      <c r="AG2586" s="111">
        <f>IF(AQ2586="2",BI2586,0)</f>
      </c>
      <c r="AH2586" s="111">
        <f>IF(AQ2586="0",BJ2586,0)</f>
      </c>
      <c r="AI2586" s="132" t="s">
        <v>89</v>
      </c>
      <c r="AJ2586" s="111">
        <f>IF(AN2586=0,I2586,0)</f>
      </c>
      <c r="AK2586" s="111">
        <f>IF(AN2586=12,I2586,0)</f>
      </c>
      <c r="AL2586" s="111">
        <f>IF(AN2586=21,I2586,0)</f>
      </c>
      <c r="AN2586" s="111" t="n">
        <v>21</v>
      </c>
      <c r="AO2586" s="111">
        <f>H2586*0</f>
      </c>
      <c r="AP2586" s="111">
        <f>H2586*(1-0)</f>
      </c>
      <c r="AQ2586" s="153" t="s">
        <v>173</v>
      </c>
      <c r="AV2586" s="111">
        <f>AW2586+AX2586</f>
      </c>
      <c r="AW2586" s="111">
        <f>G2586*AO2586</f>
      </c>
      <c r="AX2586" s="111">
        <f>G2586*AP2586</f>
      </c>
      <c r="AY2586" s="153" t="s">
        <v>3728</v>
      </c>
      <c r="AZ2586" s="153" t="s">
        <v>3905</v>
      </c>
      <c r="BA2586" s="132" t="s">
        <v>3856</v>
      </c>
      <c r="BC2586" s="111">
        <f>AW2586+AX2586</f>
      </c>
      <c r="BD2586" s="111">
        <f>H2586/(100-BE2586)*100</f>
      </c>
      <c r="BE2586" s="111" t="n">
        <v>0</v>
      </c>
      <c r="BF2586" s="111">
        <f>2586</f>
      </c>
      <c r="BH2586" s="111">
        <f>G2586*AO2586</f>
      </c>
      <c r="BI2586" s="111">
        <f>G2586*AP2586</f>
      </c>
      <c r="BJ2586" s="111">
        <f>G2586*H2586</f>
      </c>
      <c r="BK2586" s="111"/>
      <c r="BL2586" s="111" t="n">
        <v>732</v>
      </c>
      <c r="BW2586" s="111" t="n">
        <v>21</v>
      </c>
      <c r="BX2586" s="14" t="s">
        <v>3965</v>
      </c>
    </row>
    <row r="2587">
      <c r="A2587" s="9" t="s">
        <v>3966</v>
      </c>
      <c r="B2587" s="10" t="s">
        <v>89</v>
      </c>
      <c r="C2587" s="10" t="s">
        <v>3967</v>
      </c>
      <c r="D2587" s="14" t="s">
        <v>3968</v>
      </c>
      <c r="E2587" s="10"/>
      <c r="F2587" s="10" t="s">
        <v>282</v>
      </c>
      <c r="G2587" s="111" t="n">
        <v>0.5</v>
      </c>
      <c r="H2587" s="152" t="n">
        <v>0</v>
      </c>
      <c r="I2587" s="111">
        <f>G2587*H2587</f>
      </c>
      <c r="J2587" s="153" t="s">
        <v>4</v>
      </c>
      <c r="K2587" s="146"/>
      <c r="Z2587" s="111">
        <f>IF(AQ2587="5",BJ2587,0)</f>
      </c>
      <c r="AB2587" s="111">
        <f>IF(AQ2587="1",BH2587,0)</f>
      </c>
      <c r="AC2587" s="111">
        <f>IF(AQ2587="1",BI2587,0)</f>
      </c>
      <c r="AD2587" s="111">
        <f>IF(AQ2587="7",BH2587,0)</f>
      </c>
      <c r="AE2587" s="111">
        <f>IF(AQ2587="7",BI2587,0)</f>
      </c>
      <c r="AF2587" s="111">
        <f>IF(AQ2587="2",BH2587,0)</f>
      </c>
      <c r="AG2587" s="111">
        <f>IF(AQ2587="2",BI2587,0)</f>
      </c>
      <c r="AH2587" s="111">
        <f>IF(AQ2587="0",BJ2587,0)</f>
      </c>
      <c r="AI2587" s="132" t="s">
        <v>89</v>
      </c>
      <c r="AJ2587" s="111">
        <f>IF(AN2587=0,I2587,0)</f>
      </c>
      <c r="AK2587" s="111">
        <f>IF(AN2587=12,I2587,0)</f>
      </c>
      <c r="AL2587" s="111">
        <f>IF(AN2587=21,I2587,0)</f>
      </c>
      <c r="AN2587" s="111" t="n">
        <v>21</v>
      </c>
      <c r="AO2587" s="111">
        <f>H2587*0</f>
      </c>
      <c r="AP2587" s="111">
        <f>H2587*(1-0)</f>
      </c>
      <c r="AQ2587" s="153" t="s">
        <v>173</v>
      </c>
      <c r="AV2587" s="111">
        <f>AW2587+AX2587</f>
      </c>
      <c r="AW2587" s="111">
        <f>G2587*AO2587</f>
      </c>
      <c r="AX2587" s="111">
        <f>G2587*AP2587</f>
      </c>
      <c r="AY2587" s="153" t="s">
        <v>3728</v>
      </c>
      <c r="AZ2587" s="153" t="s">
        <v>3905</v>
      </c>
      <c r="BA2587" s="132" t="s">
        <v>3856</v>
      </c>
      <c r="BC2587" s="111">
        <f>AW2587+AX2587</f>
      </c>
      <c r="BD2587" s="111">
        <f>H2587/(100-BE2587)*100</f>
      </c>
      <c r="BE2587" s="111" t="n">
        <v>0</v>
      </c>
      <c r="BF2587" s="111">
        <f>2587</f>
      </c>
      <c r="BH2587" s="111">
        <f>G2587*AO2587</f>
      </c>
      <c r="BI2587" s="111">
        <f>G2587*AP2587</f>
      </c>
      <c r="BJ2587" s="111">
        <f>G2587*H2587</f>
      </c>
      <c r="BK2587" s="111"/>
      <c r="BL2587" s="111" t="n">
        <v>732</v>
      </c>
      <c r="BW2587" s="111" t="n">
        <v>21</v>
      </c>
      <c r="BX2587" s="14" t="s">
        <v>3968</v>
      </c>
    </row>
    <row r="2588">
      <c r="A2588" s="9" t="s">
        <v>3969</v>
      </c>
      <c r="B2588" s="10" t="s">
        <v>89</v>
      </c>
      <c r="C2588" s="10" t="s">
        <v>3970</v>
      </c>
      <c r="D2588" s="14" t="s">
        <v>3971</v>
      </c>
      <c r="E2588" s="10"/>
      <c r="F2588" s="10" t="s">
        <v>133</v>
      </c>
      <c r="G2588" s="111" t="n">
        <v>14</v>
      </c>
      <c r="H2588" s="152" t="n">
        <v>0</v>
      </c>
      <c r="I2588" s="111">
        <f>G2588*H2588</f>
      </c>
      <c r="J2588" s="153" t="s">
        <v>4</v>
      </c>
      <c r="K2588" s="146"/>
      <c r="Z2588" s="111">
        <f>IF(AQ2588="5",BJ2588,0)</f>
      </c>
      <c r="AB2588" s="111">
        <f>IF(AQ2588="1",BH2588,0)</f>
      </c>
      <c r="AC2588" s="111">
        <f>IF(AQ2588="1",BI2588,0)</f>
      </c>
      <c r="AD2588" s="111">
        <f>IF(AQ2588="7",BH2588,0)</f>
      </c>
      <c r="AE2588" s="111">
        <f>IF(AQ2588="7",BI2588,0)</f>
      </c>
      <c r="AF2588" s="111">
        <f>IF(AQ2588="2",BH2588,0)</f>
      </c>
      <c r="AG2588" s="111">
        <f>IF(AQ2588="2",BI2588,0)</f>
      </c>
      <c r="AH2588" s="111">
        <f>IF(AQ2588="0",BJ2588,0)</f>
      </c>
      <c r="AI2588" s="132" t="s">
        <v>89</v>
      </c>
      <c r="AJ2588" s="111">
        <f>IF(AN2588=0,I2588,0)</f>
      </c>
      <c r="AK2588" s="111">
        <f>IF(AN2588=12,I2588,0)</f>
      </c>
      <c r="AL2588" s="111">
        <f>IF(AN2588=21,I2588,0)</f>
      </c>
      <c r="AN2588" s="111" t="n">
        <v>21</v>
      </c>
      <c r="AO2588" s="111">
        <f>H2588*0</f>
      </c>
      <c r="AP2588" s="111">
        <f>H2588*(1-0)</f>
      </c>
      <c r="AQ2588" s="153" t="s">
        <v>173</v>
      </c>
      <c r="AV2588" s="111">
        <f>AW2588+AX2588</f>
      </c>
      <c r="AW2588" s="111">
        <f>G2588*AO2588</f>
      </c>
      <c r="AX2588" s="111">
        <f>G2588*AP2588</f>
      </c>
      <c r="AY2588" s="153" t="s">
        <v>3728</v>
      </c>
      <c r="AZ2588" s="153" t="s">
        <v>3905</v>
      </c>
      <c r="BA2588" s="132" t="s">
        <v>3856</v>
      </c>
      <c r="BC2588" s="111">
        <f>AW2588+AX2588</f>
      </c>
      <c r="BD2588" s="111">
        <f>H2588/(100-BE2588)*100</f>
      </c>
      <c r="BE2588" s="111" t="n">
        <v>0</v>
      </c>
      <c r="BF2588" s="111">
        <f>2588</f>
      </c>
      <c r="BH2588" s="111">
        <f>G2588*AO2588</f>
      </c>
      <c r="BI2588" s="111">
        <f>G2588*AP2588</f>
      </c>
      <c r="BJ2588" s="111">
        <f>G2588*H2588</f>
      </c>
      <c r="BK2588" s="111"/>
      <c r="BL2588" s="111" t="n">
        <v>732</v>
      </c>
      <c r="BW2588" s="111" t="n">
        <v>21</v>
      </c>
      <c r="BX2588" s="14" t="s">
        <v>3971</v>
      </c>
    </row>
    <row r="2589" ht="24.75">
      <c r="A2589" s="9" t="s">
        <v>3972</v>
      </c>
      <c r="B2589" s="10" t="s">
        <v>89</v>
      </c>
      <c r="C2589" s="10" t="s">
        <v>3973</v>
      </c>
      <c r="D2589" s="14" t="s">
        <v>3974</v>
      </c>
      <c r="E2589" s="10"/>
      <c r="F2589" s="10" t="s">
        <v>133</v>
      </c>
      <c r="G2589" s="111" t="n">
        <v>5</v>
      </c>
      <c r="H2589" s="152" t="n">
        <v>0</v>
      </c>
      <c r="I2589" s="111">
        <f>G2589*H2589</f>
      </c>
      <c r="J2589" s="153" t="s">
        <v>4</v>
      </c>
      <c r="K2589" s="146"/>
      <c r="Z2589" s="111">
        <f>IF(AQ2589="5",BJ2589,0)</f>
      </c>
      <c r="AB2589" s="111">
        <f>IF(AQ2589="1",BH2589,0)</f>
      </c>
      <c r="AC2589" s="111">
        <f>IF(AQ2589="1",BI2589,0)</f>
      </c>
      <c r="AD2589" s="111">
        <f>IF(AQ2589="7",BH2589,0)</f>
      </c>
      <c r="AE2589" s="111">
        <f>IF(AQ2589="7",BI2589,0)</f>
      </c>
      <c r="AF2589" s="111">
        <f>IF(AQ2589="2",BH2589,0)</f>
      </c>
      <c r="AG2589" s="111">
        <f>IF(AQ2589="2",BI2589,0)</f>
      </c>
      <c r="AH2589" s="111">
        <f>IF(AQ2589="0",BJ2589,0)</f>
      </c>
      <c r="AI2589" s="132" t="s">
        <v>89</v>
      </c>
      <c r="AJ2589" s="111">
        <f>IF(AN2589=0,I2589,0)</f>
      </c>
      <c r="AK2589" s="111">
        <f>IF(AN2589=12,I2589,0)</f>
      </c>
      <c r="AL2589" s="111">
        <f>IF(AN2589=21,I2589,0)</f>
      </c>
      <c r="AN2589" s="111" t="n">
        <v>21</v>
      </c>
      <c r="AO2589" s="111">
        <f>H2589*0</f>
      </c>
      <c r="AP2589" s="111">
        <f>H2589*(1-0)</f>
      </c>
      <c r="AQ2589" s="153" t="s">
        <v>173</v>
      </c>
      <c r="AV2589" s="111">
        <f>AW2589+AX2589</f>
      </c>
      <c r="AW2589" s="111">
        <f>G2589*AO2589</f>
      </c>
      <c r="AX2589" s="111">
        <f>G2589*AP2589</f>
      </c>
      <c r="AY2589" s="153" t="s">
        <v>3728</v>
      </c>
      <c r="AZ2589" s="153" t="s">
        <v>3905</v>
      </c>
      <c r="BA2589" s="132" t="s">
        <v>3856</v>
      </c>
      <c r="BC2589" s="111">
        <f>AW2589+AX2589</f>
      </c>
      <c r="BD2589" s="111">
        <f>H2589/(100-BE2589)*100</f>
      </c>
      <c r="BE2589" s="111" t="n">
        <v>0</v>
      </c>
      <c r="BF2589" s="111">
        <f>2589</f>
      </c>
      <c r="BH2589" s="111">
        <f>G2589*AO2589</f>
      </c>
      <c r="BI2589" s="111">
        <f>G2589*AP2589</f>
      </c>
      <c r="BJ2589" s="111">
        <f>G2589*H2589</f>
      </c>
      <c r="BK2589" s="111"/>
      <c r="BL2589" s="111" t="n">
        <v>732</v>
      </c>
      <c r="BW2589" s="111" t="n">
        <v>21</v>
      </c>
      <c r="BX2589" s="14" t="s">
        <v>3974</v>
      </c>
    </row>
    <row r="2590" ht="24.75">
      <c r="A2590" s="9" t="s">
        <v>3975</v>
      </c>
      <c r="B2590" s="10" t="s">
        <v>89</v>
      </c>
      <c r="C2590" s="10" t="s">
        <v>3976</v>
      </c>
      <c r="D2590" s="14" t="s">
        <v>3977</v>
      </c>
      <c r="E2590" s="10"/>
      <c r="F2590" s="10" t="s">
        <v>133</v>
      </c>
      <c r="G2590" s="111" t="n">
        <v>4</v>
      </c>
      <c r="H2590" s="152" t="n">
        <v>0</v>
      </c>
      <c r="I2590" s="111">
        <f>G2590*H2590</f>
      </c>
      <c r="J2590" s="153" t="s">
        <v>4</v>
      </c>
      <c r="K2590" s="146"/>
      <c r="Z2590" s="111">
        <f>IF(AQ2590="5",BJ2590,0)</f>
      </c>
      <c r="AB2590" s="111">
        <f>IF(AQ2590="1",BH2590,0)</f>
      </c>
      <c r="AC2590" s="111">
        <f>IF(AQ2590="1",BI2590,0)</f>
      </c>
      <c r="AD2590" s="111">
        <f>IF(AQ2590="7",BH2590,0)</f>
      </c>
      <c r="AE2590" s="111">
        <f>IF(AQ2590="7",BI2590,0)</f>
      </c>
      <c r="AF2590" s="111">
        <f>IF(AQ2590="2",BH2590,0)</f>
      </c>
      <c r="AG2590" s="111">
        <f>IF(AQ2590="2",BI2590,0)</f>
      </c>
      <c r="AH2590" s="111">
        <f>IF(AQ2590="0",BJ2590,0)</f>
      </c>
      <c r="AI2590" s="132" t="s">
        <v>89</v>
      </c>
      <c r="AJ2590" s="111">
        <f>IF(AN2590=0,I2590,0)</f>
      </c>
      <c r="AK2590" s="111">
        <f>IF(AN2590=12,I2590,0)</f>
      </c>
      <c r="AL2590" s="111">
        <f>IF(AN2590=21,I2590,0)</f>
      </c>
      <c r="AN2590" s="111" t="n">
        <v>21</v>
      </c>
      <c r="AO2590" s="111">
        <f>H2590*0</f>
      </c>
      <c r="AP2590" s="111">
        <f>H2590*(1-0)</f>
      </c>
      <c r="AQ2590" s="153" t="s">
        <v>173</v>
      </c>
      <c r="AV2590" s="111">
        <f>AW2590+AX2590</f>
      </c>
      <c r="AW2590" s="111">
        <f>G2590*AO2590</f>
      </c>
      <c r="AX2590" s="111">
        <f>G2590*AP2590</f>
      </c>
      <c r="AY2590" s="153" t="s">
        <v>3728</v>
      </c>
      <c r="AZ2590" s="153" t="s">
        <v>3905</v>
      </c>
      <c r="BA2590" s="132" t="s">
        <v>3856</v>
      </c>
      <c r="BC2590" s="111">
        <f>AW2590+AX2590</f>
      </c>
      <c r="BD2590" s="111">
        <f>H2590/(100-BE2590)*100</f>
      </c>
      <c r="BE2590" s="111" t="n">
        <v>0</v>
      </c>
      <c r="BF2590" s="111">
        <f>2590</f>
      </c>
      <c r="BH2590" s="111">
        <f>G2590*AO2590</f>
      </c>
      <c r="BI2590" s="111">
        <f>G2590*AP2590</f>
      </c>
      <c r="BJ2590" s="111">
        <f>G2590*H2590</f>
      </c>
      <c r="BK2590" s="111"/>
      <c r="BL2590" s="111" t="n">
        <v>732</v>
      </c>
      <c r="BW2590" s="111" t="n">
        <v>21</v>
      </c>
      <c r="BX2590" s="14" t="s">
        <v>3977</v>
      </c>
    </row>
    <row r="2591">
      <c r="A2591" s="9" t="s">
        <v>3978</v>
      </c>
      <c r="B2591" s="10" t="s">
        <v>89</v>
      </c>
      <c r="C2591" s="10" t="s">
        <v>3979</v>
      </c>
      <c r="D2591" s="14" t="s">
        <v>3980</v>
      </c>
      <c r="E2591" s="10"/>
      <c r="F2591" s="10" t="s">
        <v>133</v>
      </c>
      <c r="G2591" s="111" t="n">
        <v>1</v>
      </c>
      <c r="H2591" s="152" t="n">
        <v>0</v>
      </c>
      <c r="I2591" s="111">
        <f>G2591*H2591</f>
      </c>
      <c r="J2591" s="153" t="s">
        <v>4</v>
      </c>
      <c r="K2591" s="146"/>
      <c r="Z2591" s="111">
        <f>IF(AQ2591="5",BJ2591,0)</f>
      </c>
      <c r="AB2591" s="111">
        <f>IF(AQ2591="1",BH2591,0)</f>
      </c>
      <c r="AC2591" s="111">
        <f>IF(AQ2591="1",BI2591,0)</f>
      </c>
      <c r="AD2591" s="111">
        <f>IF(AQ2591="7",BH2591,0)</f>
      </c>
      <c r="AE2591" s="111">
        <f>IF(AQ2591="7",BI2591,0)</f>
      </c>
      <c r="AF2591" s="111">
        <f>IF(AQ2591="2",BH2591,0)</f>
      </c>
      <c r="AG2591" s="111">
        <f>IF(AQ2591="2",BI2591,0)</f>
      </c>
      <c r="AH2591" s="111">
        <f>IF(AQ2591="0",BJ2591,0)</f>
      </c>
      <c r="AI2591" s="132" t="s">
        <v>89</v>
      </c>
      <c r="AJ2591" s="111">
        <f>IF(AN2591=0,I2591,0)</f>
      </c>
      <c r="AK2591" s="111">
        <f>IF(AN2591=12,I2591,0)</f>
      </c>
      <c r="AL2591" s="111">
        <f>IF(AN2591=21,I2591,0)</f>
      </c>
      <c r="AN2591" s="111" t="n">
        <v>21</v>
      </c>
      <c r="AO2591" s="111">
        <f>H2591*0</f>
      </c>
      <c r="AP2591" s="111">
        <f>H2591*(1-0)</f>
      </c>
      <c r="AQ2591" s="153" t="s">
        <v>173</v>
      </c>
      <c r="AV2591" s="111">
        <f>AW2591+AX2591</f>
      </c>
      <c r="AW2591" s="111">
        <f>G2591*AO2591</f>
      </c>
      <c r="AX2591" s="111">
        <f>G2591*AP2591</f>
      </c>
      <c r="AY2591" s="153" t="s">
        <v>3728</v>
      </c>
      <c r="AZ2591" s="153" t="s">
        <v>3905</v>
      </c>
      <c r="BA2591" s="132" t="s">
        <v>3856</v>
      </c>
      <c r="BC2591" s="111">
        <f>AW2591+AX2591</f>
      </c>
      <c r="BD2591" s="111">
        <f>H2591/(100-BE2591)*100</f>
      </c>
      <c r="BE2591" s="111" t="n">
        <v>0</v>
      </c>
      <c r="BF2591" s="111">
        <f>2591</f>
      </c>
      <c r="BH2591" s="111">
        <f>G2591*AO2591</f>
      </c>
      <c r="BI2591" s="111">
        <f>G2591*AP2591</f>
      </c>
      <c r="BJ2591" s="111">
        <f>G2591*H2591</f>
      </c>
      <c r="BK2591" s="111"/>
      <c r="BL2591" s="111" t="n">
        <v>732</v>
      </c>
      <c r="BW2591" s="111" t="n">
        <v>21</v>
      </c>
      <c r="BX2591" s="14" t="s">
        <v>3980</v>
      </c>
    </row>
    <row r="2592">
      <c r="A2592" s="9" t="s">
        <v>3981</v>
      </c>
      <c r="B2592" s="10" t="s">
        <v>89</v>
      </c>
      <c r="C2592" s="10" t="s">
        <v>3982</v>
      </c>
      <c r="D2592" s="14" t="s">
        <v>3983</v>
      </c>
      <c r="E2592" s="10"/>
      <c r="F2592" s="10" t="s">
        <v>133</v>
      </c>
      <c r="G2592" s="111" t="n">
        <v>10</v>
      </c>
      <c r="H2592" s="152" t="n">
        <v>0</v>
      </c>
      <c r="I2592" s="111">
        <f>G2592*H2592</f>
      </c>
      <c r="J2592" s="153" t="s">
        <v>4</v>
      </c>
      <c r="K2592" s="146"/>
      <c r="Z2592" s="111">
        <f>IF(AQ2592="5",BJ2592,0)</f>
      </c>
      <c r="AB2592" s="111">
        <f>IF(AQ2592="1",BH2592,0)</f>
      </c>
      <c r="AC2592" s="111">
        <f>IF(AQ2592="1",BI2592,0)</f>
      </c>
      <c r="AD2592" s="111">
        <f>IF(AQ2592="7",BH2592,0)</f>
      </c>
      <c r="AE2592" s="111">
        <f>IF(AQ2592="7",BI2592,0)</f>
      </c>
      <c r="AF2592" s="111">
        <f>IF(AQ2592="2",BH2592,0)</f>
      </c>
      <c r="AG2592" s="111">
        <f>IF(AQ2592="2",BI2592,0)</f>
      </c>
      <c r="AH2592" s="111">
        <f>IF(AQ2592="0",BJ2592,0)</f>
      </c>
      <c r="AI2592" s="132" t="s">
        <v>89</v>
      </c>
      <c r="AJ2592" s="111">
        <f>IF(AN2592=0,I2592,0)</f>
      </c>
      <c r="AK2592" s="111">
        <f>IF(AN2592=12,I2592,0)</f>
      </c>
      <c r="AL2592" s="111">
        <f>IF(AN2592=21,I2592,0)</f>
      </c>
      <c r="AN2592" s="111" t="n">
        <v>21</v>
      </c>
      <c r="AO2592" s="111">
        <f>H2592*0</f>
      </c>
      <c r="AP2592" s="111">
        <f>H2592*(1-0)</f>
      </c>
      <c r="AQ2592" s="153" t="s">
        <v>173</v>
      </c>
      <c r="AV2592" s="111">
        <f>AW2592+AX2592</f>
      </c>
      <c r="AW2592" s="111">
        <f>G2592*AO2592</f>
      </c>
      <c r="AX2592" s="111">
        <f>G2592*AP2592</f>
      </c>
      <c r="AY2592" s="153" t="s">
        <v>3728</v>
      </c>
      <c r="AZ2592" s="153" t="s">
        <v>3905</v>
      </c>
      <c r="BA2592" s="132" t="s">
        <v>3856</v>
      </c>
      <c r="BC2592" s="111">
        <f>AW2592+AX2592</f>
      </c>
      <c r="BD2592" s="111">
        <f>H2592/(100-BE2592)*100</f>
      </c>
      <c r="BE2592" s="111" t="n">
        <v>0</v>
      </c>
      <c r="BF2592" s="111">
        <f>2592</f>
      </c>
      <c r="BH2592" s="111">
        <f>G2592*AO2592</f>
      </c>
      <c r="BI2592" s="111">
        <f>G2592*AP2592</f>
      </c>
      <c r="BJ2592" s="111">
        <f>G2592*H2592</f>
      </c>
      <c r="BK2592" s="111"/>
      <c r="BL2592" s="111" t="n">
        <v>732</v>
      </c>
      <c r="BW2592" s="111" t="n">
        <v>21</v>
      </c>
      <c r="BX2592" s="14" t="s">
        <v>3983</v>
      </c>
    </row>
    <row r="2593">
      <c r="A2593" s="9" t="s">
        <v>3984</v>
      </c>
      <c r="B2593" s="10" t="s">
        <v>89</v>
      </c>
      <c r="C2593" s="10" t="s">
        <v>3985</v>
      </c>
      <c r="D2593" s="14" t="s">
        <v>3986</v>
      </c>
      <c r="E2593" s="10"/>
      <c r="F2593" s="10" t="s">
        <v>133</v>
      </c>
      <c r="G2593" s="111" t="n">
        <v>1</v>
      </c>
      <c r="H2593" s="152" t="n">
        <v>0</v>
      </c>
      <c r="I2593" s="111">
        <f>G2593*H2593</f>
      </c>
      <c r="J2593" s="153" t="s">
        <v>4</v>
      </c>
      <c r="K2593" s="146"/>
      <c r="Z2593" s="111">
        <f>IF(AQ2593="5",BJ2593,0)</f>
      </c>
      <c r="AB2593" s="111">
        <f>IF(AQ2593="1",BH2593,0)</f>
      </c>
      <c r="AC2593" s="111">
        <f>IF(AQ2593="1",BI2593,0)</f>
      </c>
      <c r="AD2593" s="111">
        <f>IF(AQ2593="7",BH2593,0)</f>
      </c>
      <c r="AE2593" s="111">
        <f>IF(AQ2593="7",BI2593,0)</f>
      </c>
      <c r="AF2593" s="111">
        <f>IF(AQ2593="2",BH2593,0)</f>
      </c>
      <c r="AG2593" s="111">
        <f>IF(AQ2593="2",BI2593,0)</f>
      </c>
      <c r="AH2593" s="111">
        <f>IF(AQ2593="0",BJ2593,0)</f>
      </c>
      <c r="AI2593" s="132" t="s">
        <v>89</v>
      </c>
      <c r="AJ2593" s="111">
        <f>IF(AN2593=0,I2593,0)</f>
      </c>
      <c r="AK2593" s="111">
        <f>IF(AN2593=12,I2593,0)</f>
      </c>
      <c r="AL2593" s="111">
        <f>IF(AN2593=21,I2593,0)</f>
      </c>
      <c r="AN2593" s="111" t="n">
        <v>21</v>
      </c>
      <c r="AO2593" s="111">
        <f>H2593*0</f>
      </c>
      <c r="AP2593" s="111">
        <f>H2593*(1-0)</f>
      </c>
      <c r="AQ2593" s="153" t="s">
        <v>173</v>
      </c>
      <c r="AV2593" s="111">
        <f>AW2593+AX2593</f>
      </c>
      <c r="AW2593" s="111">
        <f>G2593*AO2593</f>
      </c>
      <c r="AX2593" s="111">
        <f>G2593*AP2593</f>
      </c>
      <c r="AY2593" s="153" t="s">
        <v>3728</v>
      </c>
      <c r="AZ2593" s="153" t="s">
        <v>3905</v>
      </c>
      <c r="BA2593" s="132" t="s">
        <v>3856</v>
      </c>
      <c r="BC2593" s="111">
        <f>AW2593+AX2593</f>
      </c>
      <c r="BD2593" s="111">
        <f>H2593/(100-BE2593)*100</f>
      </c>
      <c r="BE2593" s="111" t="n">
        <v>0</v>
      </c>
      <c r="BF2593" s="111">
        <f>2593</f>
      </c>
      <c r="BH2593" s="111">
        <f>G2593*AO2593</f>
      </c>
      <c r="BI2593" s="111">
        <f>G2593*AP2593</f>
      </c>
      <c r="BJ2593" s="111">
        <f>G2593*H2593</f>
      </c>
      <c r="BK2593" s="111"/>
      <c r="BL2593" s="111" t="n">
        <v>732</v>
      </c>
      <c r="BW2593" s="111" t="n">
        <v>21</v>
      </c>
      <c r="BX2593" s="14" t="s">
        <v>3986</v>
      </c>
    </row>
    <row r="2594">
      <c r="A2594" s="9" t="s">
        <v>3987</v>
      </c>
      <c r="B2594" s="10" t="s">
        <v>89</v>
      </c>
      <c r="C2594" s="10" t="s">
        <v>3988</v>
      </c>
      <c r="D2594" s="14" t="s">
        <v>3989</v>
      </c>
      <c r="E2594" s="10"/>
      <c r="F2594" s="10" t="s">
        <v>133</v>
      </c>
      <c r="G2594" s="111" t="n">
        <v>1</v>
      </c>
      <c r="H2594" s="152" t="n">
        <v>0</v>
      </c>
      <c r="I2594" s="111">
        <f>G2594*H2594</f>
      </c>
      <c r="J2594" s="153" t="s">
        <v>4</v>
      </c>
      <c r="K2594" s="146"/>
      <c r="Z2594" s="111">
        <f>IF(AQ2594="5",BJ2594,0)</f>
      </c>
      <c r="AB2594" s="111">
        <f>IF(AQ2594="1",BH2594,0)</f>
      </c>
      <c r="AC2594" s="111">
        <f>IF(AQ2594="1",BI2594,0)</f>
      </c>
      <c r="AD2594" s="111">
        <f>IF(AQ2594="7",BH2594,0)</f>
      </c>
      <c r="AE2594" s="111">
        <f>IF(AQ2594="7",BI2594,0)</f>
      </c>
      <c r="AF2594" s="111">
        <f>IF(AQ2594="2",BH2594,0)</f>
      </c>
      <c r="AG2594" s="111">
        <f>IF(AQ2594="2",BI2594,0)</f>
      </c>
      <c r="AH2594" s="111">
        <f>IF(AQ2594="0",BJ2594,0)</f>
      </c>
      <c r="AI2594" s="132" t="s">
        <v>89</v>
      </c>
      <c r="AJ2594" s="111">
        <f>IF(AN2594=0,I2594,0)</f>
      </c>
      <c r="AK2594" s="111">
        <f>IF(AN2594=12,I2594,0)</f>
      </c>
      <c r="AL2594" s="111">
        <f>IF(AN2594=21,I2594,0)</f>
      </c>
      <c r="AN2594" s="111" t="n">
        <v>21</v>
      </c>
      <c r="AO2594" s="111">
        <f>H2594*0</f>
      </c>
      <c r="AP2594" s="111">
        <f>H2594*(1-0)</f>
      </c>
      <c r="AQ2594" s="153" t="s">
        <v>173</v>
      </c>
      <c r="AV2594" s="111">
        <f>AW2594+AX2594</f>
      </c>
      <c r="AW2594" s="111">
        <f>G2594*AO2594</f>
      </c>
      <c r="AX2594" s="111">
        <f>G2594*AP2594</f>
      </c>
      <c r="AY2594" s="153" t="s">
        <v>3728</v>
      </c>
      <c r="AZ2594" s="153" t="s">
        <v>3905</v>
      </c>
      <c r="BA2594" s="132" t="s">
        <v>3856</v>
      </c>
      <c r="BC2594" s="111">
        <f>AW2594+AX2594</f>
      </c>
      <c r="BD2594" s="111">
        <f>H2594/(100-BE2594)*100</f>
      </c>
      <c r="BE2594" s="111" t="n">
        <v>0</v>
      </c>
      <c r="BF2594" s="111">
        <f>2594</f>
      </c>
      <c r="BH2594" s="111">
        <f>G2594*AO2594</f>
      </c>
      <c r="BI2594" s="111">
        <f>G2594*AP2594</f>
      </c>
      <c r="BJ2594" s="111">
        <f>G2594*H2594</f>
      </c>
      <c r="BK2594" s="111"/>
      <c r="BL2594" s="111" t="n">
        <v>732</v>
      </c>
      <c r="BW2594" s="111" t="n">
        <v>21</v>
      </c>
      <c r="BX2594" s="14" t="s">
        <v>3989</v>
      </c>
    </row>
    <row r="2595">
      <c r="A2595" s="9" t="s">
        <v>3990</v>
      </c>
      <c r="B2595" s="10" t="s">
        <v>89</v>
      </c>
      <c r="C2595" s="10" t="s">
        <v>3991</v>
      </c>
      <c r="D2595" s="14" t="s">
        <v>3992</v>
      </c>
      <c r="E2595" s="10"/>
      <c r="F2595" s="10" t="s">
        <v>61</v>
      </c>
      <c r="G2595" s="111" t="n">
        <v>766.192</v>
      </c>
      <c r="H2595" s="152" t="n">
        <v>0</v>
      </c>
      <c r="I2595" s="111">
        <f>G2595*H2595</f>
      </c>
      <c r="J2595" s="153" t="s">
        <v>4</v>
      </c>
      <c r="K2595" s="146"/>
      <c r="Z2595" s="111">
        <f>IF(AQ2595="5",BJ2595,0)</f>
      </c>
      <c r="AB2595" s="111">
        <f>IF(AQ2595="1",BH2595,0)</f>
      </c>
      <c r="AC2595" s="111">
        <f>IF(AQ2595="1",BI2595,0)</f>
      </c>
      <c r="AD2595" s="111">
        <f>IF(AQ2595="7",BH2595,0)</f>
      </c>
      <c r="AE2595" s="111">
        <f>IF(AQ2595="7",BI2595,0)</f>
      </c>
      <c r="AF2595" s="111">
        <f>IF(AQ2595="2",BH2595,0)</f>
      </c>
      <c r="AG2595" s="111">
        <f>IF(AQ2595="2",BI2595,0)</f>
      </c>
      <c r="AH2595" s="111">
        <f>IF(AQ2595="0",BJ2595,0)</f>
      </c>
      <c r="AI2595" s="132" t="s">
        <v>89</v>
      </c>
      <c r="AJ2595" s="111">
        <f>IF(AN2595=0,I2595,0)</f>
      </c>
      <c r="AK2595" s="111">
        <f>IF(AN2595=12,I2595,0)</f>
      </c>
      <c r="AL2595" s="111">
        <f>IF(AN2595=21,I2595,0)</f>
      </c>
      <c r="AN2595" s="111" t="n">
        <v>21</v>
      </c>
      <c r="AO2595" s="111">
        <f>H2595*0</f>
      </c>
      <c r="AP2595" s="111">
        <f>H2595*(1-0)</f>
      </c>
      <c r="AQ2595" s="153" t="s">
        <v>173</v>
      </c>
      <c r="AV2595" s="111">
        <f>AW2595+AX2595</f>
      </c>
      <c r="AW2595" s="111">
        <f>G2595*AO2595</f>
      </c>
      <c r="AX2595" s="111">
        <f>G2595*AP2595</f>
      </c>
      <c r="AY2595" s="153" t="s">
        <v>3728</v>
      </c>
      <c r="AZ2595" s="153" t="s">
        <v>3905</v>
      </c>
      <c r="BA2595" s="132" t="s">
        <v>3856</v>
      </c>
      <c r="BC2595" s="111">
        <f>AW2595+AX2595</f>
      </c>
      <c r="BD2595" s="111">
        <f>H2595/(100-BE2595)*100</f>
      </c>
      <c r="BE2595" s="111" t="n">
        <v>0</v>
      </c>
      <c r="BF2595" s="111">
        <f>2595</f>
      </c>
      <c r="BH2595" s="111">
        <f>G2595*AO2595</f>
      </c>
      <c r="BI2595" s="111">
        <f>G2595*AP2595</f>
      </c>
      <c r="BJ2595" s="111">
        <f>G2595*H2595</f>
      </c>
      <c r="BK2595" s="111"/>
      <c r="BL2595" s="111" t="n">
        <v>732</v>
      </c>
      <c r="BW2595" s="111" t="n">
        <v>21</v>
      </c>
      <c r="BX2595" s="14" t="s">
        <v>3992</v>
      </c>
    </row>
    <row r="2596" ht="24.75">
      <c r="A2596" s="9" t="s">
        <v>3993</v>
      </c>
      <c r="B2596" s="10" t="s">
        <v>89</v>
      </c>
      <c r="C2596" s="10" t="s">
        <v>3994</v>
      </c>
      <c r="D2596" s="14" t="s">
        <v>3995</v>
      </c>
      <c r="E2596" s="10"/>
      <c r="F2596" s="10" t="s">
        <v>3860</v>
      </c>
      <c r="G2596" s="111" t="n">
        <v>1</v>
      </c>
      <c r="H2596" s="152" t="n">
        <v>0</v>
      </c>
      <c r="I2596" s="111">
        <f>G2596*H2596</f>
      </c>
      <c r="J2596" s="153" t="s">
        <v>4</v>
      </c>
      <c r="K2596" s="146"/>
      <c r="Z2596" s="111">
        <f>IF(AQ2596="5",BJ2596,0)</f>
      </c>
      <c r="AB2596" s="111">
        <f>IF(AQ2596="1",BH2596,0)</f>
      </c>
      <c r="AC2596" s="111">
        <f>IF(AQ2596="1",BI2596,0)</f>
      </c>
      <c r="AD2596" s="111">
        <f>IF(AQ2596="7",BH2596,0)</f>
      </c>
      <c r="AE2596" s="111">
        <f>IF(AQ2596="7",BI2596,0)</f>
      </c>
      <c r="AF2596" s="111">
        <f>IF(AQ2596="2",BH2596,0)</f>
      </c>
      <c r="AG2596" s="111">
        <f>IF(AQ2596="2",BI2596,0)</f>
      </c>
      <c r="AH2596" s="111">
        <f>IF(AQ2596="0",BJ2596,0)</f>
      </c>
      <c r="AI2596" s="132" t="s">
        <v>89</v>
      </c>
      <c r="AJ2596" s="111">
        <f>IF(AN2596=0,I2596,0)</f>
      </c>
      <c r="AK2596" s="111">
        <f>IF(AN2596=12,I2596,0)</f>
      </c>
      <c r="AL2596" s="111">
        <f>IF(AN2596=21,I2596,0)</f>
      </c>
      <c r="AN2596" s="111" t="n">
        <v>21</v>
      </c>
      <c r="AO2596" s="111">
        <f>H2596*1</f>
      </c>
      <c r="AP2596" s="111">
        <f>H2596*(1-1)</f>
      </c>
      <c r="AQ2596" s="153" t="s">
        <v>173</v>
      </c>
      <c r="AV2596" s="111">
        <f>AW2596+AX2596</f>
      </c>
      <c r="AW2596" s="111">
        <f>G2596*AO2596</f>
      </c>
      <c r="AX2596" s="111">
        <f>G2596*AP2596</f>
      </c>
      <c r="AY2596" s="153" t="s">
        <v>3728</v>
      </c>
      <c r="AZ2596" s="153" t="s">
        <v>3905</v>
      </c>
      <c r="BA2596" s="132" t="s">
        <v>3856</v>
      </c>
      <c r="BC2596" s="111">
        <f>AW2596+AX2596</f>
      </c>
      <c r="BD2596" s="111">
        <f>H2596/(100-BE2596)*100</f>
      </c>
      <c r="BE2596" s="111" t="n">
        <v>0</v>
      </c>
      <c r="BF2596" s="111">
        <f>2596</f>
      </c>
      <c r="BH2596" s="111">
        <f>G2596*AO2596</f>
      </c>
      <c r="BI2596" s="111">
        <f>G2596*AP2596</f>
      </c>
      <c r="BJ2596" s="111">
        <f>G2596*H2596</f>
      </c>
      <c r="BK2596" s="111"/>
      <c r="BL2596" s="111" t="n">
        <v>732</v>
      </c>
      <c r="BW2596" s="111" t="n">
        <v>21</v>
      </c>
      <c r="BX2596" s="14" t="s">
        <v>3995</v>
      </c>
    </row>
    <row r="2597" ht="24.75">
      <c r="A2597" s="9" t="s">
        <v>3996</v>
      </c>
      <c r="B2597" s="10" t="s">
        <v>89</v>
      </c>
      <c r="C2597" s="10" t="s">
        <v>3997</v>
      </c>
      <c r="D2597" s="14" t="s">
        <v>3998</v>
      </c>
      <c r="E2597" s="10"/>
      <c r="F2597" s="10" t="s">
        <v>133</v>
      </c>
      <c r="G2597" s="111" t="n">
        <v>1</v>
      </c>
      <c r="H2597" s="152" t="n">
        <v>0</v>
      </c>
      <c r="I2597" s="111">
        <f>G2597*H2597</f>
      </c>
      <c r="J2597" s="153" t="s">
        <v>4</v>
      </c>
      <c r="K2597" s="146"/>
      <c r="Z2597" s="111">
        <f>IF(AQ2597="5",BJ2597,0)</f>
      </c>
      <c r="AB2597" s="111">
        <f>IF(AQ2597="1",BH2597,0)</f>
      </c>
      <c r="AC2597" s="111">
        <f>IF(AQ2597="1",BI2597,0)</f>
      </c>
      <c r="AD2597" s="111">
        <f>IF(AQ2597="7",BH2597,0)</f>
      </c>
      <c r="AE2597" s="111">
        <f>IF(AQ2597="7",BI2597,0)</f>
      </c>
      <c r="AF2597" s="111">
        <f>IF(AQ2597="2",BH2597,0)</f>
      </c>
      <c r="AG2597" s="111">
        <f>IF(AQ2597="2",BI2597,0)</f>
      </c>
      <c r="AH2597" s="111">
        <f>IF(AQ2597="0",BJ2597,0)</f>
      </c>
      <c r="AI2597" s="132" t="s">
        <v>89</v>
      </c>
      <c r="AJ2597" s="111">
        <f>IF(AN2597=0,I2597,0)</f>
      </c>
      <c r="AK2597" s="111">
        <f>IF(AN2597=12,I2597,0)</f>
      </c>
      <c r="AL2597" s="111">
        <f>IF(AN2597=21,I2597,0)</f>
      </c>
      <c r="AN2597" s="111" t="n">
        <v>21</v>
      </c>
      <c r="AO2597" s="111">
        <f>H2597*1</f>
      </c>
      <c r="AP2597" s="111">
        <f>H2597*(1-1)</f>
      </c>
      <c r="AQ2597" s="153" t="s">
        <v>173</v>
      </c>
      <c r="AV2597" s="111">
        <f>AW2597+AX2597</f>
      </c>
      <c r="AW2597" s="111">
        <f>G2597*AO2597</f>
      </c>
      <c r="AX2597" s="111">
        <f>G2597*AP2597</f>
      </c>
      <c r="AY2597" s="153" t="s">
        <v>3728</v>
      </c>
      <c r="AZ2597" s="153" t="s">
        <v>3905</v>
      </c>
      <c r="BA2597" s="132" t="s">
        <v>3856</v>
      </c>
      <c r="BC2597" s="111">
        <f>AW2597+AX2597</f>
      </c>
      <c r="BD2597" s="111">
        <f>H2597/(100-BE2597)*100</f>
      </c>
      <c r="BE2597" s="111" t="n">
        <v>0</v>
      </c>
      <c r="BF2597" s="111">
        <f>2597</f>
      </c>
      <c r="BH2597" s="111">
        <f>G2597*AO2597</f>
      </c>
      <c r="BI2597" s="111">
        <f>G2597*AP2597</f>
      </c>
      <c r="BJ2597" s="111">
        <f>G2597*H2597</f>
      </c>
      <c r="BK2597" s="111"/>
      <c r="BL2597" s="111" t="n">
        <v>732</v>
      </c>
      <c r="BW2597" s="111" t="n">
        <v>21</v>
      </c>
      <c r="BX2597" s="14" t="s">
        <v>3998</v>
      </c>
    </row>
    <row r="2598" ht="24.75">
      <c r="A2598" s="9" t="s">
        <v>1993</v>
      </c>
      <c r="B2598" s="10" t="s">
        <v>89</v>
      </c>
      <c r="C2598" s="10" t="s">
        <v>3999</v>
      </c>
      <c r="D2598" s="14" t="s">
        <v>4000</v>
      </c>
      <c r="E2598" s="10"/>
      <c r="F2598" s="10" t="s">
        <v>2277</v>
      </c>
      <c r="G2598" s="111" t="n">
        <v>9</v>
      </c>
      <c r="H2598" s="152" t="n">
        <v>0</v>
      </c>
      <c r="I2598" s="111">
        <f>G2598*H2598</f>
      </c>
      <c r="J2598" s="153" t="s">
        <v>4</v>
      </c>
      <c r="K2598" s="146"/>
      <c r="Z2598" s="111">
        <f>IF(AQ2598="5",BJ2598,0)</f>
      </c>
      <c r="AB2598" s="111">
        <f>IF(AQ2598="1",BH2598,0)</f>
      </c>
      <c r="AC2598" s="111">
        <f>IF(AQ2598="1",BI2598,0)</f>
      </c>
      <c r="AD2598" s="111">
        <f>IF(AQ2598="7",BH2598,0)</f>
      </c>
      <c r="AE2598" s="111">
        <f>IF(AQ2598="7",BI2598,0)</f>
      </c>
      <c r="AF2598" s="111">
        <f>IF(AQ2598="2",BH2598,0)</f>
      </c>
      <c r="AG2598" s="111">
        <f>IF(AQ2598="2",BI2598,0)</f>
      </c>
      <c r="AH2598" s="111">
        <f>IF(AQ2598="0",BJ2598,0)</f>
      </c>
      <c r="AI2598" s="132" t="s">
        <v>89</v>
      </c>
      <c r="AJ2598" s="111">
        <f>IF(AN2598=0,I2598,0)</f>
      </c>
      <c r="AK2598" s="111">
        <f>IF(AN2598=12,I2598,0)</f>
      </c>
      <c r="AL2598" s="111">
        <f>IF(AN2598=21,I2598,0)</f>
      </c>
      <c r="AN2598" s="111" t="n">
        <v>21</v>
      </c>
      <c r="AO2598" s="111">
        <f>H2598*1</f>
      </c>
      <c r="AP2598" s="111">
        <f>H2598*(1-1)</f>
      </c>
      <c r="AQ2598" s="153" t="s">
        <v>173</v>
      </c>
      <c r="AV2598" s="111">
        <f>AW2598+AX2598</f>
      </c>
      <c r="AW2598" s="111">
        <f>G2598*AO2598</f>
      </c>
      <c r="AX2598" s="111">
        <f>G2598*AP2598</f>
      </c>
      <c r="AY2598" s="153" t="s">
        <v>3728</v>
      </c>
      <c r="AZ2598" s="153" t="s">
        <v>3905</v>
      </c>
      <c r="BA2598" s="132" t="s">
        <v>3856</v>
      </c>
      <c r="BC2598" s="111">
        <f>AW2598+AX2598</f>
      </c>
      <c r="BD2598" s="111">
        <f>H2598/(100-BE2598)*100</f>
      </c>
      <c r="BE2598" s="111" t="n">
        <v>0</v>
      </c>
      <c r="BF2598" s="111">
        <f>2598</f>
      </c>
      <c r="BH2598" s="111">
        <f>G2598*AO2598</f>
      </c>
      <c r="BI2598" s="111">
        <f>G2598*AP2598</f>
      </c>
      <c r="BJ2598" s="111">
        <f>G2598*H2598</f>
      </c>
      <c r="BK2598" s="111"/>
      <c r="BL2598" s="111" t="n">
        <v>732</v>
      </c>
      <c r="BW2598" s="111" t="n">
        <v>21</v>
      </c>
      <c r="BX2598" s="14" t="s">
        <v>4000</v>
      </c>
    </row>
    <row r="2599">
      <c r="A2599" s="9" t="s">
        <v>4001</v>
      </c>
      <c r="B2599" s="10" t="s">
        <v>89</v>
      </c>
      <c r="C2599" s="10" t="s">
        <v>4002</v>
      </c>
      <c r="D2599" s="14" t="s">
        <v>4003</v>
      </c>
      <c r="E2599" s="10"/>
      <c r="F2599" s="10" t="s">
        <v>282</v>
      </c>
      <c r="G2599" s="111" t="n">
        <v>24</v>
      </c>
      <c r="H2599" s="152" t="n">
        <v>0</v>
      </c>
      <c r="I2599" s="111">
        <f>G2599*H2599</f>
      </c>
      <c r="J2599" s="153" t="s">
        <v>4</v>
      </c>
      <c r="K2599" s="146"/>
      <c r="Z2599" s="111">
        <f>IF(AQ2599="5",BJ2599,0)</f>
      </c>
      <c r="AB2599" s="111">
        <f>IF(AQ2599="1",BH2599,0)</f>
      </c>
      <c r="AC2599" s="111">
        <f>IF(AQ2599="1",BI2599,0)</f>
      </c>
      <c r="AD2599" s="111">
        <f>IF(AQ2599="7",BH2599,0)</f>
      </c>
      <c r="AE2599" s="111">
        <f>IF(AQ2599="7",BI2599,0)</f>
      </c>
      <c r="AF2599" s="111">
        <f>IF(AQ2599="2",BH2599,0)</f>
      </c>
      <c r="AG2599" s="111">
        <f>IF(AQ2599="2",BI2599,0)</f>
      </c>
      <c r="AH2599" s="111">
        <f>IF(AQ2599="0",BJ2599,0)</f>
      </c>
      <c r="AI2599" s="132" t="s">
        <v>89</v>
      </c>
      <c r="AJ2599" s="111">
        <f>IF(AN2599=0,I2599,0)</f>
      </c>
      <c r="AK2599" s="111">
        <f>IF(AN2599=12,I2599,0)</f>
      </c>
      <c r="AL2599" s="111">
        <f>IF(AN2599=21,I2599,0)</f>
      </c>
      <c r="AN2599" s="111" t="n">
        <v>21</v>
      </c>
      <c r="AO2599" s="111">
        <f>H2599*1</f>
      </c>
      <c r="AP2599" s="111">
        <f>H2599*(1-1)</f>
      </c>
      <c r="AQ2599" s="153" t="s">
        <v>173</v>
      </c>
      <c r="AV2599" s="111">
        <f>AW2599+AX2599</f>
      </c>
      <c r="AW2599" s="111">
        <f>G2599*AO2599</f>
      </c>
      <c r="AX2599" s="111">
        <f>G2599*AP2599</f>
      </c>
      <c r="AY2599" s="153" t="s">
        <v>3728</v>
      </c>
      <c r="AZ2599" s="153" t="s">
        <v>3905</v>
      </c>
      <c r="BA2599" s="132" t="s">
        <v>3856</v>
      </c>
      <c r="BC2599" s="111">
        <f>AW2599+AX2599</f>
      </c>
      <c r="BD2599" s="111">
        <f>H2599/(100-BE2599)*100</f>
      </c>
      <c r="BE2599" s="111" t="n">
        <v>0</v>
      </c>
      <c r="BF2599" s="111">
        <f>2599</f>
      </c>
      <c r="BH2599" s="111">
        <f>G2599*AO2599</f>
      </c>
      <c r="BI2599" s="111">
        <f>G2599*AP2599</f>
      </c>
      <c r="BJ2599" s="111">
        <f>G2599*H2599</f>
      </c>
      <c r="BK2599" s="111"/>
      <c r="BL2599" s="111" t="n">
        <v>732</v>
      </c>
      <c r="BW2599" s="111" t="n">
        <v>21</v>
      </c>
      <c r="BX2599" s="14" t="s">
        <v>4003</v>
      </c>
    </row>
    <row r="2600">
      <c r="A2600" s="9" t="s">
        <v>2027</v>
      </c>
      <c r="B2600" s="10" t="s">
        <v>89</v>
      </c>
      <c r="C2600" s="10" t="s">
        <v>4004</v>
      </c>
      <c r="D2600" s="14" t="s">
        <v>4005</v>
      </c>
      <c r="E2600" s="10"/>
      <c r="F2600" s="10" t="s">
        <v>133</v>
      </c>
      <c r="G2600" s="111" t="n">
        <v>43</v>
      </c>
      <c r="H2600" s="152" t="n">
        <v>0</v>
      </c>
      <c r="I2600" s="111">
        <f>G2600*H2600</f>
      </c>
      <c r="J2600" s="153" t="s">
        <v>4</v>
      </c>
      <c r="K2600" s="146"/>
      <c r="Z2600" s="111">
        <f>IF(AQ2600="5",BJ2600,0)</f>
      </c>
      <c r="AB2600" s="111">
        <f>IF(AQ2600="1",BH2600,0)</f>
      </c>
      <c r="AC2600" s="111">
        <f>IF(AQ2600="1",BI2600,0)</f>
      </c>
      <c r="AD2600" s="111">
        <f>IF(AQ2600="7",BH2600,0)</f>
      </c>
      <c r="AE2600" s="111">
        <f>IF(AQ2600="7",BI2600,0)</f>
      </c>
      <c r="AF2600" s="111">
        <f>IF(AQ2600="2",BH2600,0)</f>
      </c>
      <c r="AG2600" s="111">
        <f>IF(AQ2600="2",BI2600,0)</f>
      </c>
      <c r="AH2600" s="111">
        <f>IF(AQ2600="0",BJ2600,0)</f>
      </c>
      <c r="AI2600" s="132" t="s">
        <v>89</v>
      </c>
      <c r="AJ2600" s="111">
        <f>IF(AN2600=0,I2600,0)</f>
      </c>
      <c r="AK2600" s="111">
        <f>IF(AN2600=12,I2600,0)</f>
      </c>
      <c r="AL2600" s="111">
        <f>IF(AN2600=21,I2600,0)</f>
      </c>
      <c r="AN2600" s="111" t="n">
        <v>21</v>
      </c>
      <c r="AO2600" s="111">
        <f>H2600*1</f>
      </c>
      <c r="AP2600" s="111">
        <f>H2600*(1-1)</f>
      </c>
      <c r="AQ2600" s="153" t="s">
        <v>173</v>
      </c>
      <c r="AV2600" s="111">
        <f>AW2600+AX2600</f>
      </c>
      <c r="AW2600" s="111">
        <f>G2600*AO2600</f>
      </c>
      <c r="AX2600" s="111">
        <f>G2600*AP2600</f>
      </c>
      <c r="AY2600" s="153" t="s">
        <v>3728</v>
      </c>
      <c r="AZ2600" s="153" t="s">
        <v>3905</v>
      </c>
      <c r="BA2600" s="132" t="s">
        <v>3856</v>
      </c>
      <c r="BC2600" s="111">
        <f>AW2600+AX2600</f>
      </c>
      <c r="BD2600" s="111">
        <f>H2600/(100-BE2600)*100</f>
      </c>
      <c r="BE2600" s="111" t="n">
        <v>0</v>
      </c>
      <c r="BF2600" s="111">
        <f>2600</f>
      </c>
      <c r="BH2600" s="111">
        <f>G2600*AO2600</f>
      </c>
      <c r="BI2600" s="111">
        <f>G2600*AP2600</f>
      </c>
      <c r="BJ2600" s="111">
        <f>G2600*H2600</f>
      </c>
      <c r="BK2600" s="111"/>
      <c r="BL2600" s="111" t="n">
        <v>732</v>
      </c>
      <c r="BW2600" s="111" t="n">
        <v>21</v>
      </c>
      <c r="BX2600" s="14" t="s">
        <v>4005</v>
      </c>
    </row>
    <row r="2601">
      <c r="A2601" s="9" t="s">
        <v>4006</v>
      </c>
      <c r="B2601" s="10" t="s">
        <v>89</v>
      </c>
      <c r="C2601" s="10" t="s">
        <v>4007</v>
      </c>
      <c r="D2601" s="14" t="s">
        <v>4008</v>
      </c>
      <c r="E2601" s="10"/>
      <c r="F2601" s="10" t="s">
        <v>133</v>
      </c>
      <c r="G2601" s="111" t="n">
        <v>2</v>
      </c>
      <c r="H2601" s="152" t="n">
        <v>0</v>
      </c>
      <c r="I2601" s="111">
        <f>G2601*H2601</f>
      </c>
      <c r="J2601" s="153" t="s">
        <v>4</v>
      </c>
      <c r="K2601" s="146"/>
      <c r="Z2601" s="111">
        <f>IF(AQ2601="5",BJ2601,0)</f>
      </c>
      <c r="AB2601" s="111">
        <f>IF(AQ2601="1",BH2601,0)</f>
      </c>
      <c r="AC2601" s="111">
        <f>IF(AQ2601="1",BI2601,0)</f>
      </c>
      <c r="AD2601" s="111">
        <f>IF(AQ2601="7",BH2601,0)</f>
      </c>
      <c r="AE2601" s="111">
        <f>IF(AQ2601="7",BI2601,0)</f>
      </c>
      <c r="AF2601" s="111">
        <f>IF(AQ2601="2",BH2601,0)</f>
      </c>
      <c r="AG2601" s="111">
        <f>IF(AQ2601="2",BI2601,0)</f>
      </c>
      <c r="AH2601" s="111">
        <f>IF(AQ2601="0",BJ2601,0)</f>
      </c>
      <c r="AI2601" s="132" t="s">
        <v>89</v>
      </c>
      <c r="AJ2601" s="111">
        <f>IF(AN2601=0,I2601,0)</f>
      </c>
      <c r="AK2601" s="111">
        <f>IF(AN2601=12,I2601,0)</f>
      </c>
      <c r="AL2601" s="111">
        <f>IF(AN2601=21,I2601,0)</f>
      </c>
      <c r="AN2601" s="111" t="n">
        <v>21</v>
      </c>
      <c r="AO2601" s="111">
        <f>H2601*1</f>
      </c>
      <c r="AP2601" s="111">
        <f>H2601*(1-1)</f>
      </c>
      <c r="AQ2601" s="153" t="s">
        <v>173</v>
      </c>
      <c r="AV2601" s="111">
        <f>AW2601+AX2601</f>
      </c>
      <c r="AW2601" s="111">
        <f>G2601*AO2601</f>
      </c>
      <c r="AX2601" s="111">
        <f>G2601*AP2601</f>
      </c>
      <c r="AY2601" s="153" t="s">
        <v>3728</v>
      </c>
      <c r="AZ2601" s="153" t="s">
        <v>3905</v>
      </c>
      <c r="BA2601" s="132" t="s">
        <v>3856</v>
      </c>
      <c r="BC2601" s="111">
        <f>AW2601+AX2601</f>
      </c>
      <c r="BD2601" s="111">
        <f>H2601/(100-BE2601)*100</f>
      </c>
      <c r="BE2601" s="111" t="n">
        <v>0</v>
      </c>
      <c r="BF2601" s="111">
        <f>2601</f>
      </c>
      <c r="BH2601" s="111">
        <f>G2601*AO2601</f>
      </c>
      <c r="BI2601" s="111">
        <f>G2601*AP2601</f>
      </c>
      <c r="BJ2601" s="111">
        <f>G2601*H2601</f>
      </c>
      <c r="BK2601" s="111"/>
      <c r="BL2601" s="111" t="n">
        <v>732</v>
      </c>
      <c r="BW2601" s="111" t="n">
        <v>21</v>
      </c>
      <c r="BX2601" s="14" t="s">
        <v>4008</v>
      </c>
    </row>
    <row r="2602">
      <c r="A2602" s="9" t="s">
        <v>2138</v>
      </c>
      <c r="B2602" s="10" t="s">
        <v>89</v>
      </c>
      <c r="C2602" s="10" t="s">
        <v>4009</v>
      </c>
      <c r="D2602" s="14" t="s">
        <v>4008</v>
      </c>
      <c r="E2602" s="10"/>
      <c r="F2602" s="10" t="s">
        <v>133</v>
      </c>
      <c r="G2602" s="111" t="n">
        <v>1</v>
      </c>
      <c r="H2602" s="152" t="n">
        <v>0</v>
      </c>
      <c r="I2602" s="111">
        <f>G2602*H2602</f>
      </c>
      <c r="J2602" s="153" t="s">
        <v>4</v>
      </c>
      <c r="K2602" s="146"/>
      <c r="Z2602" s="111">
        <f>IF(AQ2602="5",BJ2602,0)</f>
      </c>
      <c r="AB2602" s="111">
        <f>IF(AQ2602="1",BH2602,0)</f>
      </c>
      <c r="AC2602" s="111">
        <f>IF(AQ2602="1",BI2602,0)</f>
      </c>
      <c r="AD2602" s="111">
        <f>IF(AQ2602="7",BH2602,0)</f>
      </c>
      <c r="AE2602" s="111">
        <f>IF(AQ2602="7",BI2602,0)</f>
      </c>
      <c r="AF2602" s="111">
        <f>IF(AQ2602="2",BH2602,0)</f>
      </c>
      <c r="AG2602" s="111">
        <f>IF(AQ2602="2",BI2602,0)</f>
      </c>
      <c r="AH2602" s="111">
        <f>IF(AQ2602="0",BJ2602,0)</f>
      </c>
      <c r="AI2602" s="132" t="s">
        <v>89</v>
      </c>
      <c r="AJ2602" s="111">
        <f>IF(AN2602=0,I2602,0)</f>
      </c>
      <c r="AK2602" s="111">
        <f>IF(AN2602=12,I2602,0)</f>
      </c>
      <c r="AL2602" s="111">
        <f>IF(AN2602=21,I2602,0)</f>
      </c>
      <c r="AN2602" s="111" t="n">
        <v>21</v>
      </c>
      <c r="AO2602" s="111">
        <f>H2602*1</f>
      </c>
      <c r="AP2602" s="111">
        <f>H2602*(1-1)</f>
      </c>
      <c r="AQ2602" s="153" t="s">
        <v>173</v>
      </c>
      <c r="AV2602" s="111">
        <f>AW2602+AX2602</f>
      </c>
      <c r="AW2602" s="111">
        <f>G2602*AO2602</f>
      </c>
      <c r="AX2602" s="111">
        <f>G2602*AP2602</f>
      </c>
      <c r="AY2602" s="153" t="s">
        <v>3728</v>
      </c>
      <c r="AZ2602" s="153" t="s">
        <v>3905</v>
      </c>
      <c r="BA2602" s="132" t="s">
        <v>3856</v>
      </c>
      <c r="BC2602" s="111">
        <f>AW2602+AX2602</f>
      </c>
      <c r="BD2602" s="111">
        <f>H2602/(100-BE2602)*100</f>
      </c>
      <c r="BE2602" s="111" t="n">
        <v>0</v>
      </c>
      <c r="BF2602" s="111">
        <f>2602</f>
      </c>
      <c r="BH2602" s="111">
        <f>G2602*AO2602</f>
      </c>
      <c r="BI2602" s="111">
        <f>G2602*AP2602</f>
      </c>
      <c r="BJ2602" s="111">
        <f>G2602*H2602</f>
      </c>
      <c r="BK2602" s="111"/>
      <c r="BL2602" s="111" t="n">
        <v>732</v>
      </c>
      <c r="BW2602" s="111" t="n">
        <v>21</v>
      </c>
      <c r="BX2602" s="14" t="s">
        <v>4008</v>
      </c>
    </row>
    <row r="2603">
      <c r="A2603" s="9" t="s">
        <v>2272</v>
      </c>
      <c r="B2603" s="10" t="s">
        <v>89</v>
      </c>
      <c r="C2603" s="10" t="s">
        <v>4010</v>
      </c>
      <c r="D2603" s="14" t="s">
        <v>4011</v>
      </c>
      <c r="E2603" s="10"/>
      <c r="F2603" s="10" t="s">
        <v>133</v>
      </c>
      <c r="G2603" s="111" t="n">
        <v>5</v>
      </c>
      <c r="H2603" s="152" t="n">
        <v>0</v>
      </c>
      <c r="I2603" s="111">
        <f>G2603*H2603</f>
      </c>
      <c r="J2603" s="153" t="s">
        <v>4</v>
      </c>
      <c r="K2603" s="146"/>
      <c r="Z2603" s="111">
        <f>IF(AQ2603="5",BJ2603,0)</f>
      </c>
      <c r="AB2603" s="111">
        <f>IF(AQ2603="1",BH2603,0)</f>
      </c>
      <c r="AC2603" s="111">
        <f>IF(AQ2603="1",BI2603,0)</f>
      </c>
      <c r="AD2603" s="111">
        <f>IF(AQ2603="7",BH2603,0)</f>
      </c>
      <c r="AE2603" s="111">
        <f>IF(AQ2603="7",BI2603,0)</f>
      </c>
      <c r="AF2603" s="111">
        <f>IF(AQ2603="2",BH2603,0)</f>
      </c>
      <c r="AG2603" s="111">
        <f>IF(AQ2603="2",BI2603,0)</f>
      </c>
      <c r="AH2603" s="111">
        <f>IF(AQ2603="0",BJ2603,0)</f>
      </c>
      <c r="AI2603" s="132" t="s">
        <v>89</v>
      </c>
      <c r="AJ2603" s="111">
        <f>IF(AN2603=0,I2603,0)</f>
      </c>
      <c r="AK2603" s="111">
        <f>IF(AN2603=12,I2603,0)</f>
      </c>
      <c r="AL2603" s="111">
        <f>IF(AN2603=21,I2603,0)</f>
      </c>
      <c r="AN2603" s="111" t="n">
        <v>21</v>
      </c>
      <c r="AO2603" s="111">
        <f>H2603*1</f>
      </c>
      <c r="AP2603" s="111">
        <f>H2603*(1-1)</f>
      </c>
      <c r="AQ2603" s="153" t="s">
        <v>173</v>
      </c>
      <c r="AV2603" s="111">
        <f>AW2603+AX2603</f>
      </c>
      <c r="AW2603" s="111">
        <f>G2603*AO2603</f>
      </c>
      <c r="AX2603" s="111">
        <f>G2603*AP2603</f>
      </c>
      <c r="AY2603" s="153" t="s">
        <v>3728</v>
      </c>
      <c r="AZ2603" s="153" t="s">
        <v>3905</v>
      </c>
      <c r="BA2603" s="132" t="s">
        <v>3856</v>
      </c>
      <c r="BC2603" s="111">
        <f>AW2603+AX2603</f>
      </c>
      <c r="BD2603" s="111">
        <f>H2603/(100-BE2603)*100</f>
      </c>
      <c r="BE2603" s="111" t="n">
        <v>0</v>
      </c>
      <c r="BF2603" s="111">
        <f>2603</f>
      </c>
      <c r="BH2603" s="111">
        <f>G2603*AO2603</f>
      </c>
      <c r="BI2603" s="111">
        <f>G2603*AP2603</f>
      </c>
      <c r="BJ2603" s="111">
        <f>G2603*H2603</f>
      </c>
      <c r="BK2603" s="111"/>
      <c r="BL2603" s="111" t="n">
        <v>732</v>
      </c>
      <c r="BW2603" s="111" t="n">
        <v>21</v>
      </c>
      <c r="BX2603" s="14" t="s">
        <v>4011</v>
      </c>
    </row>
    <row r="2604">
      <c r="A2604" s="9" t="s">
        <v>4012</v>
      </c>
      <c r="B2604" s="10" t="s">
        <v>89</v>
      </c>
      <c r="C2604" s="10" t="s">
        <v>4013</v>
      </c>
      <c r="D2604" s="14" t="s">
        <v>4011</v>
      </c>
      <c r="E2604" s="10"/>
      <c r="F2604" s="10" t="s">
        <v>133</v>
      </c>
      <c r="G2604" s="111" t="n">
        <v>4</v>
      </c>
      <c r="H2604" s="152" t="n">
        <v>0</v>
      </c>
      <c r="I2604" s="111">
        <f>G2604*H2604</f>
      </c>
      <c r="J2604" s="153" t="s">
        <v>4</v>
      </c>
      <c r="K2604" s="146"/>
      <c r="Z2604" s="111">
        <f>IF(AQ2604="5",BJ2604,0)</f>
      </c>
      <c r="AB2604" s="111">
        <f>IF(AQ2604="1",BH2604,0)</f>
      </c>
      <c r="AC2604" s="111">
        <f>IF(AQ2604="1",BI2604,0)</f>
      </c>
      <c r="AD2604" s="111">
        <f>IF(AQ2604="7",BH2604,0)</f>
      </c>
      <c r="AE2604" s="111">
        <f>IF(AQ2604="7",BI2604,0)</f>
      </c>
      <c r="AF2604" s="111">
        <f>IF(AQ2604="2",BH2604,0)</f>
      </c>
      <c r="AG2604" s="111">
        <f>IF(AQ2604="2",BI2604,0)</f>
      </c>
      <c r="AH2604" s="111">
        <f>IF(AQ2604="0",BJ2604,0)</f>
      </c>
      <c r="AI2604" s="132" t="s">
        <v>89</v>
      </c>
      <c r="AJ2604" s="111">
        <f>IF(AN2604=0,I2604,0)</f>
      </c>
      <c r="AK2604" s="111">
        <f>IF(AN2604=12,I2604,0)</f>
      </c>
      <c r="AL2604" s="111">
        <f>IF(AN2604=21,I2604,0)</f>
      </c>
      <c r="AN2604" s="111" t="n">
        <v>21</v>
      </c>
      <c r="AO2604" s="111">
        <f>H2604*1</f>
      </c>
      <c r="AP2604" s="111">
        <f>H2604*(1-1)</f>
      </c>
      <c r="AQ2604" s="153" t="s">
        <v>173</v>
      </c>
      <c r="AV2604" s="111">
        <f>AW2604+AX2604</f>
      </c>
      <c r="AW2604" s="111">
        <f>G2604*AO2604</f>
      </c>
      <c r="AX2604" s="111">
        <f>G2604*AP2604</f>
      </c>
      <c r="AY2604" s="153" t="s">
        <v>3728</v>
      </c>
      <c r="AZ2604" s="153" t="s">
        <v>3905</v>
      </c>
      <c r="BA2604" s="132" t="s">
        <v>3856</v>
      </c>
      <c r="BC2604" s="111">
        <f>AW2604+AX2604</f>
      </c>
      <c r="BD2604" s="111">
        <f>H2604/(100-BE2604)*100</f>
      </c>
      <c r="BE2604" s="111" t="n">
        <v>0</v>
      </c>
      <c r="BF2604" s="111">
        <f>2604</f>
      </c>
      <c r="BH2604" s="111">
        <f>G2604*AO2604</f>
      </c>
      <c r="BI2604" s="111">
        <f>G2604*AP2604</f>
      </c>
      <c r="BJ2604" s="111">
        <f>G2604*H2604</f>
      </c>
      <c r="BK2604" s="111"/>
      <c r="BL2604" s="111" t="n">
        <v>732</v>
      </c>
      <c r="BW2604" s="111" t="n">
        <v>21</v>
      </c>
      <c r="BX2604" s="14" t="s">
        <v>4011</v>
      </c>
    </row>
    <row r="2605">
      <c r="A2605" s="9" t="s">
        <v>4014</v>
      </c>
      <c r="B2605" s="10" t="s">
        <v>89</v>
      </c>
      <c r="C2605" s="10" t="s">
        <v>4015</v>
      </c>
      <c r="D2605" s="14" t="s">
        <v>4011</v>
      </c>
      <c r="E2605" s="10"/>
      <c r="F2605" s="10" t="s">
        <v>133</v>
      </c>
      <c r="G2605" s="111" t="n">
        <v>1</v>
      </c>
      <c r="H2605" s="152" t="n">
        <v>0</v>
      </c>
      <c r="I2605" s="111">
        <f>G2605*H2605</f>
      </c>
      <c r="J2605" s="153" t="s">
        <v>4</v>
      </c>
      <c r="K2605" s="146"/>
      <c r="Z2605" s="111">
        <f>IF(AQ2605="5",BJ2605,0)</f>
      </c>
      <c r="AB2605" s="111">
        <f>IF(AQ2605="1",BH2605,0)</f>
      </c>
      <c r="AC2605" s="111">
        <f>IF(AQ2605="1",BI2605,0)</f>
      </c>
      <c r="AD2605" s="111">
        <f>IF(AQ2605="7",BH2605,0)</f>
      </c>
      <c r="AE2605" s="111">
        <f>IF(AQ2605="7",BI2605,0)</f>
      </c>
      <c r="AF2605" s="111">
        <f>IF(AQ2605="2",BH2605,0)</f>
      </c>
      <c r="AG2605" s="111">
        <f>IF(AQ2605="2",BI2605,0)</f>
      </c>
      <c r="AH2605" s="111">
        <f>IF(AQ2605="0",BJ2605,0)</f>
      </c>
      <c r="AI2605" s="132" t="s">
        <v>89</v>
      </c>
      <c r="AJ2605" s="111">
        <f>IF(AN2605=0,I2605,0)</f>
      </c>
      <c r="AK2605" s="111">
        <f>IF(AN2605=12,I2605,0)</f>
      </c>
      <c r="AL2605" s="111">
        <f>IF(AN2605=21,I2605,0)</f>
      </c>
      <c r="AN2605" s="111" t="n">
        <v>21</v>
      </c>
      <c r="AO2605" s="111">
        <f>H2605*1</f>
      </c>
      <c r="AP2605" s="111">
        <f>H2605*(1-1)</f>
      </c>
      <c r="AQ2605" s="153" t="s">
        <v>173</v>
      </c>
      <c r="AV2605" s="111">
        <f>AW2605+AX2605</f>
      </c>
      <c r="AW2605" s="111">
        <f>G2605*AO2605</f>
      </c>
      <c r="AX2605" s="111">
        <f>G2605*AP2605</f>
      </c>
      <c r="AY2605" s="153" t="s">
        <v>3728</v>
      </c>
      <c r="AZ2605" s="153" t="s">
        <v>3905</v>
      </c>
      <c r="BA2605" s="132" t="s">
        <v>3856</v>
      </c>
      <c r="BC2605" s="111">
        <f>AW2605+AX2605</f>
      </c>
      <c r="BD2605" s="111">
        <f>H2605/(100-BE2605)*100</f>
      </c>
      <c r="BE2605" s="111" t="n">
        <v>0</v>
      </c>
      <c r="BF2605" s="111">
        <f>2605</f>
      </c>
      <c r="BH2605" s="111">
        <f>G2605*AO2605</f>
      </c>
      <c r="BI2605" s="111">
        <f>G2605*AP2605</f>
      </c>
      <c r="BJ2605" s="111">
        <f>G2605*H2605</f>
      </c>
      <c r="BK2605" s="111"/>
      <c r="BL2605" s="111" t="n">
        <v>732</v>
      </c>
      <c r="BW2605" s="111" t="n">
        <v>21</v>
      </c>
      <c r="BX2605" s="14" t="s">
        <v>4011</v>
      </c>
    </row>
    <row r="2606">
      <c r="A2606" s="9" t="s">
        <v>4016</v>
      </c>
      <c r="B2606" s="10" t="s">
        <v>89</v>
      </c>
      <c r="C2606" s="10" t="s">
        <v>4017</v>
      </c>
      <c r="D2606" s="14" t="s">
        <v>4018</v>
      </c>
      <c r="E2606" s="10"/>
      <c r="F2606" s="10" t="s">
        <v>3860</v>
      </c>
      <c r="G2606" s="111" t="n">
        <v>1</v>
      </c>
      <c r="H2606" s="152" t="n">
        <v>0</v>
      </c>
      <c r="I2606" s="111">
        <f>G2606*H2606</f>
      </c>
      <c r="J2606" s="153" t="s">
        <v>4</v>
      </c>
      <c r="K2606" s="146"/>
      <c r="Z2606" s="111">
        <f>IF(AQ2606="5",BJ2606,0)</f>
      </c>
      <c r="AB2606" s="111">
        <f>IF(AQ2606="1",BH2606,0)</f>
      </c>
      <c r="AC2606" s="111">
        <f>IF(AQ2606="1",BI2606,0)</f>
      </c>
      <c r="AD2606" s="111">
        <f>IF(AQ2606="7",BH2606,0)</f>
      </c>
      <c r="AE2606" s="111">
        <f>IF(AQ2606="7",BI2606,0)</f>
      </c>
      <c r="AF2606" s="111">
        <f>IF(AQ2606="2",BH2606,0)</f>
      </c>
      <c r="AG2606" s="111">
        <f>IF(AQ2606="2",BI2606,0)</f>
      </c>
      <c r="AH2606" s="111">
        <f>IF(AQ2606="0",BJ2606,0)</f>
      </c>
      <c r="AI2606" s="132" t="s">
        <v>89</v>
      </c>
      <c r="AJ2606" s="111">
        <f>IF(AN2606=0,I2606,0)</f>
      </c>
      <c r="AK2606" s="111">
        <f>IF(AN2606=12,I2606,0)</f>
      </c>
      <c r="AL2606" s="111">
        <f>IF(AN2606=21,I2606,0)</f>
      </c>
      <c r="AN2606" s="111" t="n">
        <v>21</v>
      </c>
      <c r="AO2606" s="111">
        <f>H2606*1</f>
      </c>
      <c r="AP2606" s="111">
        <f>H2606*(1-1)</f>
      </c>
      <c r="AQ2606" s="153" t="s">
        <v>173</v>
      </c>
      <c r="AV2606" s="111">
        <f>AW2606+AX2606</f>
      </c>
      <c r="AW2606" s="111">
        <f>G2606*AO2606</f>
      </c>
      <c r="AX2606" s="111">
        <f>G2606*AP2606</f>
      </c>
      <c r="AY2606" s="153" t="s">
        <v>3728</v>
      </c>
      <c r="AZ2606" s="153" t="s">
        <v>3905</v>
      </c>
      <c r="BA2606" s="132" t="s">
        <v>3856</v>
      </c>
      <c r="BC2606" s="111">
        <f>AW2606+AX2606</f>
      </c>
      <c r="BD2606" s="111">
        <f>H2606/(100-BE2606)*100</f>
      </c>
      <c r="BE2606" s="111" t="n">
        <v>0</v>
      </c>
      <c r="BF2606" s="111">
        <f>2606</f>
      </c>
      <c r="BH2606" s="111">
        <f>G2606*AO2606</f>
      </c>
      <c r="BI2606" s="111">
        <f>G2606*AP2606</f>
      </c>
      <c r="BJ2606" s="111">
        <f>G2606*H2606</f>
      </c>
      <c r="BK2606" s="111"/>
      <c r="BL2606" s="111" t="n">
        <v>732</v>
      </c>
      <c r="BW2606" s="111" t="n">
        <v>21</v>
      </c>
      <c r="BX2606" s="14" t="s">
        <v>4018</v>
      </c>
    </row>
    <row r="2607">
      <c r="A2607" s="9" t="s">
        <v>2480</v>
      </c>
      <c r="B2607" s="10" t="s">
        <v>89</v>
      </c>
      <c r="C2607" s="10" t="s">
        <v>4019</v>
      </c>
      <c r="D2607" s="14" t="s">
        <v>4020</v>
      </c>
      <c r="E2607" s="10"/>
      <c r="F2607" s="10" t="s">
        <v>133</v>
      </c>
      <c r="G2607" s="111" t="n">
        <v>2</v>
      </c>
      <c r="H2607" s="152" t="n">
        <v>0</v>
      </c>
      <c r="I2607" s="111">
        <f>G2607*H2607</f>
      </c>
      <c r="J2607" s="153" t="s">
        <v>4</v>
      </c>
      <c r="K2607" s="146"/>
      <c r="Z2607" s="111">
        <f>IF(AQ2607="5",BJ2607,0)</f>
      </c>
      <c r="AB2607" s="111">
        <f>IF(AQ2607="1",BH2607,0)</f>
      </c>
      <c r="AC2607" s="111">
        <f>IF(AQ2607="1",BI2607,0)</f>
      </c>
      <c r="AD2607" s="111">
        <f>IF(AQ2607="7",BH2607,0)</f>
      </c>
      <c r="AE2607" s="111">
        <f>IF(AQ2607="7",BI2607,0)</f>
      </c>
      <c r="AF2607" s="111">
        <f>IF(AQ2607="2",BH2607,0)</f>
      </c>
      <c r="AG2607" s="111">
        <f>IF(AQ2607="2",BI2607,0)</f>
      </c>
      <c r="AH2607" s="111">
        <f>IF(AQ2607="0",BJ2607,0)</f>
      </c>
      <c r="AI2607" s="132" t="s">
        <v>89</v>
      </c>
      <c r="AJ2607" s="111">
        <f>IF(AN2607=0,I2607,0)</f>
      </c>
      <c r="AK2607" s="111">
        <f>IF(AN2607=12,I2607,0)</f>
      </c>
      <c r="AL2607" s="111">
        <f>IF(AN2607=21,I2607,0)</f>
      </c>
      <c r="AN2607" s="111" t="n">
        <v>21</v>
      </c>
      <c r="AO2607" s="111">
        <f>H2607*1</f>
      </c>
      <c r="AP2607" s="111">
        <f>H2607*(1-1)</f>
      </c>
      <c r="AQ2607" s="153" t="s">
        <v>173</v>
      </c>
      <c r="AV2607" s="111">
        <f>AW2607+AX2607</f>
      </c>
      <c r="AW2607" s="111">
        <f>G2607*AO2607</f>
      </c>
      <c r="AX2607" s="111">
        <f>G2607*AP2607</f>
      </c>
      <c r="AY2607" s="153" t="s">
        <v>3728</v>
      </c>
      <c r="AZ2607" s="153" t="s">
        <v>3905</v>
      </c>
      <c r="BA2607" s="132" t="s">
        <v>3856</v>
      </c>
      <c r="BC2607" s="111">
        <f>AW2607+AX2607</f>
      </c>
      <c r="BD2607" s="111">
        <f>H2607/(100-BE2607)*100</f>
      </c>
      <c r="BE2607" s="111" t="n">
        <v>0</v>
      </c>
      <c r="BF2607" s="111">
        <f>2607</f>
      </c>
      <c r="BH2607" s="111">
        <f>G2607*AO2607</f>
      </c>
      <c r="BI2607" s="111">
        <f>G2607*AP2607</f>
      </c>
      <c r="BJ2607" s="111">
        <f>G2607*H2607</f>
      </c>
      <c r="BK2607" s="111"/>
      <c r="BL2607" s="111" t="n">
        <v>732</v>
      </c>
      <c r="BW2607" s="111" t="n">
        <v>21</v>
      </c>
      <c r="BX2607" s="14" t="s">
        <v>4020</v>
      </c>
    </row>
    <row r="2608">
      <c r="A2608" s="9" t="s">
        <v>4021</v>
      </c>
      <c r="B2608" s="10" t="s">
        <v>89</v>
      </c>
      <c r="C2608" s="10" t="s">
        <v>4022</v>
      </c>
      <c r="D2608" s="14" t="s">
        <v>4023</v>
      </c>
      <c r="E2608" s="10"/>
      <c r="F2608" s="10" t="s">
        <v>2277</v>
      </c>
      <c r="G2608" s="111" t="n">
        <v>1</v>
      </c>
      <c r="H2608" s="152" t="n">
        <v>0</v>
      </c>
      <c r="I2608" s="111">
        <f>G2608*H2608</f>
      </c>
      <c r="J2608" s="153" t="s">
        <v>4</v>
      </c>
      <c r="K2608" s="146"/>
      <c r="Z2608" s="111">
        <f>IF(AQ2608="5",BJ2608,0)</f>
      </c>
      <c r="AB2608" s="111">
        <f>IF(AQ2608="1",BH2608,0)</f>
      </c>
      <c r="AC2608" s="111">
        <f>IF(AQ2608="1",BI2608,0)</f>
      </c>
      <c r="AD2608" s="111">
        <f>IF(AQ2608="7",BH2608,0)</f>
      </c>
      <c r="AE2608" s="111">
        <f>IF(AQ2608="7",BI2608,0)</f>
      </c>
      <c r="AF2608" s="111">
        <f>IF(AQ2608="2",BH2608,0)</f>
      </c>
      <c r="AG2608" s="111">
        <f>IF(AQ2608="2",BI2608,0)</f>
      </c>
      <c r="AH2608" s="111">
        <f>IF(AQ2608="0",BJ2608,0)</f>
      </c>
      <c r="AI2608" s="132" t="s">
        <v>89</v>
      </c>
      <c r="AJ2608" s="111">
        <f>IF(AN2608=0,I2608,0)</f>
      </c>
      <c r="AK2608" s="111">
        <f>IF(AN2608=12,I2608,0)</f>
      </c>
      <c r="AL2608" s="111">
        <f>IF(AN2608=21,I2608,0)</f>
      </c>
      <c r="AN2608" s="111" t="n">
        <v>21</v>
      </c>
      <c r="AO2608" s="111">
        <f>H2608*1</f>
      </c>
      <c r="AP2608" s="111">
        <f>H2608*(1-1)</f>
      </c>
      <c r="AQ2608" s="153" t="s">
        <v>173</v>
      </c>
      <c r="AV2608" s="111">
        <f>AW2608+AX2608</f>
      </c>
      <c r="AW2608" s="111">
        <f>G2608*AO2608</f>
      </c>
      <c r="AX2608" s="111">
        <f>G2608*AP2608</f>
      </c>
      <c r="AY2608" s="153" t="s">
        <v>3728</v>
      </c>
      <c r="AZ2608" s="153" t="s">
        <v>3905</v>
      </c>
      <c r="BA2608" s="132" t="s">
        <v>3856</v>
      </c>
      <c r="BC2608" s="111">
        <f>AW2608+AX2608</f>
      </c>
      <c r="BD2608" s="111">
        <f>H2608/(100-BE2608)*100</f>
      </c>
      <c r="BE2608" s="111" t="n">
        <v>0</v>
      </c>
      <c r="BF2608" s="111">
        <f>2608</f>
      </c>
      <c r="BH2608" s="111">
        <f>G2608*AO2608</f>
      </c>
      <c r="BI2608" s="111">
        <f>G2608*AP2608</f>
      </c>
      <c r="BJ2608" s="111">
        <f>G2608*H2608</f>
      </c>
      <c r="BK2608" s="111"/>
      <c r="BL2608" s="111" t="n">
        <v>732</v>
      </c>
      <c r="BW2608" s="111" t="n">
        <v>21</v>
      </c>
      <c r="BX2608" s="14" t="s">
        <v>4023</v>
      </c>
    </row>
    <row r="2609">
      <c r="A2609" s="9" t="s">
        <v>4024</v>
      </c>
      <c r="B2609" s="10" t="s">
        <v>89</v>
      </c>
      <c r="C2609" s="10" t="s">
        <v>4025</v>
      </c>
      <c r="D2609" s="14" t="s">
        <v>4026</v>
      </c>
      <c r="E2609" s="10"/>
      <c r="F2609" s="10" t="s">
        <v>2277</v>
      </c>
      <c r="G2609" s="111" t="n">
        <v>2</v>
      </c>
      <c r="H2609" s="152" t="n">
        <v>0</v>
      </c>
      <c r="I2609" s="111">
        <f>G2609*H2609</f>
      </c>
      <c r="J2609" s="153" t="s">
        <v>4</v>
      </c>
      <c r="K2609" s="146"/>
      <c r="Z2609" s="111">
        <f>IF(AQ2609="5",BJ2609,0)</f>
      </c>
      <c r="AB2609" s="111">
        <f>IF(AQ2609="1",BH2609,0)</f>
      </c>
      <c r="AC2609" s="111">
        <f>IF(AQ2609="1",BI2609,0)</f>
      </c>
      <c r="AD2609" s="111">
        <f>IF(AQ2609="7",BH2609,0)</f>
      </c>
      <c r="AE2609" s="111">
        <f>IF(AQ2609="7",BI2609,0)</f>
      </c>
      <c r="AF2609" s="111">
        <f>IF(AQ2609="2",BH2609,0)</f>
      </c>
      <c r="AG2609" s="111">
        <f>IF(AQ2609="2",BI2609,0)</f>
      </c>
      <c r="AH2609" s="111">
        <f>IF(AQ2609="0",BJ2609,0)</f>
      </c>
      <c r="AI2609" s="132" t="s">
        <v>89</v>
      </c>
      <c r="AJ2609" s="111">
        <f>IF(AN2609=0,I2609,0)</f>
      </c>
      <c r="AK2609" s="111">
        <f>IF(AN2609=12,I2609,0)</f>
      </c>
      <c r="AL2609" s="111">
        <f>IF(AN2609=21,I2609,0)</f>
      </c>
      <c r="AN2609" s="111" t="n">
        <v>21</v>
      </c>
      <c r="AO2609" s="111">
        <f>H2609*1</f>
      </c>
      <c r="AP2609" s="111">
        <f>H2609*(1-1)</f>
      </c>
      <c r="AQ2609" s="153" t="s">
        <v>173</v>
      </c>
      <c r="AV2609" s="111">
        <f>AW2609+AX2609</f>
      </c>
      <c r="AW2609" s="111">
        <f>G2609*AO2609</f>
      </c>
      <c r="AX2609" s="111">
        <f>G2609*AP2609</f>
      </c>
      <c r="AY2609" s="153" t="s">
        <v>3728</v>
      </c>
      <c r="AZ2609" s="153" t="s">
        <v>3905</v>
      </c>
      <c r="BA2609" s="132" t="s">
        <v>3856</v>
      </c>
      <c r="BC2609" s="111">
        <f>AW2609+AX2609</f>
      </c>
      <c r="BD2609" s="111">
        <f>H2609/(100-BE2609)*100</f>
      </c>
      <c r="BE2609" s="111" t="n">
        <v>0</v>
      </c>
      <c r="BF2609" s="111">
        <f>2609</f>
      </c>
      <c r="BH2609" s="111">
        <f>G2609*AO2609</f>
      </c>
      <c r="BI2609" s="111">
        <f>G2609*AP2609</f>
      </c>
      <c r="BJ2609" s="111">
        <f>G2609*H2609</f>
      </c>
      <c r="BK2609" s="111"/>
      <c r="BL2609" s="111" t="n">
        <v>732</v>
      </c>
      <c r="BW2609" s="111" t="n">
        <v>21</v>
      </c>
      <c r="BX2609" s="14" t="s">
        <v>4026</v>
      </c>
    </row>
    <row r="2610">
      <c r="A2610" s="9" t="s">
        <v>4027</v>
      </c>
      <c r="B2610" s="10" t="s">
        <v>89</v>
      </c>
      <c r="C2610" s="10" t="s">
        <v>4028</v>
      </c>
      <c r="D2610" s="14" t="s">
        <v>4029</v>
      </c>
      <c r="E2610" s="10"/>
      <c r="F2610" s="10" t="s">
        <v>2277</v>
      </c>
      <c r="G2610" s="111" t="n">
        <v>2</v>
      </c>
      <c r="H2610" s="152" t="n">
        <v>0</v>
      </c>
      <c r="I2610" s="111">
        <f>G2610*H2610</f>
      </c>
      <c r="J2610" s="153" t="s">
        <v>4</v>
      </c>
      <c r="K2610" s="146"/>
      <c r="Z2610" s="111">
        <f>IF(AQ2610="5",BJ2610,0)</f>
      </c>
      <c r="AB2610" s="111">
        <f>IF(AQ2610="1",BH2610,0)</f>
      </c>
      <c r="AC2610" s="111">
        <f>IF(AQ2610="1",BI2610,0)</f>
      </c>
      <c r="AD2610" s="111">
        <f>IF(AQ2610="7",BH2610,0)</f>
      </c>
      <c r="AE2610" s="111">
        <f>IF(AQ2610="7",BI2610,0)</f>
      </c>
      <c r="AF2610" s="111">
        <f>IF(AQ2610="2",BH2610,0)</f>
      </c>
      <c r="AG2610" s="111">
        <f>IF(AQ2610="2",BI2610,0)</f>
      </c>
      <c r="AH2610" s="111">
        <f>IF(AQ2610="0",BJ2610,0)</f>
      </c>
      <c r="AI2610" s="132" t="s">
        <v>89</v>
      </c>
      <c r="AJ2610" s="111">
        <f>IF(AN2610=0,I2610,0)</f>
      </c>
      <c r="AK2610" s="111">
        <f>IF(AN2610=12,I2610,0)</f>
      </c>
      <c r="AL2610" s="111">
        <f>IF(AN2610=21,I2610,0)</f>
      </c>
      <c r="AN2610" s="111" t="n">
        <v>21</v>
      </c>
      <c r="AO2610" s="111">
        <f>H2610*1</f>
      </c>
      <c r="AP2610" s="111">
        <f>H2610*(1-1)</f>
      </c>
      <c r="AQ2610" s="153" t="s">
        <v>173</v>
      </c>
      <c r="AV2610" s="111">
        <f>AW2610+AX2610</f>
      </c>
      <c r="AW2610" s="111">
        <f>G2610*AO2610</f>
      </c>
      <c r="AX2610" s="111">
        <f>G2610*AP2610</f>
      </c>
      <c r="AY2610" s="153" t="s">
        <v>3728</v>
      </c>
      <c r="AZ2610" s="153" t="s">
        <v>3905</v>
      </c>
      <c r="BA2610" s="132" t="s">
        <v>3856</v>
      </c>
      <c r="BC2610" s="111">
        <f>AW2610+AX2610</f>
      </c>
      <c r="BD2610" s="111">
        <f>H2610/(100-BE2610)*100</f>
      </c>
      <c r="BE2610" s="111" t="n">
        <v>0</v>
      </c>
      <c r="BF2610" s="111">
        <f>2610</f>
      </c>
      <c r="BH2610" s="111">
        <f>G2610*AO2610</f>
      </c>
      <c r="BI2610" s="111">
        <f>G2610*AP2610</f>
      </c>
      <c r="BJ2610" s="111">
        <f>G2610*H2610</f>
      </c>
      <c r="BK2610" s="111"/>
      <c r="BL2610" s="111" t="n">
        <v>732</v>
      </c>
      <c r="BW2610" s="111" t="n">
        <v>21</v>
      </c>
      <c r="BX2610" s="14" t="s">
        <v>4029</v>
      </c>
    </row>
    <row r="2611">
      <c r="A2611" s="9" t="s">
        <v>2583</v>
      </c>
      <c r="B2611" s="10" t="s">
        <v>89</v>
      </c>
      <c r="C2611" s="10" t="s">
        <v>4030</v>
      </c>
      <c r="D2611" s="14" t="s">
        <v>4031</v>
      </c>
      <c r="E2611" s="10"/>
      <c r="F2611" s="10" t="s">
        <v>2277</v>
      </c>
      <c r="G2611" s="111" t="n">
        <v>1</v>
      </c>
      <c r="H2611" s="152" t="n">
        <v>0</v>
      </c>
      <c r="I2611" s="111">
        <f>G2611*H2611</f>
      </c>
      <c r="J2611" s="153" t="s">
        <v>4</v>
      </c>
      <c r="K2611" s="146"/>
      <c r="Z2611" s="111">
        <f>IF(AQ2611="5",BJ2611,0)</f>
      </c>
      <c r="AB2611" s="111">
        <f>IF(AQ2611="1",BH2611,0)</f>
      </c>
      <c r="AC2611" s="111">
        <f>IF(AQ2611="1",BI2611,0)</f>
      </c>
      <c r="AD2611" s="111">
        <f>IF(AQ2611="7",BH2611,0)</f>
      </c>
      <c r="AE2611" s="111">
        <f>IF(AQ2611="7",BI2611,0)</f>
      </c>
      <c r="AF2611" s="111">
        <f>IF(AQ2611="2",BH2611,0)</f>
      </c>
      <c r="AG2611" s="111">
        <f>IF(AQ2611="2",BI2611,0)</f>
      </c>
      <c r="AH2611" s="111">
        <f>IF(AQ2611="0",BJ2611,0)</f>
      </c>
      <c r="AI2611" s="132" t="s">
        <v>89</v>
      </c>
      <c r="AJ2611" s="111">
        <f>IF(AN2611=0,I2611,0)</f>
      </c>
      <c r="AK2611" s="111">
        <f>IF(AN2611=12,I2611,0)</f>
      </c>
      <c r="AL2611" s="111">
        <f>IF(AN2611=21,I2611,0)</f>
      </c>
      <c r="AN2611" s="111" t="n">
        <v>21</v>
      </c>
      <c r="AO2611" s="111">
        <f>H2611*1</f>
      </c>
      <c r="AP2611" s="111">
        <f>H2611*(1-1)</f>
      </c>
      <c r="AQ2611" s="153" t="s">
        <v>173</v>
      </c>
      <c r="AV2611" s="111">
        <f>AW2611+AX2611</f>
      </c>
      <c r="AW2611" s="111">
        <f>G2611*AO2611</f>
      </c>
      <c r="AX2611" s="111">
        <f>G2611*AP2611</f>
      </c>
      <c r="AY2611" s="153" t="s">
        <v>3728</v>
      </c>
      <c r="AZ2611" s="153" t="s">
        <v>3905</v>
      </c>
      <c r="BA2611" s="132" t="s">
        <v>3856</v>
      </c>
      <c r="BC2611" s="111">
        <f>AW2611+AX2611</f>
      </c>
      <c r="BD2611" s="111">
        <f>H2611/(100-BE2611)*100</f>
      </c>
      <c r="BE2611" s="111" t="n">
        <v>0</v>
      </c>
      <c r="BF2611" s="111">
        <f>2611</f>
      </c>
      <c r="BH2611" s="111">
        <f>G2611*AO2611</f>
      </c>
      <c r="BI2611" s="111">
        <f>G2611*AP2611</f>
      </c>
      <c r="BJ2611" s="111">
        <f>G2611*H2611</f>
      </c>
      <c r="BK2611" s="111"/>
      <c r="BL2611" s="111" t="n">
        <v>732</v>
      </c>
      <c r="BW2611" s="111" t="n">
        <v>21</v>
      </c>
      <c r="BX2611" s="14" t="s">
        <v>4031</v>
      </c>
    </row>
    <row r="2612">
      <c r="A2612" s="9" t="s">
        <v>2652</v>
      </c>
      <c r="B2612" s="10" t="s">
        <v>89</v>
      </c>
      <c r="C2612" s="10" t="s">
        <v>4032</v>
      </c>
      <c r="D2612" s="14" t="s">
        <v>4033</v>
      </c>
      <c r="E2612" s="10"/>
      <c r="F2612" s="10" t="s">
        <v>2277</v>
      </c>
      <c r="G2612" s="111" t="n">
        <v>1</v>
      </c>
      <c r="H2612" s="152" t="n">
        <v>0</v>
      </c>
      <c r="I2612" s="111">
        <f>G2612*H2612</f>
      </c>
      <c r="J2612" s="153" t="s">
        <v>4</v>
      </c>
      <c r="K2612" s="146"/>
      <c r="Z2612" s="111">
        <f>IF(AQ2612="5",BJ2612,0)</f>
      </c>
      <c r="AB2612" s="111">
        <f>IF(AQ2612="1",BH2612,0)</f>
      </c>
      <c r="AC2612" s="111">
        <f>IF(AQ2612="1",BI2612,0)</f>
      </c>
      <c r="AD2612" s="111">
        <f>IF(AQ2612="7",BH2612,0)</f>
      </c>
      <c r="AE2612" s="111">
        <f>IF(AQ2612="7",BI2612,0)</f>
      </c>
      <c r="AF2612" s="111">
        <f>IF(AQ2612="2",BH2612,0)</f>
      </c>
      <c r="AG2612" s="111">
        <f>IF(AQ2612="2",BI2612,0)</f>
      </c>
      <c r="AH2612" s="111">
        <f>IF(AQ2612="0",BJ2612,0)</f>
      </c>
      <c r="AI2612" s="132" t="s">
        <v>89</v>
      </c>
      <c r="AJ2612" s="111">
        <f>IF(AN2612=0,I2612,0)</f>
      </c>
      <c r="AK2612" s="111">
        <f>IF(AN2612=12,I2612,0)</f>
      </c>
      <c r="AL2612" s="111">
        <f>IF(AN2612=21,I2612,0)</f>
      </c>
      <c r="AN2612" s="111" t="n">
        <v>21</v>
      </c>
      <c r="AO2612" s="111">
        <f>H2612*1</f>
      </c>
      <c r="AP2612" s="111">
        <f>H2612*(1-1)</f>
      </c>
      <c r="AQ2612" s="153" t="s">
        <v>173</v>
      </c>
      <c r="AV2612" s="111">
        <f>AW2612+AX2612</f>
      </c>
      <c r="AW2612" s="111">
        <f>G2612*AO2612</f>
      </c>
      <c r="AX2612" s="111">
        <f>G2612*AP2612</f>
      </c>
      <c r="AY2612" s="153" t="s">
        <v>3728</v>
      </c>
      <c r="AZ2612" s="153" t="s">
        <v>3905</v>
      </c>
      <c r="BA2612" s="132" t="s">
        <v>3856</v>
      </c>
      <c r="BC2612" s="111">
        <f>AW2612+AX2612</f>
      </c>
      <c r="BD2612" s="111">
        <f>H2612/(100-BE2612)*100</f>
      </c>
      <c r="BE2612" s="111" t="n">
        <v>0</v>
      </c>
      <c r="BF2612" s="111">
        <f>2612</f>
      </c>
      <c r="BH2612" s="111">
        <f>G2612*AO2612</f>
      </c>
      <c r="BI2612" s="111">
        <f>G2612*AP2612</f>
      </c>
      <c r="BJ2612" s="111">
        <f>G2612*H2612</f>
      </c>
      <c r="BK2612" s="111"/>
      <c r="BL2612" s="111" t="n">
        <v>732</v>
      </c>
      <c r="BW2612" s="111" t="n">
        <v>21</v>
      </c>
      <c r="BX2612" s="14" t="s">
        <v>4033</v>
      </c>
    </row>
    <row r="2613">
      <c r="A2613" s="9" t="s">
        <v>4034</v>
      </c>
      <c r="B2613" s="10" t="s">
        <v>89</v>
      </c>
      <c r="C2613" s="10" t="s">
        <v>4035</v>
      </c>
      <c r="D2613" s="14" t="s">
        <v>4036</v>
      </c>
      <c r="E2613" s="10"/>
      <c r="F2613" s="10" t="s">
        <v>2277</v>
      </c>
      <c r="G2613" s="111" t="n">
        <v>1</v>
      </c>
      <c r="H2613" s="152" t="n">
        <v>0</v>
      </c>
      <c r="I2613" s="111">
        <f>G2613*H2613</f>
      </c>
      <c r="J2613" s="153" t="s">
        <v>4</v>
      </c>
      <c r="K2613" s="146"/>
      <c r="Z2613" s="111">
        <f>IF(AQ2613="5",BJ2613,0)</f>
      </c>
      <c r="AB2613" s="111">
        <f>IF(AQ2613="1",BH2613,0)</f>
      </c>
      <c r="AC2613" s="111">
        <f>IF(AQ2613="1",BI2613,0)</f>
      </c>
      <c r="AD2613" s="111">
        <f>IF(AQ2613="7",BH2613,0)</f>
      </c>
      <c r="AE2613" s="111">
        <f>IF(AQ2613="7",BI2613,0)</f>
      </c>
      <c r="AF2613" s="111">
        <f>IF(AQ2613="2",BH2613,0)</f>
      </c>
      <c r="AG2613" s="111">
        <f>IF(AQ2613="2",BI2613,0)</f>
      </c>
      <c r="AH2613" s="111">
        <f>IF(AQ2613="0",BJ2613,0)</f>
      </c>
      <c r="AI2613" s="132" t="s">
        <v>89</v>
      </c>
      <c r="AJ2613" s="111">
        <f>IF(AN2613=0,I2613,0)</f>
      </c>
      <c r="AK2613" s="111">
        <f>IF(AN2613=12,I2613,0)</f>
      </c>
      <c r="AL2613" s="111">
        <f>IF(AN2613=21,I2613,0)</f>
      </c>
      <c r="AN2613" s="111" t="n">
        <v>21</v>
      </c>
      <c r="AO2613" s="111">
        <f>H2613*1</f>
      </c>
      <c r="AP2613" s="111">
        <f>H2613*(1-1)</f>
      </c>
      <c r="AQ2613" s="153" t="s">
        <v>173</v>
      </c>
      <c r="AV2613" s="111">
        <f>AW2613+AX2613</f>
      </c>
      <c r="AW2613" s="111">
        <f>G2613*AO2613</f>
      </c>
      <c r="AX2613" s="111">
        <f>G2613*AP2613</f>
      </c>
      <c r="AY2613" s="153" t="s">
        <v>3728</v>
      </c>
      <c r="AZ2613" s="153" t="s">
        <v>3905</v>
      </c>
      <c r="BA2613" s="132" t="s">
        <v>3856</v>
      </c>
      <c r="BC2613" s="111">
        <f>AW2613+AX2613</f>
      </c>
      <c r="BD2613" s="111">
        <f>H2613/(100-BE2613)*100</f>
      </c>
      <c r="BE2613" s="111" t="n">
        <v>0</v>
      </c>
      <c r="BF2613" s="111">
        <f>2613</f>
      </c>
      <c r="BH2613" s="111">
        <f>G2613*AO2613</f>
      </c>
      <c r="BI2613" s="111">
        <f>G2613*AP2613</f>
      </c>
      <c r="BJ2613" s="111">
        <f>G2613*H2613</f>
      </c>
      <c r="BK2613" s="111"/>
      <c r="BL2613" s="111" t="n">
        <v>732</v>
      </c>
      <c r="BW2613" s="111" t="n">
        <v>21</v>
      </c>
      <c r="BX2613" s="14" t="s">
        <v>4036</v>
      </c>
    </row>
    <row r="2614" ht="24.75">
      <c r="A2614" s="9" t="s">
        <v>4037</v>
      </c>
      <c r="B2614" s="10" t="s">
        <v>89</v>
      </c>
      <c r="C2614" s="10" t="s">
        <v>4038</v>
      </c>
      <c r="D2614" s="14" t="s">
        <v>4039</v>
      </c>
      <c r="E2614" s="10"/>
      <c r="F2614" s="10" t="s">
        <v>2277</v>
      </c>
      <c r="G2614" s="111" t="n">
        <v>2</v>
      </c>
      <c r="H2614" s="152" t="n">
        <v>0</v>
      </c>
      <c r="I2614" s="111">
        <f>G2614*H2614</f>
      </c>
      <c r="J2614" s="153" t="s">
        <v>4</v>
      </c>
      <c r="K2614" s="146"/>
      <c r="Z2614" s="111">
        <f>IF(AQ2614="5",BJ2614,0)</f>
      </c>
      <c r="AB2614" s="111">
        <f>IF(AQ2614="1",BH2614,0)</f>
      </c>
      <c r="AC2614" s="111">
        <f>IF(AQ2614="1",BI2614,0)</f>
      </c>
      <c r="AD2614" s="111">
        <f>IF(AQ2614="7",BH2614,0)</f>
      </c>
      <c r="AE2614" s="111">
        <f>IF(AQ2614="7",BI2614,0)</f>
      </c>
      <c r="AF2614" s="111">
        <f>IF(AQ2614="2",BH2614,0)</f>
      </c>
      <c r="AG2614" s="111">
        <f>IF(AQ2614="2",BI2614,0)</f>
      </c>
      <c r="AH2614" s="111">
        <f>IF(AQ2614="0",BJ2614,0)</f>
      </c>
      <c r="AI2614" s="132" t="s">
        <v>89</v>
      </c>
      <c r="AJ2614" s="111">
        <f>IF(AN2614=0,I2614,0)</f>
      </c>
      <c r="AK2614" s="111">
        <f>IF(AN2614=12,I2614,0)</f>
      </c>
      <c r="AL2614" s="111">
        <f>IF(AN2614=21,I2614,0)</f>
      </c>
      <c r="AN2614" s="111" t="n">
        <v>21</v>
      </c>
      <c r="AO2614" s="111">
        <f>H2614*1</f>
      </c>
      <c r="AP2614" s="111">
        <f>H2614*(1-1)</f>
      </c>
      <c r="AQ2614" s="153" t="s">
        <v>173</v>
      </c>
      <c r="AV2614" s="111">
        <f>AW2614+AX2614</f>
      </c>
      <c r="AW2614" s="111">
        <f>G2614*AO2614</f>
      </c>
      <c r="AX2614" s="111">
        <f>G2614*AP2614</f>
      </c>
      <c r="AY2614" s="153" t="s">
        <v>3728</v>
      </c>
      <c r="AZ2614" s="153" t="s">
        <v>3905</v>
      </c>
      <c r="BA2614" s="132" t="s">
        <v>3856</v>
      </c>
      <c r="BC2614" s="111">
        <f>AW2614+AX2614</f>
      </c>
      <c r="BD2614" s="111">
        <f>H2614/(100-BE2614)*100</f>
      </c>
      <c r="BE2614" s="111" t="n">
        <v>0</v>
      </c>
      <c r="BF2614" s="111">
        <f>2614</f>
      </c>
      <c r="BH2614" s="111">
        <f>G2614*AO2614</f>
      </c>
      <c r="BI2614" s="111">
        <f>G2614*AP2614</f>
      </c>
      <c r="BJ2614" s="111">
        <f>G2614*H2614</f>
      </c>
      <c r="BK2614" s="111"/>
      <c r="BL2614" s="111" t="n">
        <v>732</v>
      </c>
      <c r="BW2614" s="111" t="n">
        <v>21</v>
      </c>
      <c r="BX2614" s="14" t="s">
        <v>4039</v>
      </c>
    </row>
    <row r="2615" ht="24.75">
      <c r="A2615" s="9" t="s">
        <v>4040</v>
      </c>
      <c r="B2615" s="10" t="s">
        <v>89</v>
      </c>
      <c r="C2615" s="10" t="s">
        <v>4041</v>
      </c>
      <c r="D2615" s="14" t="s">
        <v>4042</v>
      </c>
      <c r="E2615" s="10"/>
      <c r="F2615" s="10" t="s">
        <v>2277</v>
      </c>
      <c r="G2615" s="111" t="n">
        <v>5</v>
      </c>
      <c r="H2615" s="152" t="n">
        <v>0</v>
      </c>
      <c r="I2615" s="111">
        <f>G2615*H2615</f>
      </c>
      <c r="J2615" s="153" t="s">
        <v>4</v>
      </c>
      <c r="K2615" s="146"/>
      <c r="Z2615" s="111">
        <f>IF(AQ2615="5",BJ2615,0)</f>
      </c>
      <c r="AB2615" s="111">
        <f>IF(AQ2615="1",BH2615,0)</f>
      </c>
      <c r="AC2615" s="111">
        <f>IF(AQ2615="1",BI2615,0)</f>
      </c>
      <c r="AD2615" s="111">
        <f>IF(AQ2615="7",BH2615,0)</f>
      </c>
      <c r="AE2615" s="111">
        <f>IF(AQ2615="7",BI2615,0)</f>
      </c>
      <c r="AF2615" s="111">
        <f>IF(AQ2615="2",BH2615,0)</f>
      </c>
      <c r="AG2615" s="111">
        <f>IF(AQ2615="2",BI2615,0)</f>
      </c>
      <c r="AH2615" s="111">
        <f>IF(AQ2615="0",BJ2615,0)</f>
      </c>
      <c r="AI2615" s="132" t="s">
        <v>89</v>
      </c>
      <c r="AJ2615" s="111">
        <f>IF(AN2615=0,I2615,0)</f>
      </c>
      <c r="AK2615" s="111">
        <f>IF(AN2615=12,I2615,0)</f>
      </c>
      <c r="AL2615" s="111">
        <f>IF(AN2615=21,I2615,0)</f>
      </c>
      <c r="AN2615" s="111" t="n">
        <v>21</v>
      </c>
      <c r="AO2615" s="111">
        <f>H2615*1</f>
      </c>
      <c r="AP2615" s="111">
        <f>H2615*(1-1)</f>
      </c>
      <c r="AQ2615" s="153" t="s">
        <v>173</v>
      </c>
      <c r="AV2615" s="111">
        <f>AW2615+AX2615</f>
      </c>
      <c r="AW2615" s="111">
        <f>G2615*AO2615</f>
      </c>
      <c r="AX2615" s="111">
        <f>G2615*AP2615</f>
      </c>
      <c r="AY2615" s="153" t="s">
        <v>3728</v>
      </c>
      <c r="AZ2615" s="153" t="s">
        <v>3905</v>
      </c>
      <c r="BA2615" s="132" t="s">
        <v>3856</v>
      </c>
      <c r="BC2615" s="111">
        <f>AW2615+AX2615</f>
      </c>
      <c r="BD2615" s="111">
        <f>H2615/(100-BE2615)*100</f>
      </c>
      <c r="BE2615" s="111" t="n">
        <v>0</v>
      </c>
      <c r="BF2615" s="111">
        <f>2615</f>
      </c>
      <c r="BH2615" s="111">
        <f>G2615*AO2615</f>
      </c>
      <c r="BI2615" s="111">
        <f>G2615*AP2615</f>
      </c>
      <c r="BJ2615" s="111">
        <f>G2615*H2615</f>
      </c>
      <c r="BK2615" s="111"/>
      <c r="BL2615" s="111" t="n">
        <v>732</v>
      </c>
      <c r="BW2615" s="111" t="n">
        <v>21</v>
      </c>
      <c r="BX2615" s="14" t="s">
        <v>4042</v>
      </c>
    </row>
    <row r="2616" ht="24.75">
      <c r="A2616" s="9" t="s">
        <v>4043</v>
      </c>
      <c r="B2616" s="10" t="s">
        <v>89</v>
      </c>
      <c r="C2616" s="10" t="s">
        <v>4044</v>
      </c>
      <c r="D2616" s="14" t="s">
        <v>4045</v>
      </c>
      <c r="E2616" s="10"/>
      <c r="F2616" s="10" t="s">
        <v>2277</v>
      </c>
      <c r="G2616" s="111" t="n">
        <v>1</v>
      </c>
      <c r="H2616" s="152" t="n">
        <v>0</v>
      </c>
      <c r="I2616" s="111">
        <f>G2616*H2616</f>
      </c>
      <c r="J2616" s="153" t="s">
        <v>4</v>
      </c>
      <c r="K2616" s="146"/>
      <c r="Z2616" s="111">
        <f>IF(AQ2616="5",BJ2616,0)</f>
      </c>
      <c r="AB2616" s="111">
        <f>IF(AQ2616="1",BH2616,0)</f>
      </c>
      <c r="AC2616" s="111">
        <f>IF(AQ2616="1",BI2616,0)</f>
      </c>
      <c r="AD2616" s="111">
        <f>IF(AQ2616="7",BH2616,0)</f>
      </c>
      <c r="AE2616" s="111">
        <f>IF(AQ2616="7",BI2616,0)</f>
      </c>
      <c r="AF2616" s="111">
        <f>IF(AQ2616="2",BH2616,0)</f>
      </c>
      <c r="AG2616" s="111">
        <f>IF(AQ2616="2",BI2616,0)</f>
      </c>
      <c r="AH2616" s="111">
        <f>IF(AQ2616="0",BJ2616,0)</f>
      </c>
      <c r="AI2616" s="132" t="s">
        <v>89</v>
      </c>
      <c r="AJ2616" s="111">
        <f>IF(AN2616=0,I2616,0)</f>
      </c>
      <c r="AK2616" s="111">
        <f>IF(AN2616=12,I2616,0)</f>
      </c>
      <c r="AL2616" s="111">
        <f>IF(AN2616=21,I2616,0)</f>
      </c>
      <c r="AN2616" s="111" t="n">
        <v>21</v>
      </c>
      <c r="AO2616" s="111">
        <f>H2616*1</f>
      </c>
      <c r="AP2616" s="111">
        <f>H2616*(1-1)</f>
      </c>
      <c r="AQ2616" s="153" t="s">
        <v>173</v>
      </c>
      <c r="AV2616" s="111">
        <f>AW2616+AX2616</f>
      </c>
      <c r="AW2616" s="111">
        <f>G2616*AO2616</f>
      </c>
      <c r="AX2616" s="111">
        <f>G2616*AP2616</f>
      </c>
      <c r="AY2616" s="153" t="s">
        <v>3728</v>
      </c>
      <c r="AZ2616" s="153" t="s">
        <v>3905</v>
      </c>
      <c r="BA2616" s="132" t="s">
        <v>3856</v>
      </c>
      <c r="BC2616" s="111">
        <f>AW2616+AX2616</f>
      </c>
      <c r="BD2616" s="111">
        <f>H2616/(100-BE2616)*100</f>
      </c>
      <c r="BE2616" s="111" t="n">
        <v>0</v>
      </c>
      <c r="BF2616" s="111">
        <f>2616</f>
      </c>
      <c r="BH2616" s="111">
        <f>G2616*AO2616</f>
      </c>
      <c r="BI2616" s="111">
        <f>G2616*AP2616</f>
      </c>
      <c r="BJ2616" s="111">
        <f>G2616*H2616</f>
      </c>
      <c r="BK2616" s="111"/>
      <c r="BL2616" s="111" t="n">
        <v>732</v>
      </c>
      <c r="BW2616" s="111" t="n">
        <v>21</v>
      </c>
      <c r="BX2616" s="14" t="s">
        <v>4045</v>
      </c>
    </row>
    <row r="2617">
      <c r="A2617" s="9" t="s">
        <v>2758</v>
      </c>
      <c r="B2617" s="10" t="s">
        <v>89</v>
      </c>
      <c r="C2617" s="10" t="s">
        <v>4046</v>
      </c>
      <c r="D2617" s="14" t="s">
        <v>4047</v>
      </c>
      <c r="E2617" s="10"/>
      <c r="F2617" s="10" t="s">
        <v>3860</v>
      </c>
      <c r="G2617" s="111" t="n">
        <v>1</v>
      </c>
      <c r="H2617" s="152" t="n">
        <v>0</v>
      </c>
      <c r="I2617" s="111">
        <f>G2617*H2617</f>
      </c>
      <c r="J2617" s="153" t="s">
        <v>4</v>
      </c>
      <c r="K2617" s="146"/>
      <c r="Z2617" s="111">
        <f>IF(AQ2617="5",BJ2617,0)</f>
      </c>
      <c r="AB2617" s="111">
        <f>IF(AQ2617="1",BH2617,0)</f>
      </c>
      <c r="AC2617" s="111">
        <f>IF(AQ2617="1",BI2617,0)</f>
      </c>
      <c r="AD2617" s="111">
        <f>IF(AQ2617="7",BH2617,0)</f>
      </c>
      <c r="AE2617" s="111">
        <f>IF(AQ2617="7",BI2617,0)</f>
      </c>
      <c r="AF2617" s="111">
        <f>IF(AQ2617="2",BH2617,0)</f>
      </c>
      <c r="AG2617" s="111">
        <f>IF(AQ2617="2",BI2617,0)</f>
      </c>
      <c r="AH2617" s="111">
        <f>IF(AQ2617="0",BJ2617,0)</f>
      </c>
      <c r="AI2617" s="132" t="s">
        <v>89</v>
      </c>
      <c r="AJ2617" s="111">
        <f>IF(AN2617=0,I2617,0)</f>
      </c>
      <c r="AK2617" s="111">
        <f>IF(AN2617=12,I2617,0)</f>
      </c>
      <c r="AL2617" s="111">
        <f>IF(AN2617=21,I2617,0)</f>
      </c>
      <c r="AN2617" s="111" t="n">
        <v>21</v>
      </c>
      <c r="AO2617" s="111">
        <f>H2617*1</f>
      </c>
      <c r="AP2617" s="111">
        <f>H2617*(1-1)</f>
      </c>
      <c r="AQ2617" s="153" t="s">
        <v>173</v>
      </c>
      <c r="AV2617" s="111">
        <f>AW2617+AX2617</f>
      </c>
      <c r="AW2617" s="111">
        <f>G2617*AO2617</f>
      </c>
      <c r="AX2617" s="111">
        <f>G2617*AP2617</f>
      </c>
      <c r="AY2617" s="153" t="s">
        <v>3728</v>
      </c>
      <c r="AZ2617" s="153" t="s">
        <v>3905</v>
      </c>
      <c r="BA2617" s="132" t="s">
        <v>3856</v>
      </c>
      <c r="BC2617" s="111">
        <f>AW2617+AX2617</f>
      </c>
      <c r="BD2617" s="111">
        <f>H2617/(100-BE2617)*100</f>
      </c>
      <c r="BE2617" s="111" t="n">
        <v>0</v>
      </c>
      <c r="BF2617" s="111">
        <f>2617</f>
      </c>
      <c r="BH2617" s="111">
        <f>G2617*AO2617</f>
      </c>
      <c r="BI2617" s="111">
        <f>G2617*AP2617</f>
      </c>
      <c r="BJ2617" s="111">
        <f>G2617*H2617</f>
      </c>
      <c r="BK2617" s="111"/>
      <c r="BL2617" s="111" t="n">
        <v>732</v>
      </c>
      <c r="BW2617" s="111" t="n">
        <v>21</v>
      </c>
      <c r="BX2617" s="14" t="s">
        <v>4047</v>
      </c>
    </row>
    <row r="2618">
      <c r="A2618" s="9" t="s">
        <v>4048</v>
      </c>
      <c r="B2618" s="10" t="s">
        <v>89</v>
      </c>
      <c r="C2618" s="10" t="s">
        <v>4049</v>
      </c>
      <c r="D2618" s="14" t="s">
        <v>4050</v>
      </c>
      <c r="E2618" s="10"/>
      <c r="F2618" s="10" t="s">
        <v>2277</v>
      </c>
      <c r="G2618" s="111" t="n">
        <v>1</v>
      </c>
      <c r="H2618" s="152" t="n">
        <v>0</v>
      </c>
      <c r="I2618" s="111">
        <f>G2618*H2618</f>
      </c>
      <c r="J2618" s="153" t="s">
        <v>4</v>
      </c>
      <c r="K2618" s="146"/>
      <c r="Z2618" s="111">
        <f>IF(AQ2618="5",BJ2618,0)</f>
      </c>
      <c r="AB2618" s="111">
        <f>IF(AQ2618="1",BH2618,0)</f>
      </c>
      <c r="AC2618" s="111">
        <f>IF(AQ2618="1",BI2618,0)</f>
      </c>
      <c r="AD2618" s="111">
        <f>IF(AQ2618="7",BH2618,0)</f>
      </c>
      <c r="AE2618" s="111">
        <f>IF(AQ2618="7",BI2618,0)</f>
      </c>
      <c r="AF2618" s="111">
        <f>IF(AQ2618="2",BH2618,0)</f>
      </c>
      <c r="AG2618" s="111">
        <f>IF(AQ2618="2",BI2618,0)</f>
      </c>
      <c r="AH2618" s="111">
        <f>IF(AQ2618="0",BJ2618,0)</f>
      </c>
      <c r="AI2618" s="132" t="s">
        <v>89</v>
      </c>
      <c r="AJ2618" s="111">
        <f>IF(AN2618=0,I2618,0)</f>
      </c>
      <c r="AK2618" s="111">
        <f>IF(AN2618=12,I2618,0)</f>
      </c>
      <c r="AL2618" s="111">
        <f>IF(AN2618=21,I2618,0)</f>
      </c>
      <c r="AN2618" s="111" t="n">
        <v>21</v>
      </c>
      <c r="AO2618" s="111">
        <f>H2618*1</f>
      </c>
      <c r="AP2618" s="111">
        <f>H2618*(1-1)</f>
      </c>
      <c r="AQ2618" s="153" t="s">
        <v>173</v>
      </c>
      <c r="AV2618" s="111">
        <f>AW2618+AX2618</f>
      </c>
      <c r="AW2618" s="111">
        <f>G2618*AO2618</f>
      </c>
      <c r="AX2618" s="111">
        <f>G2618*AP2618</f>
      </c>
      <c r="AY2618" s="153" t="s">
        <v>3728</v>
      </c>
      <c r="AZ2618" s="153" t="s">
        <v>3905</v>
      </c>
      <c r="BA2618" s="132" t="s">
        <v>3856</v>
      </c>
      <c r="BC2618" s="111">
        <f>AW2618+AX2618</f>
      </c>
      <c r="BD2618" s="111">
        <f>H2618/(100-BE2618)*100</f>
      </c>
      <c r="BE2618" s="111" t="n">
        <v>0</v>
      </c>
      <c r="BF2618" s="111">
        <f>2618</f>
      </c>
      <c r="BH2618" s="111">
        <f>G2618*AO2618</f>
      </c>
      <c r="BI2618" s="111">
        <f>G2618*AP2618</f>
      </c>
      <c r="BJ2618" s="111">
        <f>G2618*H2618</f>
      </c>
      <c r="BK2618" s="111"/>
      <c r="BL2618" s="111" t="n">
        <v>732</v>
      </c>
      <c r="BW2618" s="111" t="n">
        <v>21</v>
      </c>
      <c r="BX2618" s="14" t="s">
        <v>4050</v>
      </c>
    </row>
    <row r="2619">
      <c r="A2619" s="9" t="s">
        <v>2879</v>
      </c>
      <c r="B2619" s="10" t="s">
        <v>89</v>
      </c>
      <c r="C2619" s="10" t="s">
        <v>4051</v>
      </c>
      <c r="D2619" s="14" t="s">
        <v>4052</v>
      </c>
      <c r="E2619" s="10"/>
      <c r="F2619" s="10" t="s">
        <v>2277</v>
      </c>
      <c r="G2619" s="111" t="n">
        <v>1</v>
      </c>
      <c r="H2619" s="152" t="n">
        <v>0</v>
      </c>
      <c r="I2619" s="111">
        <f>G2619*H2619</f>
      </c>
      <c r="J2619" s="153" t="s">
        <v>4</v>
      </c>
      <c r="K2619" s="146"/>
      <c r="Z2619" s="111">
        <f>IF(AQ2619="5",BJ2619,0)</f>
      </c>
      <c r="AB2619" s="111">
        <f>IF(AQ2619="1",BH2619,0)</f>
      </c>
      <c r="AC2619" s="111">
        <f>IF(AQ2619="1",BI2619,0)</f>
      </c>
      <c r="AD2619" s="111">
        <f>IF(AQ2619="7",BH2619,0)</f>
      </c>
      <c r="AE2619" s="111">
        <f>IF(AQ2619="7",BI2619,0)</f>
      </c>
      <c r="AF2619" s="111">
        <f>IF(AQ2619="2",BH2619,0)</f>
      </c>
      <c r="AG2619" s="111">
        <f>IF(AQ2619="2",BI2619,0)</f>
      </c>
      <c r="AH2619" s="111">
        <f>IF(AQ2619="0",BJ2619,0)</f>
      </c>
      <c r="AI2619" s="132" t="s">
        <v>89</v>
      </c>
      <c r="AJ2619" s="111">
        <f>IF(AN2619=0,I2619,0)</f>
      </c>
      <c r="AK2619" s="111">
        <f>IF(AN2619=12,I2619,0)</f>
      </c>
      <c r="AL2619" s="111">
        <f>IF(AN2619=21,I2619,0)</f>
      </c>
      <c r="AN2619" s="111" t="n">
        <v>21</v>
      </c>
      <c r="AO2619" s="111">
        <f>H2619*1</f>
      </c>
      <c r="AP2619" s="111">
        <f>H2619*(1-1)</f>
      </c>
      <c r="AQ2619" s="153" t="s">
        <v>173</v>
      </c>
      <c r="AV2619" s="111">
        <f>AW2619+AX2619</f>
      </c>
      <c r="AW2619" s="111">
        <f>G2619*AO2619</f>
      </c>
      <c r="AX2619" s="111">
        <f>G2619*AP2619</f>
      </c>
      <c r="AY2619" s="153" t="s">
        <v>3728</v>
      </c>
      <c r="AZ2619" s="153" t="s">
        <v>3905</v>
      </c>
      <c r="BA2619" s="132" t="s">
        <v>3856</v>
      </c>
      <c r="BC2619" s="111">
        <f>AW2619+AX2619</f>
      </c>
      <c r="BD2619" s="111">
        <f>H2619/(100-BE2619)*100</f>
      </c>
      <c r="BE2619" s="111" t="n">
        <v>0</v>
      </c>
      <c r="BF2619" s="111">
        <f>2619</f>
      </c>
      <c r="BH2619" s="111">
        <f>G2619*AO2619</f>
      </c>
      <c r="BI2619" s="111">
        <f>G2619*AP2619</f>
      </c>
      <c r="BJ2619" s="111">
        <f>G2619*H2619</f>
      </c>
      <c r="BK2619" s="111"/>
      <c r="BL2619" s="111" t="n">
        <v>732</v>
      </c>
      <c r="BW2619" s="111" t="n">
        <v>21</v>
      </c>
      <c r="BX2619" s="14" t="s">
        <v>4052</v>
      </c>
    </row>
    <row r="2620">
      <c r="A2620" s="9" t="s">
        <v>2910</v>
      </c>
      <c r="B2620" s="10" t="s">
        <v>89</v>
      </c>
      <c r="C2620" s="10" t="s">
        <v>4053</v>
      </c>
      <c r="D2620" s="14" t="s">
        <v>4054</v>
      </c>
      <c r="E2620" s="10"/>
      <c r="F2620" s="10" t="s">
        <v>2277</v>
      </c>
      <c r="G2620" s="111" t="n">
        <v>1</v>
      </c>
      <c r="H2620" s="152" t="n">
        <v>0</v>
      </c>
      <c r="I2620" s="111">
        <f>G2620*H2620</f>
      </c>
      <c r="J2620" s="153" t="s">
        <v>4</v>
      </c>
      <c r="K2620" s="146"/>
      <c r="Z2620" s="111">
        <f>IF(AQ2620="5",BJ2620,0)</f>
      </c>
      <c r="AB2620" s="111">
        <f>IF(AQ2620="1",BH2620,0)</f>
      </c>
      <c r="AC2620" s="111">
        <f>IF(AQ2620="1",BI2620,0)</f>
      </c>
      <c r="AD2620" s="111">
        <f>IF(AQ2620="7",BH2620,0)</f>
      </c>
      <c r="AE2620" s="111">
        <f>IF(AQ2620="7",BI2620,0)</f>
      </c>
      <c r="AF2620" s="111">
        <f>IF(AQ2620="2",BH2620,0)</f>
      </c>
      <c r="AG2620" s="111">
        <f>IF(AQ2620="2",BI2620,0)</f>
      </c>
      <c r="AH2620" s="111">
        <f>IF(AQ2620="0",BJ2620,0)</f>
      </c>
      <c r="AI2620" s="132" t="s">
        <v>89</v>
      </c>
      <c r="AJ2620" s="111">
        <f>IF(AN2620=0,I2620,0)</f>
      </c>
      <c r="AK2620" s="111">
        <f>IF(AN2620=12,I2620,0)</f>
      </c>
      <c r="AL2620" s="111">
        <f>IF(AN2620=21,I2620,0)</f>
      </c>
      <c r="AN2620" s="111" t="n">
        <v>21</v>
      </c>
      <c r="AO2620" s="111">
        <f>H2620*1</f>
      </c>
      <c r="AP2620" s="111">
        <f>H2620*(1-1)</f>
      </c>
      <c r="AQ2620" s="153" t="s">
        <v>173</v>
      </c>
      <c r="AV2620" s="111">
        <f>AW2620+AX2620</f>
      </c>
      <c r="AW2620" s="111">
        <f>G2620*AO2620</f>
      </c>
      <c r="AX2620" s="111">
        <f>G2620*AP2620</f>
      </c>
      <c r="AY2620" s="153" t="s">
        <v>3728</v>
      </c>
      <c r="AZ2620" s="153" t="s">
        <v>3905</v>
      </c>
      <c r="BA2620" s="132" t="s">
        <v>3856</v>
      </c>
      <c r="BC2620" s="111">
        <f>AW2620+AX2620</f>
      </c>
      <c r="BD2620" s="111">
        <f>H2620/(100-BE2620)*100</f>
      </c>
      <c r="BE2620" s="111" t="n">
        <v>0</v>
      </c>
      <c r="BF2620" s="111">
        <f>2620</f>
      </c>
      <c r="BH2620" s="111">
        <f>G2620*AO2620</f>
      </c>
      <c r="BI2620" s="111">
        <f>G2620*AP2620</f>
      </c>
      <c r="BJ2620" s="111">
        <f>G2620*H2620</f>
      </c>
      <c r="BK2620" s="111"/>
      <c r="BL2620" s="111" t="n">
        <v>732</v>
      </c>
      <c r="BW2620" s="111" t="n">
        <v>21</v>
      </c>
      <c r="BX2620" s="14" t="s">
        <v>4054</v>
      </c>
    </row>
    <row r="2621" ht="24.75">
      <c r="A2621" s="9" t="s">
        <v>4055</v>
      </c>
      <c r="B2621" s="10" t="s">
        <v>89</v>
      </c>
      <c r="C2621" s="10" t="s">
        <v>4056</v>
      </c>
      <c r="D2621" s="14" t="s">
        <v>4057</v>
      </c>
      <c r="E2621" s="10"/>
      <c r="F2621" s="10" t="s">
        <v>2277</v>
      </c>
      <c r="G2621" s="111" t="n">
        <v>2</v>
      </c>
      <c r="H2621" s="152" t="n">
        <v>0</v>
      </c>
      <c r="I2621" s="111">
        <f>G2621*H2621</f>
      </c>
      <c r="J2621" s="153" t="s">
        <v>4</v>
      </c>
      <c r="K2621" s="146"/>
      <c r="Z2621" s="111">
        <f>IF(AQ2621="5",BJ2621,0)</f>
      </c>
      <c r="AB2621" s="111">
        <f>IF(AQ2621="1",BH2621,0)</f>
      </c>
      <c r="AC2621" s="111">
        <f>IF(AQ2621="1",BI2621,0)</f>
      </c>
      <c r="AD2621" s="111">
        <f>IF(AQ2621="7",BH2621,0)</f>
      </c>
      <c r="AE2621" s="111">
        <f>IF(AQ2621="7",BI2621,0)</f>
      </c>
      <c r="AF2621" s="111">
        <f>IF(AQ2621="2",BH2621,0)</f>
      </c>
      <c r="AG2621" s="111">
        <f>IF(AQ2621="2",BI2621,0)</f>
      </c>
      <c r="AH2621" s="111">
        <f>IF(AQ2621="0",BJ2621,0)</f>
      </c>
      <c r="AI2621" s="132" t="s">
        <v>89</v>
      </c>
      <c r="AJ2621" s="111">
        <f>IF(AN2621=0,I2621,0)</f>
      </c>
      <c r="AK2621" s="111">
        <f>IF(AN2621=12,I2621,0)</f>
      </c>
      <c r="AL2621" s="111">
        <f>IF(AN2621=21,I2621,0)</f>
      </c>
      <c r="AN2621" s="111" t="n">
        <v>21</v>
      </c>
      <c r="AO2621" s="111">
        <f>H2621*1</f>
      </c>
      <c r="AP2621" s="111">
        <f>H2621*(1-1)</f>
      </c>
      <c r="AQ2621" s="153" t="s">
        <v>173</v>
      </c>
      <c r="AV2621" s="111">
        <f>AW2621+AX2621</f>
      </c>
      <c r="AW2621" s="111">
        <f>G2621*AO2621</f>
      </c>
      <c r="AX2621" s="111">
        <f>G2621*AP2621</f>
      </c>
      <c r="AY2621" s="153" t="s">
        <v>3728</v>
      </c>
      <c r="AZ2621" s="153" t="s">
        <v>3905</v>
      </c>
      <c r="BA2621" s="132" t="s">
        <v>3856</v>
      </c>
      <c r="BC2621" s="111">
        <f>AW2621+AX2621</f>
      </c>
      <c r="BD2621" s="111">
        <f>H2621/(100-BE2621)*100</f>
      </c>
      <c r="BE2621" s="111" t="n">
        <v>0</v>
      </c>
      <c r="BF2621" s="111">
        <f>2621</f>
      </c>
      <c r="BH2621" s="111">
        <f>G2621*AO2621</f>
      </c>
      <c r="BI2621" s="111">
        <f>G2621*AP2621</f>
      </c>
      <c r="BJ2621" s="111">
        <f>G2621*H2621</f>
      </c>
      <c r="BK2621" s="111"/>
      <c r="BL2621" s="111" t="n">
        <v>732</v>
      </c>
      <c r="BW2621" s="111" t="n">
        <v>21</v>
      </c>
      <c r="BX2621" s="14" t="s">
        <v>4057</v>
      </c>
    </row>
    <row r="2622">
      <c r="A2622" s="9" t="s">
        <v>4058</v>
      </c>
      <c r="B2622" s="10" t="s">
        <v>89</v>
      </c>
      <c r="C2622" s="10" t="s">
        <v>4059</v>
      </c>
      <c r="D2622" s="14" t="s">
        <v>4060</v>
      </c>
      <c r="E2622" s="10"/>
      <c r="F2622" s="10" t="s">
        <v>2277</v>
      </c>
      <c r="G2622" s="111" t="n">
        <v>4</v>
      </c>
      <c r="H2622" s="152" t="n">
        <v>0</v>
      </c>
      <c r="I2622" s="111">
        <f>G2622*H2622</f>
      </c>
      <c r="J2622" s="153" t="s">
        <v>4</v>
      </c>
      <c r="K2622" s="146"/>
      <c r="Z2622" s="111">
        <f>IF(AQ2622="5",BJ2622,0)</f>
      </c>
      <c r="AB2622" s="111">
        <f>IF(AQ2622="1",BH2622,0)</f>
      </c>
      <c r="AC2622" s="111">
        <f>IF(AQ2622="1",BI2622,0)</f>
      </c>
      <c r="AD2622" s="111">
        <f>IF(AQ2622="7",BH2622,0)</f>
      </c>
      <c r="AE2622" s="111">
        <f>IF(AQ2622="7",BI2622,0)</f>
      </c>
      <c r="AF2622" s="111">
        <f>IF(AQ2622="2",BH2622,0)</f>
      </c>
      <c r="AG2622" s="111">
        <f>IF(AQ2622="2",BI2622,0)</f>
      </c>
      <c r="AH2622" s="111">
        <f>IF(AQ2622="0",BJ2622,0)</f>
      </c>
      <c r="AI2622" s="132" t="s">
        <v>89</v>
      </c>
      <c r="AJ2622" s="111">
        <f>IF(AN2622=0,I2622,0)</f>
      </c>
      <c r="AK2622" s="111">
        <f>IF(AN2622=12,I2622,0)</f>
      </c>
      <c r="AL2622" s="111">
        <f>IF(AN2622=21,I2622,0)</f>
      </c>
      <c r="AN2622" s="111" t="n">
        <v>21</v>
      </c>
      <c r="AO2622" s="111">
        <f>H2622*1</f>
      </c>
      <c r="AP2622" s="111">
        <f>H2622*(1-1)</f>
      </c>
      <c r="AQ2622" s="153" t="s">
        <v>173</v>
      </c>
      <c r="AV2622" s="111">
        <f>AW2622+AX2622</f>
      </c>
      <c r="AW2622" s="111">
        <f>G2622*AO2622</f>
      </c>
      <c r="AX2622" s="111">
        <f>G2622*AP2622</f>
      </c>
      <c r="AY2622" s="153" t="s">
        <v>3728</v>
      </c>
      <c r="AZ2622" s="153" t="s">
        <v>3905</v>
      </c>
      <c r="BA2622" s="132" t="s">
        <v>3856</v>
      </c>
      <c r="BC2622" s="111">
        <f>AW2622+AX2622</f>
      </c>
      <c r="BD2622" s="111">
        <f>H2622/(100-BE2622)*100</f>
      </c>
      <c r="BE2622" s="111" t="n">
        <v>0</v>
      </c>
      <c r="BF2622" s="111">
        <f>2622</f>
      </c>
      <c r="BH2622" s="111">
        <f>G2622*AO2622</f>
      </c>
      <c r="BI2622" s="111">
        <f>G2622*AP2622</f>
      </c>
      <c r="BJ2622" s="111">
        <f>G2622*H2622</f>
      </c>
      <c r="BK2622" s="111"/>
      <c r="BL2622" s="111" t="n">
        <v>732</v>
      </c>
      <c r="BW2622" s="111" t="n">
        <v>21</v>
      </c>
      <c r="BX2622" s="14" t="s">
        <v>4060</v>
      </c>
    </row>
    <row r="2623">
      <c r="A2623" s="9" t="s">
        <v>4061</v>
      </c>
      <c r="B2623" s="10" t="s">
        <v>89</v>
      </c>
      <c r="C2623" s="10" t="s">
        <v>4062</v>
      </c>
      <c r="D2623" s="14" t="s">
        <v>4003</v>
      </c>
      <c r="E2623" s="10"/>
      <c r="F2623" s="10" t="s">
        <v>282</v>
      </c>
      <c r="G2623" s="111" t="n">
        <v>23.1</v>
      </c>
      <c r="H2623" s="152" t="n">
        <v>0</v>
      </c>
      <c r="I2623" s="111">
        <f>G2623*H2623</f>
      </c>
      <c r="J2623" s="153" t="s">
        <v>4</v>
      </c>
      <c r="K2623" s="146"/>
      <c r="Z2623" s="111">
        <f>IF(AQ2623="5",BJ2623,0)</f>
      </c>
      <c r="AB2623" s="111">
        <f>IF(AQ2623="1",BH2623,0)</f>
      </c>
      <c r="AC2623" s="111">
        <f>IF(AQ2623="1",BI2623,0)</f>
      </c>
      <c r="AD2623" s="111">
        <f>IF(AQ2623="7",BH2623,0)</f>
      </c>
      <c r="AE2623" s="111">
        <f>IF(AQ2623="7",BI2623,0)</f>
      </c>
      <c r="AF2623" s="111">
        <f>IF(AQ2623="2",BH2623,0)</f>
      </c>
      <c r="AG2623" s="111">
        <f>IF(AQ2623="2",BI2623,0)</f>
      </c>
      <c r="AH2623" s="111">
        <f>IF(AQ2623="0",BJ2623,0)</f>
      </c>
      <c r="AI2623" s="132" t="s">
        <v>89</v>
      </c>
      <c r="AJ2623" s="111">
        <f>IF(AN2623=0,I2623,0)</f>
      </c>
      <c r="AK2623" s="111">
        <f>IF(AN2623=12,I2623,0)</f>
      </c>
      <c r="AL2623" s="111">
        <f>IF(AN2623=21,I2623,0)</f>
      </c>
      <c r="AN2623" s="111" t="n">
        <v>21</v>
      </c>
      <c r="AO2623" s="111">
        <f>H2623*1</f>
      </c>
      <c r="AP2623" s="111">
        <f>H2623*(1-1)</f>
      </c>
      <c r="AQ2623" s="153" t="s">
        <v>173</v>
      </c>
      <c r="AV2623" s="111">
        <f>AW2623+AX2623</f>
      </c>
      <c r="AW2623" s="111">
        <f>G2623*AO2623</f>
      </c>
      <c r="AX2623" s="111">
        <f>G2623*AP2623</f>
      </c>
      <c r="AY2623" s="153" t="s">
        <v>3728</v>
      </c>
      <c r="AZ2623" s="153" t="s">
        <v>3905</v>
      </c>
      <c r="BA2623" s="132" t="s">
        <v>3856</v>
      </c>
      <c r="BC2623" s="111">
        <f>AW2623+AX2623</f>
      </c>
      <c r="BD2623" s="111">
        <f>H2623/(100-BE2623)*100</f>
      </c>
      <c r="BE2623" s="111" t="n">
        <v>0</v>
      </c>
      <c r="BF2623" s="111">
        <f>2623</f>
      </c>
      <c r="BH2623" s="111">
        <f>G2623*AO2623</f>
      </c>
      <c r="BI2623" s="111">
        <f>G2623*AP2623</f>
      </c>
      <c r="BJ2623" s="111">
        <f>G2623*H2623</f>
      </c>
      <c r="BK2623" s="111"/>
      <c r="BL2623" s="111" t="n">
        <v>732</v>
      </c>
      <c r="BW2623" s="111" t="n">
        <v>21</v>
      </c>
      <c r="BX2623" s="14" t="s">
        <v>4003</v>
      </c>
    </row>
    <row r="2624">
      <c r="A2624" s="154"/>
      <c r="B2624" s="155"/>
      <c r="C2624" s="155"/>
      <c r="D2624" s="156" t="s">
        <v>4063</v>
      </c>
      <c r="E2624" s="156" t="s">
        <v>4</v>
      </c>
      <c r="F2624" s="155"/>
      <c r="G2624" s="157" t="n">
        <v>21</v>
      </c>
      <c r="H2624" s="158"/>
      <c r="I2624" s="155"/>
      <c r="J2624" s="155"/>
      <c r="K2624" s="146"/>
    </row>
    <row r="2625">
      <c r="A2625" s="154"/>
      <c r="B2625" s="155"/>
      <c r="C2625" s="155"/>
      <c r="D2625" s="156" t="s">
        <v>4064</v>
      </c>
      <c r="E2625" s="156" t="s">
        <v>4065</v>
      </c>
      <c r="F2625" s="155"/>
      <c r="G2625" s="157" t="n">
        <v>2.1</v>
      </c>
      <c r="H2625" s="158"/>
      <c r="I2625" s="155"/>
      <c r="J2625" s="155"/>
      <c r="K2625" s="146"/>
    </row>
    <row r="2626">
      <c r="A2626" s="9" t="s">
        <v>4066</v>
      </c>
      <c r="B2626" s="10" t="s">
        <v>89</v>
      </c>
      <c r="C2626" s="10" t="s">
        <v>4067</v>
      </c>
      <c r="D2626" s="14" t="s">
        <v>4003</v>
      </c>
      <c r="E2626" s="10"/>
      <c r="F2626" s="10" t="s">
        <v>282</v>
      </c>
      <c r="G2626" s="111" t="n">
        <v>1</v>
      </c>
      <c r="H2626" s="152" t="n">
        <v>0</v>
      </c>
      <c r="I2626" s="111">
        <f>G2626*H2626</f>
      </c>
      <c r="J2626" s="153" t="s">
        <v>4</v>
      </c>
      <c r="K2626" s="146"/>
      <c r="Z2626" s="111">
        <f>IF(AQ2626="5",BJ2626,0)</f>
      </c>
      <c r="AB2626" s="111">
        <f>IF(AQ2626="1",BH2626,0)</f>
      </c>
      <c r="AC2626" s="111">
        <f>IF(AQ2626="1",BI2626,0)</f>
      </c>
      <c r="AD2626" s="111">
        <f>IF(AQ2626="7",BH2626,0)</f>
      </c>
      <c r="AE2626" s="111">
        <f>IF(AQ2626="7",BI2626,0)</f>
      </c>
      <c r="AF2626" s="111">
        <f>IF(AQ2626="2",BH2626,0)</f>
      </c>
      <c r="AG2626" s="111">
        <f>IF(AQ2626="2",BI2626,0)</f>
      </c>
      <c r="AH2626" s="111">
        <f>IF(AQ2626="0",BJ2626,0)</f>
      </c>
      <c r="AI2626" s="132" t="s">
        <v>89</v>
      </c>
      <c r="AJ2626" s="111">
        <f>IF(AN2626=0,I2626,0)</f>
      </c>
      <c r="AK2626" s="111">
        <f>IF(AN2626=12,I2626,0)</f>
      </c>
      <c r="AL2626" s="111">
        <f>IF(AN2626=21,I2626,0)</f>
      </c>
      <c r="AN2626" s="111" t="n">
        <v>21</v>
      </c>
      <c r="AO2626" s="111">
        <f>H2626*1</f>
      </c>
      <c r="AP2626" s="111">
        <f>H2626*(1-1)</f>
      </c>
      <c r="AQ2626" s="153" t="s">
        <v>173</v>
      </c>
      <c r="AV2626" s="111">
        <f>AW2626+AX2626</f>
      </c>
      <c r="AW2626" s="111">
        <f>G2626*AO2626</f>
      </c>
      <c r="AX2626" s="111">
        <f>G2626*AP2626</f>
      </c>
      <c r="AY2626" s="153" t="s">
        <v>3728</v>
      </c>
      <c r="AZ2626" s="153" t="s">
        <v>3905</v>
      </c>
      <c r="BA2626" s="132" t="s">
        <v>3856</v>
      </c>
      <c r="BC2626" s="111">
        <f>AW2626+AX2626</f>
      </c>
      <c r="BD2626" s="111">
        <f>H2626/(100-BE2626)*100</f>
      </c>
      <c r="BE2626" s="111" t="n">
        <v>0</v>
      </c>
      <c r="BF2626" s="111">
        <f>2626</f>
      </c>
      <c r="BH2626" s="111">
        <f>G2626*AO2626</f>
      </c>
      <c r="BI2626" s="111">
        <f>G2626*AP2626</f>
      </c>
      <c r="BJ2626" s="111">
        <f>G2626*H2626</f>
      </c>
      <c r="BK2626" s="111"/>
      <c r="BL2626" s="111" t="n">
        <v>732</v>
      </c>
      <c r="BW2626" s="111" t="n">
        <v>21</v>
      </c>
      <c r="BX2626" s="14" t="s">
        <v>4003</v>
      </c>
    </row>
    <row r="2627">
      <c r="A2627" s="9" t="s">
        <v>4068</v>
      </c>
      <c r="B2627" s="10" t="s">
        <v>89</v>
      </c>
      <c r="C2627" s="10" t="s">
        <v>4069</v>
      </c>
      <c r="D2627" s="14" t="s">
        <v>4070</v>
      </c>
      <c r="E2627" s="10"/>
      <c r="F2627" s="10" t="s">
        <v>282</v>
      </c>
      <c r="G2627" s="111" t="n">
        <v>4</v>
      </c>
      <c r="H2627" s="152" t="n">
        <v>0</v>
      </c>
      <c r="I2627" s="111">
        <f>G2627*H2627</f>
      </c>
      <c r="J2627" s="153" t="s">
        <v>4</v>
      </c>
      <c r="K2627" s="146"/>
      <c r="Z2627" s="111">
        <f>IF(AQ2627="5",BJ2627,0)</f>
      </c>
      <c r="AB2627" s="111">
        <f>IF(AQ2627="1",BH2627,0)</f>
      </c>
      <c r="AC2627" s="111">
        <f>IF(AQ2627="1",BI2627,0)</f>
      </c>
      <c r="AD2627" s="111">
        <f>IF(AQ2627="7",BH2627,0)</f>
      </c>
      <c r="AE2627" s="111">
        <f>IF(AQ2627="7",BI2627,0)</f>
      </c>
      <c r="AF2627" s="111">
        <f>IF(AQ2627="2",BH2627,0)</f>
      </c>
      <c r="AG2627" s="111">
        <f>IF(AQ2627="2",BI2627,0)</f>
      </c>
      <c r="AH2627" s="111">
        <f>IF(AQ2627="0",BJ2627,0)</f>
      </c>
      <c r="AI2627" s="132" t="s">
        <v>89</v>
      </c>
      <c r="AJ2627" s="111">
        <f>IF(AN2627=0,I2627,0)</f>
      </c>
      <c r="AK2627" s="111">
        <f>IF(AN2627=12,I2627,0)</f>
      </c>
      <c r="AL2627" s="111">
        <f>IF(AN2627=21,I2627,0)</f>
      </c>
      <c r="AN2627" s="111" t="n">
        <v>21</v>
      </c>
      <c r="AO2627" s="111">
        <f>H2627*1</f>
      </c>
      <c r="AP2627" s="111">
        <f>H2627*(1-1)</f>
      </c>
      <c r="AQ2627" s="153" t="s">
        <v>173</v>
      </c>
      <c r="AV2627" s="111">
        <f>AW2627+AX2627</f>
      </c>
      <c r="AW2627" s="111">
        <f>G2627*AO2627</f>
      </c>
      <c r="AX2627" s="111">
        <f>G2627*AP2627</f>
      </c>
      <c r="AY2627" s="153" t="s">
        <v>3728</v>
      </c>
      <c r="AZ2627" s="153" t="s">
        <v>3905</v>
      </c>
      <c r="BA2627" s="132" t="s">
        <v>3856</v>
      </c>
      <c r="BC2627" s="111">
        <f>AW2627+AX2627</f>
      </c>
      <c r="BD2627" s="111">
        <f>H2627/(100-BE2627)*100</f>
      </c>
      <c r="BE2627" s="111" t="n">
        <v>0</v>
      </c>
      <c r="BF2627" s="111">
        <f>2627</f>
      </c>
      <c r="BH2627" s="111">
        <f>G2627*AO2627</f>
      </c>
      <c r="BI2627" s="111">
        <f>G2627*AP2627</f>
      </c>
      <c r="BJ2627" s="111">
        <f>G2627*H2627</f>
      </c>
      <c r="BK2627" s="111"/>
      <c r="BL2627" s="111" t="n">
        <v>732</v>
      </c>
      <c r="BW2627" s="111" t="n">
        <v>21</v>
      </c>
      <c r="BX2627" s="14" t="s">
        <v>4070</v>
      </c>
    </row>
    <row r="2628">
      <c r="A2628" s="9" t="s">
        <v>4071</v>
      </c>
      <c r="B2628" s="10" t="s">
        <v>89</v>
      </c>
      <c r="C2628" s="10" t="s">
        <v>4017</v>
      </c>
      <c r="D2628" s="14" t="s">
        <v>4018</v>
      </c>
      <c r="E2628" s="10"/>
      <c r="F2628" s="10" t="s">
        <v>3860</v>
      </c>
      <c r="G2628" s="111" t="n">
        <v>1</v>
      </c>
      <c r="H2628" s="152" t="n">
        <v>0</v>
      </c>
      <c r="I2628" s="111">
        <f>G2628*H2628</f>
      </c>
      <c r="J2628" s="153" t="s">
        <v>4</v>
      </c>
      <c r="K2628" s="146"/>
      <c r="Z2628" s="111">
        <f>IF(AQ2628="5",BJ2628,0)</f>
      </c>
      <c r="AB2628" s="111">
        <f>IF(AQ2628="1",BH2628,0)</f>
      </c>
      <c r="AC2628" s="111">
        <f>IF(AQ2628="1",BI2628,0)</f>
      </c>
      <c r="AD2628" s="111">
        <f>IF(AQ2628="7",BH2628,0)</f>
      </c>
      <c r="AE2628" s="111">
        <f>IF(AQ2628="7",BI2628,0)</f>
      </c>
      <c r="AF2628" s="111">
        <f>IF(AQ2628="2",BH2628,0)</f>
      </c>
      <c r="AG2628" s="111">
        <f>IF(AQ2628="2",BI2628,0)</f>
      </c>
      <c r="AH2628" s="111">
        <f>IF(AQ2628="0",BJ2628,0)</f>
      </c>
      <c r="AI2628" s="132" t="s">
        <v>89</v>
      </c>
      <c r="AJ2628" s="111">
        <f>IF(AN2628=0,I2628,0)</f>
      </c>
      <c r="AK2628" s="111">
        <f>IF(AN2628=12,I2628,0)</f>
      </c>
      <c r="AL2628" s="111">
        <f>IF(AN2628=21,I2628,0)</f>
      </c>
      <c r="AN2628" s="111" t="n">
        <v>21</v>
      </c>
      <c r="AO2628" s="111">
        <f>H2628*1</f>
      </c>
      <c r="AP2628" s="111">
        <f>H2628*(1-1)</f>
      </c>
      <c r="AQ2628" s="153" t="s">
        <v>173</v>
      </c>
      <c r="AV2628" s="111">
        <f>AW2628+AX2628</f>
      </c>
      <c r="AW2628" s="111">
        <f>G2628*AO2628</f>
      </c>
      <c r="AX2628" s="111">
        <f>G2628*AP2628</f>
      </c>
      <c r="AY2628" s="153" t="s">
        <v>3728</v>
      </c>
      <c r="AZ2628" s="153" t="s">
        <v>3905</v>
      </c>
      <c r="BA2628" s="132" t="s">
        <v>3856</v>
      </c>
      <c r="BC2628" s="111">
        <f>AW2628+AX2628</f>
      </c>
      <c r="BD2628" s="111">
        <f>H2628/(100-BE2628)*100</f>
      </c>
      <c r="BE2628" s="111" t="n">
        <v>0</v>
      </c>
      <c r="BF2628" s="111">
        <f>2628</f>
      </c>
      <c r="BH2628" s="111">
        <f>G2628*AO2628</f>
      </c>
      <c r="BI2628" s="111">
        <f>G2628*AP2628</f>
      </c>
      <c r="BJ2628" s="111">
        <f>G2628*H2628</f>
      </c>
      <c r="BK2628" s="111"/>
      <c r="BL2628" s="111" t="n">
        <v>732</v>
      </c>
      <c r="BW2628" s="111" t="n">
        <v>21</v>
      </c>
      <c r="BX2628" s="14" t="s">
        <v>4018</v>
      </c>
    </row>
    <row r="2629">
      <c r="A2629" s="9" t="s">
        <v>4072</v>
      </c>
      <c r="B2629" s="10" t="s">
        <v>89</v>
      </c>
      <c r="C2629" s="10" t="s">
        <v>4073</v>
      </c>
      <c r="D2629" s="14" t="s">
        <v>4074</v>
      </c>
      <c r="E2629" s="10"/>
      <c r="F2629" s="10" t="s">
        <v>2277</v>
      </c>
      <c r="G2629" s="111" t="n">
        <v>14</v>
      </c>
      <c r="H2629" s="152" t="n">
        <v>0</v>
      </c>
      <c r="I2629" s="111">
        <f>G2629*H2629</f>
      </c>
      <c r="J2629" s="153" t="s">
        <v>4</v>
      </c>
      <c r="K2629" s="146"/>
      <c r="Z2629" s="111">
        <f>IF(AQ2629="5",BJ2629,0)</f>
      </c>
      <c r="AB2629" s="111">
        <f>IF(AQ2629="1",BH2629,0)</f>
      </c>
      <c r="AC2629" s="111">
        <f>IF(AQ2629="1",BI2629,0)</f>
      </c>
      <c r="AD2629" s="111">
        <f>IF(AQ2629="7",BH2629,0)</f>
      </c>
      <c r="AE2629" s="111">
        <f>IF(AQ2629="7",BI2629,0)</f>
      </c>
      <c r="AF2629" s="111">
        <f>IF(AQ2629="2",BH2629,0)</f>
      </c>
      <c r="AG2629" s="111">
        <f>IF(AQ2629="2",BI2629,0)</f>
      </c>
      <c r="AH2629" s="111">
        <f>IF(AQ2629="0",BJ2629,0)</f>
      </c>
      <c r="AI2629" s="132" t="s">
        <v>89</v>
      </c>
      <c r="AJ2629" s="111">
        <f>IF(AN2629=0,I2629,0)</f>
      </c>
      <c r="AK2629" s="111">
        <f>IF(AN2629=12,I2629,0)</f>
      </c>
      <c r="AL2629" s="111">
        <f>IF(AN2629=21,I2629,0)</f>
      </c>
      <c r="AN2629" s="111" t="n">
        <v>21</v>
      </c>
      <c r="AO2629" s="111">
        <f>H2629*1</f>
      </c>
      <c r="AP2629" s="111">
        <f>H2629*(1-1)</f>
      </c>
      <c r="AQ2629" s="153" t="s">
        <v>173</v>
      </c>
      <c r="AV2629" s="111">
        <f>AW2629+AX2629</f>
      </c>
      <c r="AW2629" s="111">
        <f>G2629*AO2629</f>
      </c>
      <c r="AX2629" s="111">
        <f>G2629*AP2629</f>
      </c>
      <c r="AY2629" s="153" t="s">
        <v>3728</v>
      </c>
      <c r="AZ2629" s="153" t="s">
        <v>3905</v>
      </c>
      <c r="BA2629" s="132" t="s">
        <v>3856</v>
      </c>
      <c r="BC2629" s="111">
        <f>AW2629+AX2629</f>
      </c>
      <c r="BD2629" s="111">
        <f>H2629/(100-BE2629)*100</f>
      </c>
      <c r="BE2629" s="111" t="n">
        <v>0</v>
      </c>
      <c r="BF2629" s="111">
        <f>2629</f>
      </c>
      <c r="BH2629" s="111">
        <f>G2629*AO2629</f>
      </c>
      <c r="BI2629" s="111">
        <f>G2629*AP2629</f>
      </c>
      <c r="BJ2629" s="111">
        <f>G2629*H2629</f>
      </c>
      <c r="BK2629" s="111"/>
      <c r="BL2629" s="111" t="n">
        <v>732</v>
      </c>
      <c r="BW2629" s="111" t="n">
        <v>21</v>
      </c>
      <c r="BX2629" s="14" t="s">
        <v>4074</v>
      </c>
    </row>
    <row r="2630">
      <c r="A2630" s="9" t="s">
        <v>4075</v>
      </c>
      <c r="B2630" s="10" t="s">
        <v>89</v>
      </c>
      <c r="C2630" s="10" t="s">
        <v>4076</v>
      </c>
      <c r="D2630" s="14" t="s">
        <v>4077</v>
      </c>
      <c r="E2630" s="10"/>
      <c r="F2630" s="10" t="s">
        <v>2277</v>
      </c>
      <c r="G2630" s="111" t="n">
        <v>5</v>
      </c>
      <c r="H2630" s="152" t="n">
        <v>0</v>
      </c>
      <c r="I2630" s="111">
        <f>G2630*H2630</f>
      </c>
      <c r="J2630" s="153" t="s">
        <v>4</v>
      </c>
      <c r="K2630" s="146"/>
      <c r="Z2630" s="111">
        <f>IF(AQ2630="5",BJ2630,0)</f>
      </c>
      <c r="AB2630" s="111">
        <f>IF(AQ2630="1",BH2630,0)</f>
      </c>
      <c r="AC2630" s="111">
        <f>IF(AQ2630="1",BI2630,0)</f>
      </c>
      <c r="AD2630" s="111">
        <f>IF(AQ2630="7",BH2630,0)</f>
      </c>
      <c r="AE2630" s="111">
        <f>IF(AQ2630="7",BI2630,0)</f>
      </c>
      <c r="AF2630" s="111">
        <f>IF(AQ2630="2",BH2630,0)</f>
      </c>
      <c r="AG2630" s="111">
        <f>IF(AQ2630="2",BI2630,0)</f>
      </c>
      <c r="AH2630" s="111">
        <f>IF(AQ2630="0",BJ2630,0)</f>
      </c>
      <c r="AI2630" s="132" t="s">
        <v>89</v>
      </c>
      <c r="AJ2630" s="111">
        <f>IF(AN2630=0,I2630,0)</f>
      </c>
      <c r="AK2630" s="111">
        <f>IF(AN2630=12,I2630,0)</f>
      </c>
      <c r="AL2630" s="111">
        <f>IF(AN2630=21,I2630,0)</f>
      </c>
      <c r="AN2630" s="111" t="n">
        <v>21</v>
      </c>
      <c r="AO2630" s="111">
        <f>H2630*1</f>
      </c>
      <c r="AP2630" s="111">
        <f>H2630*(1-1)</f>
      </c>
      <c r="AQ2630" s="153" t="s">
        <v>173</v>
      </c>
      <c r="AV2630" s="111">
        <f>AW2630+AX2630</f>
      </c>
      <c r="AW2630" s="111">
        <f>G2630*AO2630</f>
      </c>
      <c r="AX2630" s="111">
        <f>G2630*AP2630</f>
      </c>
      <c r="AY2630" s="153" t="s">
        <v>3728</v>
      </c>
      <c r="AZ2630" s="153" t="s">
        <v>3905</v>
      </c>
      <c r="BA2630" s="132" t="s">
        <v>3856</v>
      </c>
      <c r="BC2630" s="111">
        <f>AW2630+AX2630</f>
      </c>
      <c r="BD2630" s="111">
        <f>H2630/(100-BE2630)*100</f>
      </c>
      <c r="BE2630" s="111" t="n">
        <v>0</v>
      </c>
      <c r="BF2630" s="111">
        <f>2630</f>
      </c>
      <c r="BH2630" s="111">
        <f>G2630*AO2630</f>
      </c>
      <c r="BI2630" s="111">
        <f>G2630*AP2630</f>
      </c>
      <c r="BJ2630" s="111">
        <f>G2630*H2630</f>
      </c>
      <c r="BK2630" s="111"/>
      <c r="BL2630" s="111" t="n">
        <v>732</v>
      </c>
      <c r="BW2630" s="111" t="n">
        <v>21</v>
      </c>
      <c r="BX2630" s="14" t="s">
        <v>4077</v>
      </c>
    </row>
    <row r="2631">
      <c r="A2631" s="147" t="s">
        <v>4</v>
      </c>
      <c r="B2631" s="148" t="s">
        <v>89</v>
      </c>
      <c r="C2631" s="148" t="s">
        <v>3907</v>
      </c>
      <c r="D2631" s="149" t="s">
        <v>4078</v>
      </c>
      <c r="E2631" s="148"/>
      <c r="F2631" s="150" t="s">
        <v>79</v>
      </c>
      <c r="G2631" s="150" t="s">
        <v>79</v>
      </c>
      <c r="H2631" s="151" t="s">
        <v>79</v>
      </c>
      <c r="I2631" s="117">
        <f>SUM(I2632:I2634)</f>
      </c>
      <c r="J2631" s="132" t="s">
        <v>4</v>
      </c>
      <c r="K2631" s="146"/>
      <c r="AI2631" s="132" t="s">
        <v>89</v>
      </c>
      <c r="AS2631" s="117">
        <f>SUM(AJ2632:AJ2634)</f>
      </c>
      <c r="AT2631" s="117">
        <f>SUM(AK2632:AK2634)</f>
      </c>
      <c r="AU2631" s="117">
        <f>SUM(AL2632:AL2634)</f>
      </c>
    </row>
    <row r="2632">
      <c r="A2632" s="9" t="s">
        <v>4079</v>
      </c>
      <c r="B2632" s="10" t="s">
        <v>89</v>
      </c>
      <c r="C2632" s="10" t="s">
        <v>4080</v>
      </c>
      <c r="D2632" s="14" t="s">
        <v>4081</v>
      </c>
      <c r="E2632" s="10"/>
      <c r="F2632" s="10" t="s">
        <v>2426</v>
      </c>
      <c r="G2632" s="111" t="n">
        <v>200</v>
      </c>
      <c r="H2632" s="152" t="n">
        <v>0</v>
      </c>
      <c r="I2632" s="111">
        <f>G2632*H2632</f>
      </c>
      <c r="J2632" s="153" t="s">
        <v>4</v>
      </c>
      <c r="K2632" s="146"/>
      <c r="Z2632" s="111">
        <f>IF(AQ2632="5",BJ2632,0)</f>
      </c>
      <c r="AB2632" s="111">
        <f>IF(AQ2632="1",BH2632,0)</f>
      </c>
      <c r="AC2632" s="111">
        <f>IF(AQ2632="1",BI2632,0)</f>
      </c>
      <c r="AD2632" s="111">
        <f>IF(AQ2632="7",BH2632,0)</f>
      </c>
      <c r="AE2632" s="111">
        <f>IF(AQ2632="7",BI2632,0)</f>
      </c>
      <c r="AF2632" s="111">
        <f>IF(AQ2632="2",BH2632,0)</f>
      </c>
      <c r="AG2632" s="111">
        <f>IF(AQ2632="2",BI2632,0)</f>
      </c>
      <c r="AH2632" s="111">
        <f>IF(AQ2632="0",BJ2632,0)</f>
      </c>
      <c r="AI2632" s="132" t="s">
        <v>89</v>
      </c>
      <c r="AJ2632" s="111">
        <f>IF(AN2632=0,I2632,0)</f>
      </c>
      <c r="AK2632" s="111">
        <f>IF(AN2632=12,I2632,0)</f>
      </c>
      <c r="AL2632" s="111">
        <f>IF(AN2632=21,I2632,0)</f>
      </c>
      <c r="AN2632" s="111" t="n">
        <v>21</v>
      </c>
      <c r="AO2632" s="111">
        <f>H2632*0</f>
      </c>
      <c r="AP2632" s="111">
        <f>H2632*(1-0)</f>
      </c>
      <c r="AQ2632" s="153" t="s">
        <v>173</v>
      </c>
      <c r="AV2632" s="111">
        <f>AW2632+AX2632</f>
      </c>
      <c r="AW2632" s="111">
        <f>G2632*AO2632</f>
      </c>
      <c r="AX2632" s="111">
        <f>G2632*AP2632</f>
      </c>
      <c r="AY2632" s="153" t="s">
        <v>4082</v>
      </c>
      <c r="AZ2632" s="153" t="s">
        <v>3905</v>
      </c>
      <c r="BA2632" s="132" t="s">
        <v>3856</v>
      </c>
      <c r="BC2632" s="111">
        <f>AW2632+AX2632</f>
      </c>
      <c r="BD2632" s="111">
        <f>H2632/(100-BE2632)*100</f>
      </c>
      <c r="BE2632" s="111" t="n">
        <v>0</v>
      </c>
      <c r="BF2632" s="111">
        <f>2632</f>
      </c>
      <c r="BH2632" s="111">
        <f>G2632*AO2632</f>
      </c>
      <c r="BI2632" s="111">
        <f>G2632*AP2632</f>
      </c>
      <c r="BJ2632" s="111">
        <f>G2632*H2632</f>
      </c>
      <c r="BK2632" s="111"/>
      <c r="BL2632" s="111" t="n">
        <v>733</v>
      </c>
      <c r="BW2632" s="111" t="n">
        <v>21</v>
      </c>
      <c r="BX2632" s="14" t="s">
        <v>4081</v>
      </c>
    </row>
    <row r="2633">
      <c r="A2633" s="9" t="s">
        <v>4083</v>
      </c>
      <c r="B2633" s="10" t="s">
        <v>89</v>
      </c>
      <c r="C2633" s="10" t="s">
        <v>4084</v>
      </c>
      <c r="D2633" s="14" t="s">
        <v>4085</v>
      </c>
      <c r="E2633" s="10"/>
      <c r="F2633" s="10" t="s">
        <v>61</v>
      </c>
      <c r="G2633" s="111" t="n">
        <v>633</v>
      </c>
      <c r="H2633" s="152" t="n">
        <v>0</v>
      </c>
      <c r="I2633" s="111">
        <f>G2633*H2633</f>
      </c>
      <c r="J2633" s="153" t="s">
        <v>4</v>
      </c>
      <c r="K2633" s="146"/>
      <c r="Z2633" s="111">
        <f>IF(AQ2633="5",BJ2633,0)</f>
      </c>
      <c r="AB2633" s="111">
        <f>IF(AQ2633="1",BH2633,0)</f>
      </c>
      <c r="AC2633" s="111">
        <f>IF(AQ2633="1",BI2633,0)</f>
      </c>
      <c r="AD2633" s="111">
        <f>IF(AQ2633="7",BH2633,0)</f>
      </c>
      <c r="AE2633" s="111">
        <f>IF(AQ2633="7",BI2633,0)</f>
      </c>
      <c r="AF2633" s="111">
        <f>IF(AQ2633="2",BH2633,0)</f>
      </c>
      <c r="AG2633" s="111">
        <f>IF(AQ2633="2",BI2633,0)</f>
      </c>
      <c r="AH2633" s="111">
        <f>IF(AQ2633="0",BJ2633,0)</f>
      </c>
      <c r="AI2633" s="132" t="s">
        <v>89</v>
      </c>
      <c r="AJ2633" s="111">
        <f>IF(AN2633=0,I2633,0)</f>
      </c>
      <c r="AK2633" s="111">
        <f>IF(AN2633=12,I2633,0)</f>
      </c>
      <c r="AL2633" s="111">
        <f>IF(AN2633=21,I2633,0)</f>
      </c>
      <c r="AN2633" s="111" t="n">
        <v>21</v>
      </c>
      <c r="AO2633" s="111">
        <f>H2633*0</f>
      </c>
      <c r="AP2633" s="111">
        <f>H2633*(1-0)</f>
      </c>
      <c r="AQ2633" s="153" t="s">
        <v>173</v>
      </c>
      <c r="AV2633" s="111">
        <f>AW2633+AX2633</f>
      </c>
      <c r="AW2633" s="111">
        <f>G2633*AO2633</f>
      </c>
      <c r="AX2633" s="111">
        <f>G2633*AP2633</f>
      </c>
      <c r="AY2633" s="153" t="s">
        <v>4082</v>
      </c>
      <c r="AZ2633" s="153" t="s">
        <v>3905</v>
      </c>
      <c r="BA2633" s="132" t="s">
        <v>3856</v>
      </c>
      <c r="BC2633" s="111">
        <f>AW2633+AX2633</f>
      </c>
      <c r="BD2633" s="111">
        <f>H2633/(100-BE2633)*100</f>
      </c>
      <c r="BE2633" s="111" t="n">
        <v>0</v>
      </c>
      <c r="BF2633" s="111">
        <f>2633</f>
      </c>
      <c r="BH2633" s="111">
        <f>G2633*AO2633</f>
      </c>
      <c r="BI2633" s="111">
        <f>G2633*AP2633</f>
      </c>
      <c r="BJ2633" s="111">
        <f>G2633*H2633</f>
      </c>
      <c r="BK2633" s="111"/>
      <c r="BL2633" s="111" t="n">
        <v>733</v>
      </c>
      <c r="BW2633" s="111" t="n">
        <v>21</v>
      </c>
      <c r="BX2633" s="14" t="s">
        <v>4085</v>
      </c>
    </row>
    <row r="2634">
      <c r="A2634" s="9" t="s">
        <v>4086</v>
      </c>
      <c r="B2634" s="10" t="s">
        <v>89</v>
      </c>
      <c r="C2634" s="10" t="s">
        <v>4087</v>
      </c>
      <c r="D2634" s="14" t="s">
        <v>4088</v>
      </c>
      <c r="E2634" s="10"/>
      <c r="F2634" s="10" t="s">
        <v>2426</v>
      </c>
      <c r="G2634" s="111" t="n">
        <v>200</v>
      </c>
      <c r="H2634" s="152" t="n">
        <v>0</v>
      </c>
      <c r="I2634" s="111">
        <f>G2634*H2634</f>
      </c>
      <c r="J2634" s="153" t="s">
        <v>4</v>
      </c>
      <c r="K2634" s="146"/>
      <c r="Z2634" s="111">
        <f>IF(AQ2634="5",BJ2634,0)</f>
      </c>
      <c r="AB2634" s="111">
        <f>IF(AQ2634="1",BH2634,0)</f>
      </c>
      <c r="AC2634" s="111">
        <f>IF(AQ2634="1",BI2634,0)</f>
      </c>
      <c r="AD2634" s="111">
        <f>IF(AQ2634="7",BH2634,0)</f>
      </c>
      <c r="AE2634" s="111">
        <f>IF(AQ2634="7",BI2634,0)</f>
      </c>
      <c r="AF2634" s="111">
        <f>IF(AQ2634="2",BH2634,0)</f>
      </c>
      <c r="AG2634" s="111">
        <f>IF(AQ2634="2",BI2634,0)</f>
      </c>
      <c r="AH2634" s="111">
        <f>IF(AQ2634="0",BJ2634,0)</f>
      </c>
      <c r="AI2634" s="132" t="s">
        <v>89</v>
      </c>
      <c r="AJ2634" s="111">
        <f>IF(AN2634=0,I2634,0)</f>
      </c>
      <c r="AK2634" s="111">
        <f>IF(AN2634=12,I2634,0)</f>
      </c>
      <c r="AL2634" s="111">
        <f>IF(AN2634=21,I2634,0)</f>
      </c>
      <c r="AN2634" s="111" t="n">
        <v>21</v>
      </c>
      <c r="AO2634" s="111">
        <f>H2634*1</f>
      </c>
      <c r="AP2634" s="111">
        <f>H2634*(1-1)</f>
      </c>
      <c r="AQ2634" s="153" t="s">
        <v>173</v>
      </c>
      <c r="AV2634" s="111">
        <f>AW2634+AX2634</f>
      </c>
      <c r="AW2634" s="111">
        <f>G2634*AO2634</f>
      </c>
      <c r="AX2634" s="111">
        <f>G2634*AP2634</f>
      </c>
      <c r="AY2634" s="153" t="s">
        <v>4082</v>
      </c>
      <c r="AZ2634" s="153" t="s">
        <v>3905</v>
      </c>
      <c r="BA2634" s="132" t="s">
        <v>3856</v>
      </c>
      <c r="BC2634" s="111">
        <f>AW2634+AX2634</f>
      </c>
      <c r="BD2634" s="111">
        <f>H2634/(100-BE2634)*100</f>
      </c>
      <c r="BE2634" s="111" t="n">
        <v>0</v>
      </c>
      <c r="BF2634" s="111">
        <f>2634</f>
      </c>
      <c r="BH2634" s="111">
        <f>G2634*AO2634</f>
      </c>
      <c r="BI2634" s="111">
        <f>G2634*AP2634</f>
      </c>
      <c r="BJ2634" s="111">
        <f>G2634*H2634</f>
      </c>
      <c r="BK2634" s="111"/>
      <c r="BL2634" s="111" t="n">
        <v>733</v>
      </c>
      <c r="BW2634" s="111" t="n">
        <v>21</v>
      </c>
      <c r="BX2634" s="14" t="s">
        <v>4088</v>
      </c>
    </row>
    <row r="2635">
      <c r="A2635" s="147" t="s">
        <v>4</v>
      </c>
      <c r="B2635" s="148" t="s">
        <v>89</v>
      </c>
      <c r="C2635" s="148" t="s">
        <v>3912</v>
      </c>
      <c r="D2635" s="149" t="s">
        <v>4089</v>
      </c>
      <c r="E2635" s="148"/>
      <c r="F2635" s="150" t="s">
        <v>79</v>
      </c>
      <c r="G2635" s="150" t="s">
        <v>79</v>
      </c>
      <c r="H2635" s="151" t="s">
        <v>79</v>
      </c>
      <c r="I2635" s="117">
        <f>SUM(I2636:I2637)</f>
      </c>
      <c r="J2635" s="132" t="s">
        <v>4</v>
      </c>
      <c r="K2635" s="146"/>
      <c r="AI2635" s="132" t="s">
        <v>89</v>
      </c>
      <c r="AS2635" s="117">
        <f>SUM(AJ2636:AJ2637)</f>
      </c>
      <c r="AT2635" s="117">
        <f>SUM(AK2636:AK2637)</f>
      </c>
      <c r="AU2635" s="117">
        <f>SUM(AL2636:AL2637)</f>
      </c>
    </row>
    <row r="2636">
      <c r="A2636" s="9" t="s">
        <v>4090</v>
      </c>
      <c r="B2636" s="10" t="s">
        <v>89</v>
      </c>
      <c r="C2636" s="10" t="s">
        <v>4091</v>
      </c>
      <c r="D2636" s="14" t="s">
        <v>1332</v>
      </c>
      <c r="E2636" s="10"/>
      <c r="F2636" s="10" t="s">
        <v>1324</v>
      </c>
      <c r="G2636" s="111" t="n">
        <v>12</v>
      </c>
      <c r="H2636" s="152" t="n">
        <v>0</v>
      </c>
      <c r="I2636" s="111">
        <f>G2636*H2636</f>
      </c>
      <c r="J2636" s="153" t="s">
        <v>4</v>
      </c>
      <c r="K2636" s="146"/>
      <c r="Z2636" s="111">
        <f>IF(AQ2636="5",BJ2636,0)</f>
      </c>
      <c r="AB2636" s="111">
        <f>IF(AQ2636="1",BH2636,0)</f>
      </c>
      <c r="AC2636" s="111">
        <f>IF(AQ2636="1",BI2636,0)</f>
      </c>
      <c r="AD2636" s="111">
        <f>IF(AQ2636="7",BH2636,0)</f>
      </c>
      <c r="AE2636" s="111">
        <f>IF(AQ2636="7",BI2636,0)</f>
      </c>
      <c r="AF2636" s="111">
        <f>IF(AQ2636="2",BH2636,0)</f>
      </c>
      <c r="AG2636" s="111">
        <f>IF(AQ2636="2",BI2636,0)</f>
      </c>
      <c r="AH2636" s="111">
        <f>IF(AQ2636="0",BJ2636,0)</f>
      </c>
      <c r="AI2636" s="132" t="s">
        <v>89</v>
      </c>
      <c r="AJ2636" s="111">
        <f>IF(AN2636=0,I2636,0)</f>
      </c>
      <c r="AK2636" s="111">
        <f>IF(AN2636=12,I2636,0)</f>
      </c>
      <c r="AL2636" s="111">
        <f>IF(AN2636=21,I2636,0)</f>
      </c>
      <c r="AN2636" s="111" t="n">
        <v>21</v>
      </c>
      <c r="AO2636" s="111">
        <f>H2636*0</f>
      </c>
      <c r="AP2636" s="111">
        <f>H2636*(1-0)</f>
      </c>
      <c r="AQ2636" s="153" t="s">
        <v>173</v>
      </c>
      <c r="AV2636" s="111">
        <f>AW2636+AX2636</f>
      </c>
      <c r="AW2636" s="111">
        <f>G2636*AO2636</f>
      </c>
      <c r="AX2636" s="111">
        <f>G2636*AP2636</f>
      </c>
      <c r="AY2636" s="153" t="s">
        <v>4092</v>
      </c>
      <c r="AZ2636" s="153" t="s">
        <v>3905</v>
      </c>
      <c r="BA2636" s="132" t="s">
        <v>3856</v>
      </c>
      <c r="BC2636" s="111">
        <f>AW2636+AX2636</f>
      </c>
      <c r="BD2636" s="111">
        <f>H2636/(100-BE2636)*100</f>
      </c>
      <c r="BE2636" s="111" t="n">
        <v>0</v>
      </c>
      <c r="BF2636" s="111">
        <f>2636</f>
      </c>
      <c r="BH2636" s="111">
        <f>G2636*AO2636</f>
      </c>
      <c r="BI2636" s="111">
        <f>G2636*AP2636</f>
      </c>
      <c r="BJ2636" s="111">
        <f>G2636*H2636</f>
      </c>
      <c r="BK2636" s="111"/>
      <c r="BL2636" s="111" t="n">
        <v>734</v>
      </c>
      <c r="BW2636" s="111" t="n">
        <v>21</v>
      </c>
      <c r="BX2636" s="14" t="s">
        <v>1332</v>
      </c>
    </row>
    <row r="2637">
      <c r="A2637" s="9" t="s">
        <v>4093</v>
      </c>
      <c r="B2637" s="10" t="s">
        <v>89</v>
      </c>
      <c r="C2637" s="10" t="s">
        <v>4094</v>
      </c>
      <c r="D2637" s="14" t="s">
        <v>4095</v>
      </c>
      <c r="E2637" s="10"/>
      <c r="F2637" s="10" t="s">
        <v>3860</v>
      </c>
      <c r="G2637" s="111" t="n">
        <v>1</v>
      </c>
      <c r="H2637" s="152" t="n">
        <v>0</v>
      </c>
      <c r="I2637" s="111">
        <f>G2637*H2637</f>
      </c>
      <c r="J2637" s="153" t="s">
        <v>4</v>
      </c>
      <c r="K2637" s="146"/>
      <c r="Z2637" s="111">
        <f>IF(AQ2637="5",BJ2637,0)</f>
      </c>
      <c r="AB2637" s="111">
        <f>IF(AQ2637="1",BH2637,0)</f>
      </c>
      <c r="AC2637" s="111">
        <f>IF(AQ2637="1",BI2637,0)</f>
      </c>
      <c r="AD2637" s="111">
        <f>IF(AQ2637="7",BH2637,0)</f>
      </c>
      <c r="AE2637" s="111">
        <f>IF(AQ2637="7",BI2637,0)</f>
      </c>
      <c r="AF2637" s="111">
        <f>IF(AQ2637="2",BH2637,0)</f>
      </c>
      <c r="AG2637" s="111">
        <f>IF(AQ2637="2",BI2637,0)</f>
      </c>
      <c r="AH2637" s="111">
        <f>IF(AQ2637="0",BJ2637,0)</f>
      </c>
      <c r="AI2637" s="132" t="s">
        <v>89</v>
      </c>
      <c r="AJ2637" s="111">
        <f>IF(AN2637=0,I2637,0)</f>
      </c>
      <c r="AK2637" s="111">
        <f>IF(AN2637=12,I2637,0)</f>
      </c>
      <c r="AL2637" s="111">
        <f>IF(AN2637=21,I2637,0)</f>
      </c>
      <c r="AN2637" s="111" t="n">
        <v>21</v>
      </c>
      <c r="AO2637" s="111">
        <f>H2637*0</f>
      </c>
      <c r="AP2637" s="111">
        <f>H2637*(1-0)</f>
      </c>
      <c r="AQ2637" s="153" t="s">
        <v>173</v>
      </c>
      <c r="AV2637" s="111">
        <f>AW2637+AX2637</f>
      </c>
      <c r="AW2637" s="111">
        <f>G2637*AO2637</f>
      </c>
      <c r="AX2637" s="111">
        <f>G2637*AP2637</f>
      </c>
      <c r="AY2637" s="153" t="s">
        <v>4092</v>
      </c>
      <c r="AZ2637" s="153" t="s">
        <v>3905</v>
      </c>
      <c r="BA2637" s="132" t="s">
        <v>3856</v>
      </c>
      <c r="BC2637" s="111">
        <f>AW2637+AX2637</f>
      </c>
      <c r="BD2637" s="111">
        <f>H2637/(100-BE2637)*100</f>
      </c>
      <c r="BE2637" s="111" t="n">
        <v>0</v>
      </c>
      <c r="BF2637" s="111">
        <f>2637</f>
      </c>
      <c r="BH2637" s="111">
        <f>G2637*AO2637</f>
      </c>
      <c r="BI2637" s="111">
        <f>G2637*AP2637</f>
      </c>
      <c r="BJ2637" s="111">
        <f>G2637*H2637</f>
      </c>
      <c r="BK2637" s="111"/>
      <c r="BL2637" s="111" t="n">
        <v>734</v>
      </c>
      <c r="BW2637" s="111" t="n">
        <v>21</v>
      </c>
      <c r="BX2637" s="14" t="s">
        <v>4095</v>
      </c>
    </row>
    <row r="2638">
      <c r="A2638" s="147" t="s">
        <v>4</v>
      </c>
      <c r="B2638" s="148" t="s">
        <v>89</v>
      </c>
      <c r="C2638" s="148" t="s">
        <v>1982</v>
      </c>
      <c r="D2638" s="149" t="s">
        <v>1983</v>
      </c>
      <c r="E2638" s="148"/>
      <c r="F2638" s="150" t="s">
        <v>79</v>
      </c>
      <c r="G2638" s="150" t="s">
        <v>79</v>
      </c>
      <c r="H2638" s="151" t="s">
        <v>79</v>
      </c>
      <c r="I2638" s="117">
        <f>SUM(I2639:I2640)</f>
      </c>
      <c r="J2638" s="132" t="s">
        <v>4</v>
      </c>
      <c r="K2638" s="146"/>
      <c r="AI2638" s="132" t="s">
        <v>89</v>
      </c>
      <c r="AS2638" s="117">
        <f>SUM(AJ2639:AJ2640)</f>
      </c>
      <c r="AT2638" s="117">
        <f>SUM(AK2639:AK2640)</f>
      </c>
      <c r="AU2638" s="117">
        <f>SUM(AL2639:AL2640)</f>
      </c>
    </row>
    <row r="2639">
      <c r="A2639" s="9" t="s">
        <v>4096</v>
      </c>
      <c r="B2639" s="10" t="s">
        <v>89</v>
      </c>
      <c r="C2639" s="10" t="s">
        <v>4097</v>
      </c>
      <c r="D2639" s="14" t="s">
        <v>4098</v>
      </c>
      <c r="E2639" s="10"/>
      <c r="F2639" s="10" t="s">
        <v>282</v>
      </c>
      <c r="G2639" s="111" t="n">
        <v>0.5</v>
      </c>
      <c r="H2639" s="152" t="n">
        <v>0</v>
      </c>
      <c r="I2639" s="111">
        <f>G2639*H2639</f>
      </c>
      <c r="J2639" s="153" t="s">
        <v>4</v>
      </c>
      <c r="K2639" s="146"/>
      <c r="Z2639" s="111">
        <f>IF(AQ2639="5",BJ2639,0)</f>
      </c>
      <c r="AB2639" s="111">
        <f>IF(AQ2639="1",BH2639,0)</f>
      </c>
      <c r="AC2639" s="111">
        <f>IF(AQ2639="1",BI2639,0)</f>
      </c>
      <c r="AD2639" s="111">
        <f>IF(AQ2639="7",BH2639,0)</f>
      </c>
      <c r="AE2639" s="111">
        <f>IF(AQ2639="7",BI2639,0)</f>
      </c>
      <c r="AF2639" s="111">
        <f>IF(AQ2639="2",BH2639,0)</f>
      </c>
      <c r="AG2639" s="111">
        <f>IF(AQ2639="2",BI2639,0)</f>
      </c>
      <c r="AH2639" s="111">
        <f>IF(AQ2639="0",BJ2639,0)</f>
      </c>
      <c r="AI2639" s="132" t="s">
        <v>89</v>
      </c>
      <c r="AJ2639" s="111">
        <f>IF(AN2639=0,I2639,0)</f>
      </c>
      <c r="AK2639" s="111">
        <f>IF(AN2639=12,I2639,0)</f>
      </c>
      <c r="AL2639" s="111">
        <f>IF(AN2639=21,I2639,0)</f>
      </c>
      <c r="AN2639" s="111" t="n">
        <v>21</v>
      </c>
      <c r="AO2639" s="111">
        <f>H2639*0</f>
      </c>
      <c r="AP2639" s="111">
        <f>H2639*(1-0)</f>
      </c>
      <c r="AQ2639" s="153" t="s">
        <v>173</v>
      </c>
      <c r="AV2639" s="111">
        <f>AW2639+AX2639</f>
      </c>
      <c r="AW2639" s="111">
        <f>G2639*AO2639</f>
      </c>
      <c r="AX2639" s="111">
        <f>G2639*AP2639</f>
      </c>
      <c r="AY2639" s="153" t="s">
        <v>1987</v>
      </c>
      <c r="AZ2639" s="153" t="s">
        <v>3905</v>
      </c>
      <c r="BA2639" s="132" t="s">
        <v>3856</v>
      </c>
      <c r="BC2639" s="111">
        <f>AW2639+AX2639</f>
      </c>
      <c r="BD2639" s="111">
        <f>H2639/(100-BE2639)*100</f>
      </c>
      <c r="BE2639" s="111" t="n">
        <v>0</v>
      </c>
      <c r="BF2639" s="111">
        <f>2639</f>
      </c>
      <c r="BH2639" s="111">
        <f>G2639*AO2639</f>
      </c>
      <c r="BI2639" s="111">
        <f>G2639*AP2639</f>
      </c>
      <c r="BJ2639" s="111">
        <f>G2639*H2639</f>
      </c>
      <c r="BK2639" s="111"/>
      <c r="BL2639" s="111" t="n">
        <v>736</v>
      </c>
      <c r="BW2639" s="111" t="n">
        <v>21</v>
      </c>
      <c r="BX2639" s="14" t="s">
        <v>4098</v>
      </c>
    </row>
    <row r="2640">
      <c r="A2640" s="9" t="s">
        <v>4099</v>
      </c>
      <c r="B2640" s="10" t="s">
        <v>89</v>
      </c>
      <c r="C2640" s="10" t="s">
        <v>4100</v>
      </c>
      <c r="D2640" s="14" t="s">
        <v>4101</v>
      </c>
      <c r="E2640" s="10"/>
      <c r="F2640" s="10" t="s">
        <v>282</v>
      </c>
      <c r="G2640" s="111" t="n">
        <v>2</v>
      </c>
      <c r="H2640" s="152" t="n">
        <v>0</v>
      </c>
      <c r="I2640" s="111">
        <f>G2640*H2640</f>
      </c>
      <c r="J2640" s="153" t="s">
        <v>4</v>
      </c>
      <c r="K2640" s="146"/>
      <c r="Z2640" s="111">
        <f>IF(AQ2640="5",BJ2640,0)</f>
      </c>
      <c r="AB2640" s="111">
        <f>IF(AQ2640="1",BH2640,0)</f>
      </c>
      <c r="AC2640" s="111">
        <f>IF(AQ2640="1",BI2640,0)</f>
      </c>
      <c r="AD2640" s="111">
        <f>IF(AQ2640="7",BH2640,0)</f>
      </c>
      <c r="AE2640" s="111">
        <f>IF(AQ2640="7",BI2640,0)</f>
      </c>
      <c r="AF2640" s="111">
        <f>IF(AQ2640="2",BH2640,0)</f>
      </c>
      <c r="AG2640" s="111">
        <f>IF(AQ2640="2",BI2640,0)</f>
      </c>
      <c r="AH2640" s="111">
        <f>IF(AQ2640="0",BJ2640,0)</f>
      </c>
      <c r="AI2640" s="132" t="s">
        <v>89</v>
      </c>
      <c r="AJ2640" s="111">
        <f>IF(AN2640=0,I2640,0)</f>
      </c>
      <c r="AK2640" s="111">
        <f>IF(AN2640=12,I2640,0)</f>
      </c>
      <c r="AL2640" s="111">
        <f>IF(AN2640=21,I2640,0)</f>
      </c>
      <c r="AN2640" s="111" t="n">
        <v>21</v>
      </c>
      <c r="AO2640" s="111">
        <f>H2640*0</f>
      </c>
      <c r="AP2640" s="111">
        <f>H2640*(1-0)</f>
      </c>
      <c r="AQ2640" s="153" t="s">
        <v>173</v>
      </c>
      <c r="AV2640" s="111">
        <f>AW2640+AX2640</f>
      </c>
      <c r="AW2640" s="111">
        <f>G2640*AO2640</f>
      </c>
      <c r="AX2640" s="111">
        <f>G2640*AP2640</f>
      </c>
      <c r="AY2640" s="153" t="s">
        <v>1987</v>
      </c>
      <c r="AZ2640" s="153" t="s">
        <v>3905</v>
      </c>
      <c r="BA2640" s="132" t="s">
        <v>3856</v>
      </c>
      <c r="BC2640" s="111">
        <f>AW2640+AX2640</f>
      </c>
      <c r="BD2640" s="111">
        <f>H2640/(100-BE2640)*100</f>
      </c>
      <c r="BE2640" s="111" t="n">
        <v>0</v>
      </c>
      <c r="BF2640" s="111">
        <f>2640</f>
      </c>
      <c r="BH2640" s="111">
        <f>G2640*AO2640</f>
      </c>
      <c r="BI2640" s="111">
        <f>G2640*AP2640</f>
      </c>
      <c r="BJ2640" s="111">
        <f>G2640*H2640</f>
      </c>
      <c r="BK2640" s="111"/>
      <c r="BL2640" s="111" t="n">
        <v>736</v>
      </c>
      <c r="BW2640" s="111" t="n">
        <v>21</v>
      </c>
      <c r="BX2640" s="14" t="s">
        <v>4101</v>
      </c>
    </row>
    <row r="2641">
      <c r="A2641" s="147" t="s">
        <v>4</v>
      </c>
      <c r="B2641" s="148" t="s">
        <v>89</v>
      </c>
      <c r="C2641" s="148" t="s">
        <v>2272</v>
      </c>
      <c r="D2641" s="149" t="s">
        <v>4102</v>
      </c>
      <c r="E2641" s="148"/>
      <c r="F2641" s="150" t="s">
        <v>79</v>
      </c>
      <c r="G2641" s="150" t="s">
        <v>79</v>
      </c>
      <c r="H2641" s="151" t="s">
        <v>79</v>
      </c>
      <c r="I2641" s="117">
        <f>SUM(I2642:I2642)</f>
      </c>
      <c r="J2641" s="132" t="s">
        <v>4</v>
      </c>
      <c r="K2641" s="146"/>
      <c r="AI2641" s="132" t="s">
        <v>89</v>
      </c>
      <c r="AS2641" s="117">
        <f>SUM(AJ2642:AJ2642)</f>
      </c>
      <c r="AT2641" s="117">
        <f>SUM(AK2642:AK2642)</f>
      </c>
      <c r="AU2641" s="117">
        <f>SUM(AL2642:AL2642)</f>
      </c>
    </row>
    <row r="2642" ht="24.75">
      <c r="A2642" s="9" t="s">
        <v>4103</v>
      </c>
      <c r="B2642" s="10" t="s">
        <v>89</v>
      </c>
      <c r="C2642" s="10" t="s">
        <v>4104</v>
      </c>
      <c r="D2642" s="14" t="s">
        <v>4105</v>
      </c>
      <c r="E2642" s="10"/>
      <c r="F2642" s="10" t="s">
        <v>3860</v>
      </c>
      <c r="G2642" s="111" t="n">
        <v>2</v>
      </c>
      <c r="H2642" s="152" t="n">
        <v>0</v>
      </c>
      <c r="I2642" s="111">
        <f>G2642*H2642</f>
      </c>
      <c r="J2642" s="153" t="s">
        <v>4</v>
      </c>
      <c r="K2642" s="146"/>
      <c r="Z2642" s="111">
        <f>IF(AQ2642="5",BJ2642,0)</f>
      </c>
      <c r="AB2642" s="111">
        <f>IF(AQ2642="1",BH2642,0)</f>
      </c>
      <c r="AC2642" s="111">
        <f>IF(AQ2642="1",BI2642,0)</f>
      </c>
      <c r="AD2642" s="111">
        <f>IF(AQ2642="7",BH2642,0)</f>
      </c>
      <c r="AE2642" s="111">
        <f>IF(AQ2642="7",BI2642,0)</f>
      </c>
      <c r="AF2642" s="111">
        <f>IF(AQ2642="2",BH2642,0)</f>
      </c>
      <c r="AG2642" s="111">
        <f>IF(AQ2642="2",BI2642,0)</f>
      </c>
      <c r="AH2642" s="111">
        <f>IF(AQ2642="0",BJ2642,0)</f>
      </c>
      <c r="AI2642" s="132" t="s">
        <v>89</v>
      </c>
      <c r="AJ2642" s="111">
        <f>IF(AN2642=0,I2642,0)</f>
      </c>
      <c r="AK2642" s="111">
        <f>IF(AN2642=12,I2642,0)</f>
      </c>
      <c r="AL2642" s="111">
        <f>IF(AN2642=21,I2642,0)</f>
      </c>
      <c r="AN2642" s="111" t="n">
        <v>21</v>
      </c>
      <c r="AO2642" s="111">
        <f>H2642*0</f>
      </c>
      <c r="AP2642" s="111">
        <f>H2642*(1-0)</f>
      </c>
      <c r="AQ2642" s="153" t="s">
        <v>173</v>
      </c>
      <c r="AV2642" s="111">
        <f>AW2642+AX2642</f>
      </c>
      <c r="AW2642" s="111">
        <f>G2642*AO2642</f>
      </c>
      <c r="AX2642" s="111">
        <f>G2642*AP2642</f>
      </c>
      <c r="AY2642" s="153" t="s">
        <v>2278</v>
      </c>
      <c r="AZ2642" s="153" t="s">
        <v>4106</v>
      </c>
      <c r="BA2642" s="132" t="s">
        <v>3856</v>
      </c>
      <c r="BC2642" s="111">
        <f>AW2642+AX2642</f>
      </c>
      <c r="BD2642" s="111">
        <f>H2642/(100-BE2642)*100</f>
      </c>
      <c r="BE2642" s="111" t="n">
        <v>0</v>
      </c>
      <c r="BF2642" s="111">
        <f>2642</f>
      </c>
      <c r="BH2642" s="111">
        <f>G2642*AO2642</f>
      </c>
      <c r="BI2642" s="111">
        <f>G2642*AP2642</f>
      </c>
      <c r="BJ2642" s="111">
        <f>G2642*H2642</f>
      </c>
      <c r="BK2642" s="111"/>
      <c r="BL2642" s="111" t="n">
        <v>767</v>
      </c>
      <c r="BW2642" s="111" t="n">
        <v>21</v>
      </c>
      <c r="BX2642" s="14" t="s">
        <v>4105</v>
      </c>
    </row>
    <row r="2643">
      <c r="A2643" s="147" t="s">
        <v>4</v>
      </c>
      <c r="B2643" s="148" t="s">
        <v>89</v>
      </c>
      <c r="C2643" s="148" t="s">
        <v>4107</v>
      </c>
      <c r="D2643" s="149" t="s">
        <v>4108</v>
      </c>
      <c r="E2643" s="148"/>
      <c r="F2643" s="150" t="s">
        <v>79</v>
      </c>
      <c r="G2643" s="150" t="s">
        <v>79</v>
      </c>
      <c r="H2643" s="151" t="s">
        <v>79</v>
      </c>
      <c r="I2643" s="117">
        <f>SUM(I2644:I2651)</f>
      </c>
      <c r="J2643" s="132" t="s">
        <v>4</v>
      </c>
      <c r="K2643" s="146"/>
      <c r="AI2643" s="132" t="s">
        <v>89</v>
      </c>
      <c r="AS2643" s="117">
        <f>SUM(AJ2644:AJ2651)</f>
      </c>
      <c r="AT2643" s="117">
        <f>SUM(AK2644:AK2651)</f>
      </c>
      <c r="AU2643" s="117">
        <f>SUM(AL2644:AL2651)</f>
      </c>
    </row>
    <row r="2644">
      <c r="A2644" s="9" t="s">
        <v>4109</v>
      </c>
      <c r="B2644" s="10" t="s">
        <v>89</v>
      </c>
      <c r="C2644" s="10" t="s">
        <v>4110</v>
      </c>
      <c r="D2644" s="14" t="s">
        <v>4111</v>
      </c>
      <c r="E2644" s="10"/>
      <c r="F2644" s="10" t="s">
        <v>1324</v>
      </c>
      <c r="G2644" s="111" t="n">
        <v>24</v>
      </c>
      <c r="H2644" s="152" t="n">
        <v>0</v>
      </c>
      <c r="I2644" s="111">
        <f>G2644*H2644</f>
      </c>
      <c r="J2644" s="153" t="s">
        <v>4</v>
      </c>
      <c r="K2644" s="146"/>
      <c r="Z2644" s="111">
        <f>IF(AQ2644="5",BJ2644,0)</f>
      </c>
      <c r="AB2644" s="111">
        <f>IF(AQ2644="1",BH2644,0)</f>
      </c>
      <c r="AC2644" s="111">
        <f>IF(AQ2644="1",BI2644,0)</f>
      </c>
      <c r="AD2644" s="111">
        <f>IF(AQ2644="7",BH2644,0)</f>
      </c>
      <c r="AE2644" s="111">
        <f>IF(AQ2644="7",BI2644,0)</f>
      </c>
      <c r="AF2644" s="111">
        <f>IF(AQ2644="2",BH2644,0)</f>
      </c>
      <c r="AG2644" s="111">
        <f>IF(AQ2644="2",BI2644,0)</f>
      </c>
      <c r="AH2644" s="111">
        <f>IF(AQ2644="0",BJ2644,0)</f>
      </c>
      <c r="AI2644" s="132" t="s">
        <v>89</v>
      </c>
      <c r="AJ2644" s="111">
        <f>IF(AN2644=0,I2644,0)</f>
      </c>
      <c r="AK2644" s="111">
        <f>IF(AN2644=12,I2644,0)</f>
      </c>
      <c r="AL2644" s="111">
        <f>IF(AN2644=21,I2644,0)</f>
      </c>
      <c r="AN2644" s="111" t="n">
        <v>21</v>
      </c>
      <c r="AO2644" s="111">
        <f>H2644*0</f>
      </c>
      <c r="AP2644" s="111">
        <f>H2644*(1-0)</f>
      </c>
      <c r="AQ2644" s="153" t="s">
        <v>130</v>
      </c>
      <c r="AV2644" s="111">
        <f>AW2644+AX2644</f>
      </c>
      <c r="AW2644" s="111">
        <f>G2644*AO2644</f>
      </c>
      <c r="AX2644" s="111">
        <f>G2644*AP2644</f>
      </c>
      <c r="AY2644" s="153" t="s">
        <v>4112</v>
      </c>
      <c r="AZ2644" s="153" t="s">
        <v>3855</v>
      </c>
      <c r="BA2644" s="132" t="s">
        <v>3856</v>
      </c>
      <c r="BC2644" s="111">
        <f>AW2644+AX2644</f>
      </c>
      <c r="BD2644" s="111">
        <f>H2644/(100-BE2644)*100</f>
      </c>
      <c r="BE2644" s="111" t="n">
        <v>0</v>
      </c>
      <c r="BF2644" s="111">
        <f>2644</f>
      </c>
      <c r="BH2644" s="111">
        <f>G2644*AO2644</f>
      </c>
      <c r="BI2644" s="111">
        <f>G2644*AP2644</f>
      </c>
      <c r="BJ2644" s="111">
        <f>G2644*H2644</f>
      </c>
      <c r="BK2644" s="111"/>
      <c r="BL2644" s="111"/>
      <c r="BW2644" s="111" t="n">
        <v>21</v>
      </c>
      <c r="BX2644" s="14" t="s">
        <v>4111</v>
      </c>
    </row>
    <row r="2645">
      <c r="A2645" s="9" t="s">
        <v>4113</v>
      </c>
      <c r="B2645" s="10" t="s">
        <v>89</v>
      </c>
      <c r="C2645" s="10" t="s">
        <v>4114</v>
      </c>
      <c r="D2645" s="14" t="s">
        <v>4115</v>
      </c>
      <c r="E2645" s="10"/>
      <c r="F2645" s="10" t="s">
        <v>1430</v>
      </c>
      <c r="G2645" s="111" t="n">
        <v>1</v>
      </c>
      <c r="H2645" s="152" t="n">
        <v>0</v>
      </c>
      <c r="I2645" s="111">
        <f>G2645*H2645</f>
      </c>
      <c r="J2645" s="153" t="s">
        <v>4</v>
      </c>
      <c r="K2645" s="146"/>
      <c r="Z2645" s="111">
        <f>IF(AQ2645="5",BJ2645,0)</f>
      </c>
      <c r="AB2645" s="111">
        <f>IF(AQ2645="1",BH2645,0)</f>
      </c>
      <c r="AC2645" s="111">
        <f>IF(AQ2645="1",BI2645,0)</f>
      </c>
      <c r="AD2645" s="111">
        <f>IF(AQ2645="7",BH2645,0)</f>
      </c>
      <c r="AE2645" s="111">
        <f>IF(AQ2645="7",BI2645,0)</f>
      </c>
      <c r="AF2645" s="111">
        <f>IF(AQ2645="2",BH2645,0)</f>
      </c>
      <c r="AG2645" s="111">
        <f>IF(AQ2645="2",BI2645,0)</f>
      </c>
      <c r="AH2645" s="111">
        <f>IF(AQ2645="0",BJ2645,0)</f>
      </c>
      <c r="AI2645" s="132" t="s">
        <v>89</v>
      </c>
      <c r="AJ2645" s="111">
        <f>IF(AN2645=0,I2645,0)</f>
      </c>
      <c r="AK2645" s="111">
        <f>IF(AN2645=12,I2645,0)</f>
      </c>
      <c r="AL2645" s="111">
        <f>IF(AN2645=21,I2645,0)</f>
      </c>
      <c r="AN2645" s="111" t="n">
        <v>21</v>
      </c>
      <c r="AO2645" s="111">
        <f>H2645*0</f>
      </c>
      <c r="AP2645" s="111">
        <f>H2645*(1-0)</f>
      </c>
      <c r="AQ2645" s="153" t="s">
        <v>130</v>
      </c>
      <c r="AV2645" s="111">
        <f>AW2645+AX2645</f>
      </c>
      <c r="AW2645" s="111">
        <f>G2645*AO2645</f>
      </c>
      <c r="AX2645" s="111">
        <f>G2645*AP2645</f>
      </c>
      <c r="AY2645" s="153" t="s">
        <v>4112</v>
      </c>
      <c r="AZ2645" s="153" t="s">
        <v>3855</v>
      </c>
      <c r="BA2645" s="132" t="s">
        <v>3856</v>
      </c>
      <c r="BC2645" s="111">
        <f>AW2645+AX2645</f>
      </c>
      <c r="BD2645" s="111">
        <f>H2645/(100-BE2645)*100</f>
      </c>
      <c r="BE2645" s="111" t="n">
        <v>0</v>
      </c>
      <c r="BF2645" s="111">
        <f>2645</f>
      </c>
      <c r="BH2645" s="111">
        <f>G2645*AO2645</f>
      </c>
      <c r="BI2645" s="111">
        <f>G2645*AP2645</f>
      </c>
      <c r="BJ2645" s="111">
        <f>G2645*H2645</f>
      </c>
      <c r="BK2645" s="111"/>
      <c r="BL2645" s="111"/>
      <c r="BW2645" s="111" t="n">
        <v>21</v>
      </c>
      <c r="BX2645" s="14" t="s">
        <v>4115</v>
      </c>
    </row>
    <row r="2646">
      <c r="A2646" s="9" t="s">
        <v>4116</v>
      </c>
      <c r="B2646" s="10" t="s">
        <v>89</v>
      </c>
      <c r="C2646" s="10" t="s">
        <v>4117</v>
      </c>
      <c r="D2646" s="14" t="s">
        <v>4118</v>
      </c>
      <c r="E2646" s="10"/>
      <c r="F2646" s="10" t="s">
        <v>3860</v>
      </c>
      <c r="G2646" s="111" t="n">
        <v>1</v>
      </c>
      <c r="H2646" s="152" t="n">
        <v>0</v>
      </c>
      <c r="I2646" s="111">
        <f>G2646*H2646</f>
      </c>
      <c r="J2646" s="153" t="s">
        <v>4</v>
      </c>
      <c r="K2646" s="146"/>
      <c r="Z2646" s="111">
        <f>IF(AQ2646="5",BJ2646,0)</f>
      </c>
      <c r="AB2646" s="111">
        <f>IF(AQ2646="1",BH2646,0)</f>
      </c>
      <c r="AC2646" s="111">
        <f>IF(AQ2646="1",BI2646,0)</f>
      </c>
      <c r="AD2646" s="111">
        <f>IF(AQ2646="7",BH2646,0)</f>
      </c>
      <c r="AE2646" s="111">
        <f>IF(AQ2646="7",BI2646,0)</f>
      </c>
      <c r="AF2646" s="111">
        <f>IF(AQ2646="2",BH2646,0)</f>
      </c>
      <c r="AG2646" s="111">
        <f>IF(AQ2646="2",BI2646,0)</f>
      </c>
      <c r="AH2646" s="111">
        <f>IF(AQ2646="0",BJ2646,0)</f>
      </c>
      <c r="AI2646" s="132" t="s">
        <v>89</v>
      </c>
      <c r="AJ2646" s="111">
        <f>IF(AN2646=0,I2646,0)</f>
      </c>
      <c r="AK2646" s="111">
        <f>IF(AN2646=12,I2646,0)</f>
      </c>
      <c r="AL2646" s="111">
        <f>IF(AN2646=21,I2646,0)</f>
      </c>
      <c r="AN2646" s="111" t="n">
        <v>21</v>
      </c>
      <c r="AO2646" s="111">
        <f>H2646*0</f>
      </c>
      <c r="AP2646" s="111">
        <f>H2646*(1-0)</f>
      </c>
      <c r="AQ2646" s="153" t="s">
        <v>130</v>
      </c>
      <c r="AV2646" s="111">
        <f>AW2646+AX2646</f>
      </c>
      <c r="AW2646" s="111">
        <f>G2646*AO2646</f>
      </c>
      <c r="AX2646" s="111">
        <f>G2646*AP2646</f>
      </c>
      <c r="AY2646" s="153" t="s">
        <v>4112</v>
      </c>
      <c r="AZ2646" s="153" t="s">
        <v>3855</v>
      </c>
      <c r="BA2646" s="132" t="s">
        <v>3856</v>
      </c>
      <c r="BC2646" s="111">
        <f>AW2646+AX2646</f>
      </c>
      <c r="BD2646" s="111">
        <f>H2646/(100-BE2646)*100</f>
      </c>
      <c r="BE2646" s="111" t="n">
        <v>0</v>
      </c>
      <c r="BF2646" s="111">
        <f>2646</f>
      </c>
      <c r="BH2646" s="111">
        <f>G2646*AO2646</f>
      </c>
      <c r="BI2646" s="111">
        <f>G2646*AP2646</f>
      </c>
      <c r="BJ2646" s="111">
        <f>G2646*H2646</f>
      </c>
      <c r="BK2646" s="111"/>
      <c r="BL2646" s="111"/>
      <c r="BW2646" s="111" t="n">
        <v>21</v>
      </c>
      <c r="BX2646" s="14" t="s">
        <v>4118</v>
      </c>
    </row>
    <row r="2647">
      <c r="A2647" s="9" t="s">
        <v>4119</v>
      </c>
      <c r="B2647" s="10" t="s">
        <v>89</v>
      </c>
      <c r="C2647" s="10" t="s">
        <v>4120</v>
      </c>
      <c r="D2647" s="14" t="s">
        <v>4121</v>
      </c>
      <c r="E2647" s="10"/>
      <c r="F2647" s="10" t="s">
        <v>3860</v>
      </c>
      <c r="G2647" s="111" t="n">
        <v>1</v>
      </c>
      <c r="H2647" s="152" t="n">
        <v>0</v>
      </c>
      <c r="I2647" s="111">
        <f>G2647*H2647</f>
      </c>
      <c r="J2647" s="153" t="s">
        <v>4</v>
      </c>
      <c r="K2647" s="146"/>
      <c r="Z2647" s="111">
        <f>IF(AQ2647="5",BJ2647,0)</f>
      </c>
      <c r="AB2647" s="111">
        <f>IF(AQ2647="1",BH2647,0)</f>
      </c>
      <c r="AC2647" s="111">
        <f>IF(AQ2647="1",BI2647,0)</f>
      </c>
      <c r="AD2647" s="111">
        <f>IF(AQ2647="7",BH2647,0)</f>
      </c>
      <c r="AE2647" s="111">
        <f>IF(AQ2647="7",BI2647,0)</f>
      </c>
      <c r="AF2647" s="111">
        <f>IF(AQ2647="2",BH2647,0)</f>
      </c>
      <c r="AG2647" s="111">
        <f>IF(AQ2647="2",BI2647,0)</f>
      </c>
      <c r="AH2647" s="111">
        <f>IF(AQ2647="0",BJ2647,0)</f>
      </c>
      <c r="AI2647" s="132" t="s">
        <v>89</v>
      </c>
      <c r="AJ2647" s="111">
        <f>IF(AN2647=0,I2647,0)</f>
      </c>
      <c r="AK2647" s="111">
        <f>IF(AN2647=12,I2647,0)</f>
      </c>
      <c r="AL2647" s="111">
        <f>IF(AN2647=21,I2647,0)</f>
      </c>
      <c r="AN2647" s="111" t="n">
        <v>21</v>
      </c>
      <c r="AO2647" s="111">
        <f>H2647*0</f>
      </c>
      <c r="AP2647" s="111">
        <f>H2647*(1-0)</f>
      </c>
      <c r="AQ2647" s="153" t="s">
        <v>130</v>
      </c>
      <c r="AV2647" s="111">
        <f>AW2647+AX2647</f>
      </c>
      <c r="AW2647" s="111">
        <f>G2647*AO2647</f>
      </c>
      <c r="AX2647" s="111">
        <f>G2647*AP2647</f>
      </c>
      <c r="AY2647" s="153" t="s">
        <v>4112</v>
      </c>
      <c r="AZ2647" s="153" t="s">
        <v>3855</v>
      </c>
      <c r="BA2647" s="132" t="s">
        <v>3856</v>
      </c>
      <c r="BC2647" s="111">
        <f>AW2647+AX2647</f>
      </c>
      <c r="BD2647" s="111">
        <f>H2647/(100-BE2647)*100</f>
      </c>
      <c r="BE2647" s="111" t="n">
        <v>0</v>
      </c>
      <c r="BF2647" s="111">
        <f>2647</f>
      </c>
      <c r="BH2647" s="111">
        <f>G2647*AO2647</f>
      </c>
      <c r="BI2647" s="111">
        <f>G2647*AP2647</f>
      </c>
      <c r="BJ2647" s="111">
        <f>G2647*H2647</f>
      </c>
      <c r="BK2647" s="111"/>
      <c r="BL2647" s="111"/>
      <c r="BW2647" s="111" t="n">
        <v>21</v>
      </c>
      <c r="BX2647" s="14" t="s">
        <v>4121</v>
      </c>
    </row>
    <row r="2648">
      <c r="A2648" s="9" t="s">
        <v>4122</v>
      </c>
      <c r="B2648" s="10" t="s">
        <v>89</v>
      </c>
      <c r="C2648" s="10" t="s">
        <v>4123</v>
      </c>
      <c r="D2648" s="14" t="s">
        <v>4124</v>
      </c>
      <c r="E2648" s="10"/>
      <c r="F2648" s="10" t="s">
        <v>3854</v>
      </c>
      <c r="G2648" s="111" t="n">
        <v>48</v>
      </c>
      <c r="H2648" s="152" t="n">
        <v>0</v>
      </c>
      <c r="I2648" s="111">
        <f>G2648*H2648</f>
      </c>
      <c r="J2648" s="153" t="s">
        <v>4</v>
      </c>
      <c r="K2648" s="146"/>
      <c r="Z2648" s="111">
        <f>IF(AQ2648="5",BJ2648,0)</f>
      </c>
      <c r="AB2648" s="111">
        <f>IF(AQ2648="1",BH2648,0)</f>
      </c>
      <c r="AC2648" s="111">
        <f>IF(AQ2648="1",BI2648,0)</f>
      </c>
      <c r="AD2648" s="111">
        <f>IF(AQ2648="7",BH2648,0)</f>
      </c>
      <c r="AE2648" s="111">
        <f>IF(AQ2648="7",BI2648,0)</f>
      </c>
      <c r="AF2648" s="111">
        <f>IF(AQ2648="2",BH2648,0)</f>
      </c>
      <c r="AG2648" s="111">
        <f>IF(AQ2648="2",BI2648,0)</f>
      </c>
      <c r="AH2648" s="111">
        <f>IF(AQ2648="0",BJ2648,0)</f>
      </c>
      <c r="AI2648" s="132" t="s">
        <v>89</v>
      </c>
      <c r="AJ2648" s="111">
        <f>IF(AN2648=0,I2648,0)</f>
      </c>
      <c r="AK2648" s="111">
        <f>IF(AN2648=12,I2648,0)</f>
      </c>
      <c r="AL2648" s="111">
        <f>IF(AN2648=21,I2648,0)</f>
      </c>
      <c r="AN2648" s="111" t="n">
        <v>21</v>
      </c>
      <c r="AO2648" s="111">
        <f>H2648*0</f>
      </c>
      <c r="AP2648" s="111">
        <f>H2648*(1-0)</f>
      </c>
      <c r="AQ2648" s="153" t="s">
        <v>130</v>
      </c>
      <c r="AV2648" s="111">
        <f>AW2648+AX2648</f>
      </c>
      <c r="AW2648" s="111">
        <f>G2648*AO2648</f>
      </c>
      <c r="AX2648" s="111">
        <f>G2648*AP2648</f>
      </c>
      <c r="AY2648" s="153" t="s">
        <v>4112</v>
      </c>
      <c r="AZ2648" s="153" t="s">
        <v>3855</v>
      </c>
      <c r="BA2648" s="132" t="s">
        <v>3856</v>
      </c>
      <c r="BC2648" s="111">
        <f>AW2648+AX2648</f>
      </c>
      <c r="BD2648" s="111">
        <f>H2648/(100-BE2648)*100</f>
      </c>
      <c r="BE2648" s="111" t="n">
        <v>0</v>
      </c>
      <c r="BF2648" s="111">
        <f>2648</f>
      </c>
      <c r="BH2648" s="111">
        <f>G2648*AO2648</f>
      </c>
      <c r="BI2648" s="111">
        <f>G2648*AP2648</f>
      </c>
      <c r="BJ2648" s="111">
        <f>G2648*H2648</f>
      </c>
      <c r="BK2648" s="111"/>
      <c r="BL2648" s="111"/>
      <c r="BW2648" s="111" t="n">
        <v>21</v>
      </c>
      <c r="BX2648" s="14" t="s">
        <v>4124</v>
      </c>
    </row>
    <row r="2649">
      <c r="A2649" s="9" t="s">
        <v>4125</v>
      </c>
      <c r="B2649" s="10" t="s">
        <v>89</v>
      </c>
      <c r="C2649" s="10" t="s">
        <v>4126</v>
      </c>
      <c r="D2649" s="14" t="s">
        <v>4127</v>
      </c>
      <c r="E2649" s="10"/>
      <c r="F2649" s="10" t="s">
        <v>3860</v>
      </c>
      <c r="G2649" s="111" t="n">
        <v>1</v>
      </c>
      <c r="H2649" s="152" t="n">
        <v>0</v>
      </c>
      <c r="I2649" s="111">
        <f>G2649*H2649</f>
      </c>
      <c r="J2649" s="153" t="s">
        <v>4</v>
      </c>
      <c r="K2649" s="146"/>
      <c r="Z2649" s="111">
        <f>IF(AQ2649="5",BJ2649,0)</f>
      </c>
      <c r="AB2649" s="111">
        <f>IF(AQ2649="1",BH2649,0)</f>
      </c>
      <c r="AC2649" s="111">
        <f>IF(AQ2649="1",BI2649,0)</f>
      </c>
      <c r="AD2649" s="111">
        <f>IF(AQ2649="7",BH2649,0)</f>
      </c>
      <c r="AE2649" s="111">
        <f>IF(AQ2649="7",BI2649,0)</f>
      </c>
      <c r="AF2649" s="111">
        <f>IF(AQ2649="2",BH2649,0)</f>
      </c>
      <c r="AG2649" s="111">
        <f>IF(AQ2649="2",BI2649,0)</f>
      </c>
      <c r="AH2649" s="111">
        <f>IF(AQ2649="0",BJ2649,0)</f>
      </c>
      <c r="AI2649" s="132" t="s">
        <v>89</v>
      </c>
      <c r="AJ2649" s="111">
        <f>IF(AN2649=0,I2649,0)</f>
      </c>
      <c r="AK2649" s="111">
        <f>IF(AN2649=12,I2649,0)</f>
      </c>
      <c r="AL2649" s="111">
        <f>IF(AN2649=21,I2649,0)</f>
      </c>
      <c r="AN2649" s="111" t="n">
        <v>21</v>
      </c>
      <c r="AO2649" s="111">
        <f>H2649*0</f>
      </c>
      <c r="AP2649" s="111">
        <f>H2649*(1-0)</f>
      </c>
      <c r="AQ2649" s="153" t="s">
        <v>130</v>
      </c>
      <c r="AV2649" s="111">
        <f>AW2649+AX2649</f>
      </c>
      <c r="AW2649" s="111">
        <f>G2649*AO2649</f>
      </c>
      <c r="AX2649" s="111">
        <f>G2649*AP2649</f>
      </c>
      <c r="AY2649" s="153" t="s">
        <v>4112</v>
      </c>
      <c r="AZ2649" s="153" t="s">
        <v>3855</v>
      </c>
      <c r="BA2649" s="132" t="s">
        <v>3856</v>
      </c>
      <c r="BC2649" s="111">
        <f>AW2649+AX2649</f>
      </c>
      <c r="BD2649" s="111">
        <f>H2649/(100-BE2649)*100</f>
      </c>
      <c r="BE2649" s="111" t="n">
        <v>0</v>
      </c>
      <c r="BF2649" s="111">
        <f>2649</f>
      </c>
      <c r="BH2649" s="111">
        <f>G2649*AO2649</f>
      </c>
      <c r="BI2649" s="111">
        <f>G2649*AP2649</f>
      </c>
      <c r="BJ2649" s="111">
        <f>G2649*H2649</f>
      </c>
      <c r="BK2649" s="111"/>
      <c r="BL2649" s="111"/>
      <c r="BW2649" s="111" t="n">
        <v>21</v>
      </c>
      <c r="BX2649" s="14" t="s">
        <v>4127</v>
      </c>
    </row>
    <row r="2650">
      <c r="A2650" s="9" t="s">
        <v>4128</v>
      </c>
      <c r="B2650" s="10" t="s">
        <v>89</v>
      </c>
      <c r="C2650" s="10" t="s">
        <v>4129</v>
      </c>
      <c r="D2650" s="14" t="s">
        <v>4130</v>
      </c>
      <c r="E2650" s="10"/>
      <c r="F2650" s="10" t="s">
        <v>2935</v>
      </c>
      <c r="G2650" s="111" t="n">
        <v>1</v>
      </c>
      <c r="H2650" s="152" t="n">
        <v>0</v>
      </c>
      <c r="I2650" s="111">
        <f>G2650*H2650</f>
      </c>
      <c r="J2650" s="153" t="s">
        <v>4</v>
      </c>
      <c r="K2650" s="146"/>
      <c r="Z2650" s="111">
        <f>IF(AQ2650="5",BJ2650,0)</f>
      </c>
      <c r="AB2650" s="111">
        <f>IF(AQ2650="1",BH2650,0)</f>
      </c>
      <c r="AC2650" s="111">
        <f>IF(AQ2650="1",BI2650,0)</f>
      </c>
      <c r="AD2650" s="111">
        <f>IF(AQ2650="7",BH2650,0)</f>
      </c>
      <c r="AE2650" s="111">
        <f>IF(AQ2650="7",BI2650,0)</f>
      </c>
      <c r="AF2650" s="111">
        <f>IF(AQ2650="2",BH2650,0)</f>
      </c>
      <c r="AG2650" s="111">
        <f>IF(AQ2650="2",BI2650,0)</f>
      </c>
      <c r="AH2650" s="111">
        <f>IF(AQ2650="0",BJ2650,0)</f>
      </c>
      <c r="AI2650" s="132" t="s">
        <v>89</v>
      </c>
      <c r="AJ2650" s="111">
        <f>IF(AN2650=0,I2650,0)</f>
      </c>
      <c r="AK2650" s="111">
        <f>IF(AN2650=12,I2650,0)</f>
      </c>
      <c r="AL2650" s="111">
        <f>IF(AN2650=21,I2650,0)</f>
      </c>
      <c r="AN2650" s="111" t="n">
        <v>21</v>
      </c>
      <c r="AO2650" s="111">
        <f>H2650*0</f>
      </c>
      <c r="AP2650" s="111">
        <f>H2650*(1-0)</f>
      </c>
      <c r="AQ2650" s="153" t="s">
        <v>130</v>
      </c>
      <c r="AV2650" s="111">
        <f>AW2650+AX2650</f>
      </c>
      <c r="AW2650" s="111">
        <f>G2650*AO2650</f>
      </c>
      <c r="AX2650" s="111">
        <f>G2650*AP2650</f>
      </c>
      <c r="AY2650" s="153" t="s">
        <v>4112</v>
      </c>
      <c r="AZ2650" s="153" t="s">
        <v>3855</v>
      </c>
      <c r="BA2650" s="132" t="s">
        <v>3856</v>
      </c>
      <c r="BC2650" s="111">
        <f>AW2650+AX2650</f>
      </c>
      <c r="BD2650" s="111">
        <f>H2650/(100-BE2650)*100</f>
      </c>
      <c r="BE2650" s="111" t="n">
        <v>0</v>
      </c>
      <c r="BF2650" s="111">
        <f>2650</f>
      </c>
      <c r="BH2650" s="111">
        <f>G2650*AO2650</f>
      </c>
      <c r="BI2650" s="111">
        <f>G2650*AP2650</f>
      </c>
      <c r="BJ2650" s="111">
        <f>G2650*H2650</f>
      </c>
      <c r="BK2650" s="111"/>
      <c r="BL2650" s="111"/>
      <c r="BW2650" s="111" t="n">
        <v>21</v>
      </c>
      <c r="BX2650" s="14" t="s">
        <v>4130</v>
      </c>
    </row>
    <row r="2651">
      <c r="A2651" s="9" t="s">
        <v>4131</v>
      </c>
      <c r="B2651" s="10" t="s">
        <v>89</v>
      </c>
      <c r="C2651" s="10" t="s">
        <v>4132</v>
      </c>
      <c r="D2651" s="14" t="s">
        <v>4133</v>
      </c>
      <c r="E2651" s="10"/>
      <c r="F2651" s="10" t="s">
        <v>2277</v>
      </c>
      <c r="G2651" s="111" t="n">
        <v>1</v>
      </c>
      <c r="H2651" s="152" t="n">
        <v>0</v>
      </c>
      <c r="I2651" s="111">
        <f>G2651*H2651</f>
      </c>
      <c r="J2651" s="153" t="s">
        <v>4</v>
      </c>
      <c r="K2651" s="146"/>
      <c r="Z2651" s="111">
        <f>IF(AQ2651="5",BJ2651,0)</f>
      </c>
      <c r="AB2651" s="111">
        <f>IF(AQ2651="1",BH2651,0)</f>
      </c>
      <c r="AC2651" s="111">
        <f>IF(AQ2651="1",BI2651,0)</f>
      </c>
      <c r="AD2651" s="111">
        <f>IF(AQ2651="7",BH2651,0)</f>
      </c>
      <c r="AE2651" s="111">
        <f>IF(AQ2651="7",BI2651,0)</f>
      </c>
      <c r="AF2651" s="111">
        <f>IF(AQ2651="2",BH2651,0)</f>
      </c>
      <c r="AG2651" s="111">
        <f>IF(AQ2651="2",BI2651,0)</f>
      </c>
      <c r="AH2651" s="111">
        <f>IF(AQ2651="0",BJ2651,0)</f>
      </c>
      <c r="AI2651" s="132" t="s">
        <v>89</v>
      </c>
      <c r="AJ2651" s="111">
        <f>IF(AN2651=0,I2651,0)</f>
      </c>
      <c r="AK2651" s="111">
        <f>IF(AN2651=12,I2651,0)</f>
      </c>
      <c r="AL2651" s="111">
        <f>IF(AN2651=21,I2651,0)</f>
      </c>
      <c r="AN2651" s="111" t="n">
        <v>21</v>
      </c>
      <c r="AO2651" s="111">
        <f>H2651*0</f>
      </c>
      <c r="AP2651" s="111">
        <f>H2651*(1-0)</f>
      </c>
      <c r="AQ2651" s="153" t="s">
        <v>130</v>
      </c>
      <c r="AV2651" s="111">
        <f>AW2651+AX2651</f>
      </c>
      <c r="AW2651" s="111">
        <f>G2651*AO2651</f>
      </c>
      <c r="AX2651" s="111">
        <f>G2651*AP2651</f>
      </c>
      <c r="AY2651" s="153" t="s">
        <v>4112</v>
      </c>
      <c r="AZ2651" s="153" t="s">
        <v>3855</v>
      </c>
      <c r="BA2651" s="132" t="s">
        <v>3856</v>
      </c>
      <c r="BC2651" s="111">
        <f>AW2651+AX2651</f>
      </c>
      <c r="BD2651" s="111">
        <f>H2651/(100-BE2651)*100</f>
      </c>
      <c r="BE2651" s="111" t="n">
        <v>0</v>
      </c>
      <c r="BF2651" s="111">
        <f>2651</f>
      </c>
      <c r="BH2651" s="111">
        <f>G2651*AO2651</f>
      </c>
      <c r="BI2651" s="111">
        <f>G2651*AP2651</f>
      </c>
      <c r="BJ2651" s="111">
        <f>G2651*H2651</f>
      </c>
      <c r="BK2651" s="111"/>
      <c r="BL2651" s="111"/>
      <c r="BW2651" s="111" t="n">
        <v>21</v>
      </c>
      <c r="BX2651" s="14" t="s">
        <v>4133</v>
      </c>
    </row>
    <row r="2652">
      <c r="A2652" s="147" t="s">
        <v>4</v>
      </c>
      <c r="B2652" s="148" t="s">
        <v>91</v>
      </c>
      <c r="C2652" s="148" t="s">
        <v>4</v>
      </c>
      <c r="D2652" s="149" t="s">
        <v>92</v>
      </c>
      <c r="E2652" s="148"/>
      <c r="F2652" s="150" t="s">
        <v>79</v>
      </c>
      <c r="G2652" s="150" t="s">
        <v>79</v>
      </c>
      <c r="H2652" s="151" t="s">
        <v>79</v>
      </c>
      <c r="I2652" s="117">
        <f>I2653+I2656+I2664+I2691+I2728+I2747+I2779+I2830+I2837+I2847</f>
      </c>
      <c r="J2652" s="132" t="s">
        <v>4</v>
      </c>
      <c r="K2652" s="146"/>
    </row>
    <row r="2653">
      <c r="A2653" s="147" t="s">
        <v>4</v>
      </c>
      <c r="B2653" s="148" t="s">
        <v>91</v>
      </c>
      <c r="C2653" s="148" t="s">
        <v>765</v>
      </c>
      <c r="D2653" s="149" t="s">
        <v>3851</v>
      </c>
      <c r="E2653" s="148"/>
      <c r="F2653" s="150" t="s">
        <v>79</v>
      </c>
      <c r="G2653" s="150" t="s">
        <v>79</v>
      </c>
      <c r="H2653" s="151" t="s">
        <v>79</v>
      </c>
      <c r="I2653" s="117">
        <f>SUM(I2654:I2654)</f>
      </c>
      <c r="J2653" s="132" t="s">
        <v>4</v>
      </c>
      <c r="K2653" s="146"/>
      <c r="AI2653" s="132" t="s">
        <v>91</v>
      </c>
      <c r="AS2653" s="117">
        <f>SUM(AJ2654:AJ2654)</f>
      </c>
      <c r="AT2653" s="117">
        <f>SUM(AK2654:AK2654)</f>
      </c>
      <c r="AU2653" s="117">
        <f>SUM(AL2654:AL2654)</f>
      </c>
    </row>
    <row r="2654">
      <c r="A2654" s="9" t="s">
        <v>4134</v>
      </c>
      <c r="B2654" s="10" t="s">
        <v>91</v>
      </c>
      <c r="C2654" s="10" t="s">
        <v>4135</v>
      </c>
      <c r="D2654" s="14" t="s">
        <v>4136</v>
      </c>
      <c r="E2654" s="10"/>
      <c r="F2654" s="10" t="s">
        <v>1324</v>
      </c>
      <c r="G2654" s="111" t="n">
        <v>16</v>
      </c>
      <c r="H2654" s="152" t="n">
        <v>0</v>
      </c>
      <c r="I2654" s="111">
        <f>G2654*H2654</f>
      </c>
      <c r="J2654" s="153" t="s">
        <v>4</v>
      </c>
      <c r="K2654" s="146"/>
      <c r="Z2654" s="111">
        <f>IF(AQ2654="5",BJ2654,0)</f>
      </c>
      <c r="AB2654" s="111">
        <f>IF(AQ2654="1",BH2654,0)</f>
      </c>
      <c r="AC2654" s="111">
        <f>IF(AQ2654="1",BI2654,0)</f>
      </c>
      <c r="AD2654" s="111">
        <f>IF(AQ2654="7",BH2654,0)</f>
      </c>
      <c r="AE2654" s="111">
        <f>IF(AQ2654="7",BI2654,0)</f>
      </c>
      <c r="AF2654" s="111">
        <f>IF(AQ2654="2",BH2654,0)</f>
      </c>
      <c r="AG2654" s="111">
        <f>IF(AQ2654="2",BI2654,0)</f>
      </c>
      <c r="AH2654" s="111">
        <f>IF(AQ2654="0",BJ2654,0)</f>
      </c>
      <c r="AI2654" s="132" t="s">
        <v>91</v>
      </c>
      <c r="AJ2654" s="111">
        <f>IF(AN2654=0,I2654,0)</f>
      </c>
      <c r="AK2654" s="111">
        <f>IF(AN2654=12,I2654,0)</f>
      </c>
      <c r="AL2654" s="111">
        <f>IF(AN2654=21,I2654,0)</f>
      </c>
      <c r="AN2654" s="111" t="n">
        <v>21</v>
      </c>
      <c r="AO2654" s="111">
        <f>H2654*0</f>
      </c>
      <c r="AP2654" s="111">
        <f>H2654*(1-0)</f>
      </c>
      <c r="AQ2654" s="153" t="s">
        <v>130</v>
      </c>
      <c r="AV2654" s="111">
        <f>AW2654+AX2654</f>
      </c>
      <c r="AW2654" s="111">
        <f>G2654*AO2654</f>
      </c>
      <c r="AX2654" s="111">
        <f>G2654*AP2654</f>
      </c>
      <c r="AY2654" s="153" t="s">
        <v>1436</v>
      </c>
      <c r="AZ2654" s="153" t="s">
        <v>4137</v>
      </c>
      <c r="BA2654" s="132" t="s">
        <v>4138</v>
      </c>
      <c r="BC2654" s="111">
        <f>AW2654+AX2654</f>
      </c>
      <c r="BD2654" s="111">
        <f>H2654/(100-BE2654)*100</f>
      </c>
      <c r="BE2654" s="111" t="n">
        <v>0</v>
      </c>
      <c r="BF2654" s="111">
        <f>2654</f>
      </c>
      <c r="BH2654" s="111">
        <f>G2654*AO2654</f>
      </c>
      <c r="BI2654" s="111">
        <f>G2654*AP2654</f>
      </c>
      <c r="BJ2654" s="111">
        <f>G2654*H2654</f>
      </c>
      <c r="BK2654" s="111"/>
      <c r="BL2654" s="111" t="n">
        <v>95</v>
      </c>
      <c r="BW2654" s="111" t="n">
        <v>21</v>
      </c>
      <c r="BX2654" s="14" t="s">
        <v>4136</v>
      </c>
    </row>
    <row r="2655">
      <c r="A2655" s="154"/>
      <c r="B2655" s="155"/>
      <c r="C2655" s="155"/>
      <c r="D2655" s="156" t="s">
        <v>4139</v>
      </c>
      <c r="E2655" s="156" t="s">
        <v>4140</v>
      </c>
      <c r="F2655" s="155"/>
      <c r="G2655" s="157" t="n">
        <v>16</v>
      </c>
      <c r="H2655" s="158"/>
      <c r="I2655" s="155"/>
      <c r="J2655" s="155"/>
      <c r="K2655" s="146"/>
    </row>
    <row r="2656">
      <c r="A2656" s="147" t="s">
        <v>4</v>
      </c>
      <c r="B2656" s="148" t="s">
        <v>91</v>
      </c>
      <c r="C2656" s="148" t="s">
        <v>4141</v>
      </c>
      <c r="D2656" s="149" t="s">
        <v>4142</v>
      </c>
      <c r="E2656" s="148"/>
      <c r="F2656" s="150" t="s">
        <v>79</v>
      </c>
      <c r="G2656" s="150" t="s">
        <v>79</v>
      </c>
      <c r="H2656" s="151" t="s">
        <v>79</v>
      </c>
      <c r="I2656" s="117">
        <f>SUM(I2657:I2663)</f>
      </c>
      <c r="J2656" s="132" t="s">
        <v>4</v>
      </c>
      <c r="K2656" s="146"/>
      <c r="AI2656" s="132" t="s">
        <v>91</v>
      </c>
      <c r="AS2656" s="117">
        <f>SUM(AJ2657:AJ2663)</f>
      </c>
      <c r="AT2656" s="117">
        <f>SUM(AK2657:AK2663)</f>
      </c>
      <c r="AU2656" s="117">
        <f>SUM(AL2657:AL2663)</f>
      </c>
    </row>
    <row r="2657">
      <c r="A2657" s="9" t="s">
        <v>4143</v>
      </c>
      <c r="B2657" s="10" t="s">
        <v>91</v>
      </c>
      <c r="C2657" s="10" t="s">
        <v>4110</v>
      </c>
      <c r="D2657" s="14" t="s">
        <v>4144</v>
      </c>
      <c r="E2657" s="10"/>
      <c r="F2657" s="10" t="s">
        <v>1324</v>
      </c>
      <c r="G2657" s="111" t="n">
        <v>16</v>
      </c>
      <c r="H2657" s="152" t="n">
        <v>0</v>
      </c>
      <c r="I2657" s="111">
        <f>G2657*H2657</f>
      </c>
      <c r="J2657" s="153" t="s">
        <v>4</v>
      </c>
      <c r="K2657" s="146"/>
      <c r="Z2657" s="111">
        <f>IF(AQ2657="5",BJ2657,0)</f>
      </c>
      <c r="AB2657" s="111">
        <f>IF(AQ2657="1",BH2657,0)</f>
      </c>
      <c r="AC2657" s="111">
        <f>IF(AQ2657="1",BI2657,0)</f>
      </c>
      <c r="AD2657" s="111">
        <f>IF(AQ2657="7",BH2657,0)</f>
      </c>
      <c r="AE2657" s="111">
        <f>IF(AQ2657="7",BI2657,0)</f>
      </c>
      <c r="AF2657" s="111">
        <f>IF(AQ2657="2",BH2657,0)</f>
      </c>
      <c r="AG2657" s="111">
        <f>IF(AQ2657="2",BI2657,0)</f>
      </c>
      <c r="AH2657" s="111">
        <f>IF(AQ2657="0",BJ2657,0)</f>
      </c>
      <c r="AI2657" s="132" t="s">
        <v>91</v>
      </c>
      <c r="AJ2657" s="111">
        <f>IF(AN2657=0,I2657,0)</f>
      </c>
      <c r="AK2657" s="111">
        <f>IF(AN2657=12,I2657,0)</f>
      </c>
      <c r="AL2657" s="111">
        <f>IF(AN2657=21,I2657,0)</f>
      </c>
      <c r="AN2657" s="111" t="n">
        <v>21</v>
      </c>
      <c r="AO2657" s="111">
        <f>H2657*0</f>
      </c>
      <c r="AP2657" s="111">
        <f>H2657*(1-0)</f>
      </c>
      <c r="AQ2657" s="153" t="s">
        <v>130</v>
      </c>
      <c r="AV2657" s="111">
        <f>AW2657+AX2657</f>
      </c>
      <c r="AW2657" s="111">
        <f>G2657*AO2657</f>
      </c>
      <c r="AX2657" s="111">
        <f>G2657*AP2657</f>
      </c>
      <c r="AY2657" s="153" t="s">
        <v>4145</v>
      </c>
      <c r="AZ2657" s="153" t="s">
        <v>4137</v>
      </c>
      <c r="BA2657" s="132" t="s">
        <v>4138</v>
      </c>
      <c r="BC2657" s="111">
        <f>AW2657+AX2657</f>
      </c>
      <c r="BD2657" s="111">
        <f>H2657/(100-BE2657)*100</f>
      </c>
      <c r="BE2657" s="111" t="n">
        <v>0</v>
      </c>
      <c r="BF2657" s="111">
        <f>2657</f>
      </c>
      <c r="BH2657" s="111">
        <f>G2657*AO2657</f>
      </c>
      <c r="BI2657" s="111">
        <f>G2657*AP2657</f>
      </c>
      <c r="BJ2657" s="111">
        <f>G2657*H2657</f>
      </c>
      <c r="BK2657" s="111"/>
      <c r="BL2657" s="111"/>
      <c r="BW2657" s="111" t="n">
        <v>21</v>
      </c>
      <c r="BX2657" s="14" t="s">
        <v>4144</v>
      </c>
    </row>
    <row r="2658">
      <c r="A2658" s="9" t="s">
        <v>4146</v>
      </c>
      <c r="B2658" s="10" t="s">
        <v>91</v>
      </c>
      <c r="C2658" s="10" t="s">
        <v>4147</v>
      </c>
      <c r="D2658" s="14" t="s">
        <v>4148</v>
      </c>
      <c r="E2658" s="10"/>
      <c r="F2658" s="10" t="s">
        <v>1324</v>
      </c>
      <c r="G2658" s="111" t="n">
        <v>8</v>
      </c>
      <c r="H2658" s="152" t="n">
        <v>0</v>
      </c>
      <c r="I2658" s="111">
        <f>G2658*H2658</f>
      </c>
      <c r="J2658" s="153" t="s">
        <v>4</v>
      </c>
      <c r="K2658" s="146"/>
      <c r="Z2658" s="111">
        <f>IF(AQ2658="5",BJ2658,0)</f>
      </c>
      <c r="AB2658" s="111">
        <f>IF(AQ2658="1",BH2658,0)</f>
      </c>
      <c r="AC2658" s="111">
        <f>IF(AQ2658="1",BI2658,0)</f>
      </c>
      <c r="AD2658" s="111">
        <f>IF(AQ2658="7",BH2658,0)</f>
      </c>
      <c r="AE2658" s="111">
        <f>IF(AQ2658="7",BI2658,0)</f>
      </c>
      <c r="AF2658" s="111">
        <f>IF(AQ2658="2",BH2658,0)</f>
      </c>
      <c r="AG2658" s="111">
        <f>IF(AQ2658="2",BI2658,0)</f>
      </c>
      <c r="AH2658" s="111">
        <f>IF(AQ2658="0",BJ2658,0)</f>
      </c>
      <c r="AI2658" s="132" t="s">
        <v>91</v>
      </c>
      <c r="AJ2658" s="111">
        <f>IF(AN2658=0,I2658,0)</f>
      </c>
      <c r="AK2658" s="111">
        <f>IF(AN2658=12,I2658,0)</f>
      </c>
      <c r="AL2658" s="111">
        <f>IF(AN2658=21,I2658,0)</f>
      </c>
      <c r="AN2658" s="111" t="n">
        <v>21</v>
      </c>
      <c r="AO2658" s="111">
        <f>H2658*0</f>
      </c>
      <c r="AP2658" s="111">
        <f>H2658*(1-0)</f>
      </c>
      <c r="AQ2658" s="153" t="s">
        <v>130</v>
      </c>
      <c r="AV2658" s="111">
        <f>AW2658+AX2658</f>
      </c>
      <c r="AW2658" s="111">
        <f>G2658*AO2658</f>
      </c>
      <c r="AX2658" s="111">
        <f>G2658*AP2658</f>
      </c>
      <c r="AY2658" s="153" t="s">
        <v>4145</v>
      </c>
      <c r="AZ2658" s="153" t="s">
        <v>4137</v>
      </c>
      <c r="BA2658" s="132" t="s">
        <v>4138</v>
      </c>
      <c r="BC2658" s="111">
        <f>AW2658+AX2658</f>
      </c>
      <c r="BD2658" s="111">
        <f>H2658/(100-BE2658)*100</f>
      </c>
      <c r="BE2658" s="111" t="n">
        <v>0</v>
      </c>
      <c r="BF2658" s="111">
        <f>2658</f>
      </c>
      <c r="BH2658" s="111">
        <f>G2658*AO2658</f>
      </c>
      <c r="BI2658" s="111">
        <f>G2658*AP2658</f>
      </c>
      <c r="BJ2658" s="111">
        <f>G2658*H2658</f>
      </c>
      <c r="BK2658" s="111"/>
      <c r="BL2658" s="111"/>
      <c r="BW2658" s="111" t="n">
        <v>21</v>
      </c>
      <c r="BX2658" s="14" t="s">
        <v>4148</v>
      </c>
    </row>
    <row r="2659">
      <c r="A2659" s="9" t="s">
        <v>4149</v>
      </c>
      <c r="B2659" s="10" t="s">
        <v>91</v>
      </c>
      <c r="C2659" s="10" t="s">
        <v>4150</v>
      </c>
      <c r="D2659" s="14" t="s">
        <v>4151</v>
      </c>
      <c r="E2659" s="10"/>
      <c r="F2659" s="10" t="s">
        <v>1962</v>
      </c>
      <c r="G2659" s="111" t="n">
        <v>1</v>
      </c>
      <c r="H2659" s="152" t="n">
        <v>0</v>
      </c>
      <c r="I2659" s="111">
        <f>G2659*H2659</f>
      </c>
      <c r="J2659" s="153" t="s">
        <v>4</v>
      </c>
      <c r="K2659" s="146"/>
      <c r="Z2659" s="111">
        <f>IF(AQ2659="5",BJ2659,0)</f>
      </c>
      <c r="AB2659" s="111">
        <f>IF(AQ2659="1",BH2659,0)</f>
      </c>
      <c r="AC2659" s="111">
        <f>IF(AQ2659="1",BI2659,0)</f>
      </c>
      <c r="AD2659" s="111">
        <f>IF(AQ2659="7",BH2659,0)</f>
      </c>
      <c r="AE2659" s="111">
        <f>IF(AQ2659="7",BI2659,0)</f>
      </c>
      <c r="AF2659" s="111">
        <f>IF(AQ2659="2",BH2659,0)</f>
      </c>
      <c r="AG2659" s="111">
        <f>IF(AQ2659="2",BI2659,0)</f>
      </c>
      <c r="AH2659" s="111">
        <f>IF(AQ2659="0",BJ2659,0)</f>
      </c>
      <c r="AI2659" s="132" t="s">
        <v>91</v>
      </c>
      <c r="AJ2659" s="111">
        <f>IF(AN2659=0,I2659,0)</f>
      </c>
      <c r="AK2659" s="111">
        <f>IF(AN2659=12,I2659,0)</f>
      </c>
      <c r="AL2659" s="111">
        <f>IF(AN2659=21,I2659,0)</f>
      </c>
      <c r="AN2659" s="111" t="n">
        <v>21</v>
      </c>
      <c r="AO2659" s="111">
        <f>H2659*0</f>
      </c>
      <c r="AP2659" s="111">
        <f>H2659*(1-0)</f>
      </c>
      <c r="AQ2659" s="153" t="s">
        <v>130</v>
      </c>
      <c r="AV2659" s="111">
        <f>AW2659+AX2659</f>
      </c>
      <c r="AW2659" s="111">
        <f>G2659*AO2659</f>
      </c>
      <c r="AX2659" s="111">
        <f>G2659*AP2659</f>
      </c>
      <c r="AY2659" s="153" t="s">
        <v>4145</v>
      </c>
      <c r="AZ2659" s="153" t="s">
        <v>4137</v>
      </c>
      <c r="BA2659" s="132" t="s">
        <v>4138</v>
      </c>
      <c r="BC2659" s="111">
        <f>AW2659+AX2659</f>
      </c>
      <c r="BD2659" s="111">
        <f>H2659/(100-BE2659)*100</f>
      </c>
      <c r="BE2659" s="111" t="n">
        <v>0</v>
      </c>
      <c r="BF2659" s="111">
        <f>2659</f>
      </c>
      <c r="BH2659" s="111">
        <f>G2659*AO2659</f>
      </c>
      <c r="BI2659" s="111">
        <f>G2659*AP2659</f>
      </c>
      <c r="BJ2659" s="111">
        <f>G2659*H2659</f>
      </c>
      <c r="BK2659" s="111"/>
      <c r="BL2659" s="111"/>
      <c r="BW2659" s="111" t="n">
        <v>21</v>
      </c>
      <c r="BX2659" s="14" t="s">
        <v>4151</v>
      </c>
    </row>
    <row r="2660">
      <c r="A2660" s="9" t="s">
        <v>4152</v>
      </c>
      <c r="B2660" s="10" t="s">
        <v>91</v>
      </c>
      <c r="C2660" s="10" t="s">
        <v>4114</v>
      </c>
      <c r="D2660" s="14" t="s">
        <v>4153</v>
      </c>
      <c r="E2660" s="10"/>
      <c r="F2660" s="10" t="s">
        <v>3860</v>
      </c>
      <c r="G2660" s="111" t="n">
        <v>2</v>
      </c>
      <c r="H2660" s="152" t="n">
        <v>0</v>
      </c>
      <c r="I2660" s="111">
        <f>G2660*H2660</f>
      </c>
      <c r="J2660" s="153" t="s">
        <v>4</v>
      </c>
      <c r="K2660" s="146"/>
      <c r="Z2660" s="111">
        <f>IF(AQ2660="5",BJ2660,0)</f>
      </c>
      <c r="AB2660" s="111">
        <f>IF(AQ2660="1",BH2660,0)</f>
      </c>
      <c r="AC2660" s="111">
        <f>IF(AQ2660="1",BI2660,0)</f>
      </c>
      <c r="AD2660" s="111">
        <f>IF(AQ2660="7",BH2660,0)</f>
      </c>
      <c r="AE2660" s="111">
        <f>IF(AQ2660="7",BI2660,0)</f>
      </c>
      <c r="AF2660" s="111">
        <f>IF(AQ2660="2",BH2660,0)</f>
      </c>
      <c r="AG2660" s="111">
        <f>IF(AQ2660="2",BI2660,0)</f>
      </c>
      <c r="AH2660" s="111">
        <f>IF(AQ2660="0",BJ2660,0)</f>
      </c>
      <c r="AI2660" s="132" t="s">
        <v>91</v>
      </c>
      <c r="AJ2660" s="111">
        <f>IF(AN2660=0,I2660,0)</f>
      </c>
      <c r="AK2660" s="111">
        <f>IF(AN2660=12,I2660,0)</f>
      </c>
      <c r="AL2660" s="111">
        <f>IF(AN2660=21,I2660,0)</f>
      </c>
      <c r="AN2660" s="111" t="n">
        <v>21</v>
      </c>
      <c r="AO2660" s="111">
        <f>H2660*0</f>
      </c>
      <c r="AP2660" s="111">
        <f>H2660*(1-0)</f>
      </c>
      <c r="AQ2660" s="153" t="s">
        <v>130</v>
      </c>
      <c r="AV2660" s="111">
        <f>AW2660+AX2660</f>
      </c>
      <c r="AW2660" s="111">
        <f>G2660*AO2660</f>
      </c>
      <c r="AX2660" s="111">
        <f>G2660*AP2660</f>
      </c>
      <c r="AY2660" s="153" t="s">
        <v>4145</v>
      </c>
      <c r="AZ2660" s="153" t="s">
        <v>4137</v>
      </c>
      <c r="BA2660" s="132" t="s">
        <v>4138</v>
      </c>
      <c r="BC2660" s="111">
        <f>AW2660+AX2660</f>
      </c>
      <c r="BD2660" s="111">
        <f>H2660/(100-BE2660)*100</f>
      </c>
      <c r="BE2660" s="111" t="n">
        <v>0</v>
      </c>
      <c r="BF2660" s="111">
        <f>2660</f>
      </c>
      <c r="BH2660" s="111">
        <f>G2660*AO2660</f>
      </c>
      <c r="BI2660" s="111">
        <f>G2660*AP2660</f>
      </c>
      <c r="BJ2660" s="111">
        <f>G2660*H2660</f>
      </c>
      <c r="BK2660" s="111"/>
      <c r="BL2660" s="111"/>
      <c r="BW2660" s="111" t="n">
        <v>21</v>
      </c>
      <c r="BX2660" s="14" t="s">
        <v>4153</v>
      </c>
    </row>
    <row r="2661">
      <c r="A2661" s="9" t="s">
        <v>4154</v>
      </c>
      <c r="B2661" s="10" t="s">
        <v>91</v>
      </c>
      <c r="C2661" s="10" t="s">
        <v>4129</v>
      </c>
      <c r="D2661" s="14" t="s">
        <v>4155</v>
      </c>
      <c r="E2661" s="10"/>
      <c r="F2661" s="10" t="s">
        <v>2935</v>
      </c>
      <c r="G2661" s="111" t="n">
        <v>1</v>
      </c>
      <c r="H2661" s="152" t="n">
        <v>0</v>
      </c>
      <c r="I2661" s="111">
        <f>G2661*H2661</f>
      </c>
      <c r="J2661" s="153" t="s">
        <v>4</v>
      </c>
      <c r="K2661" s="146"/>
      <c r="Z2661" s="111">
        <f>IF(AQ2661="5",BJ2661,0)</f>
      </c>
      <c r="AB2661" s="111">
        <f>IF(AQ2661="1",BH2661,0)</f>
      </c>
      <c r="AC2661" s="111">
        <f>IF(AQ2661="1",BI2661,0)</f>
      </c>
      <c r="AD2661" s="111">
        <f>IF(AQ2661="7",BH2661,0)</f>
      </c>
      <c r="AE2661" s="111">
        <f>IF(AQ2661="7",BI2661,0)</f>
      </c>
      <c r="AF2661" s="111">
        <f>IF(AQ2661="2",BH2661,0)</f>
      </c>
      <c r="AG2661" s="111">
        <f>IF(AQ2661="2",BI2661,0)</f>
      </c>
      <c r="AH2661" s="111">
        <f>IF(AQ2661="0",BJ2661,0)</f>
      </c>
      <c r="AI2661" s="132" t="s">
        <v>91</v>
      </c>
      <c r="AJ2661" s="111">
        <f>IF(AN2661=0,I2661,0)</f>
      </c>
      <c r="AK2661" s="111">
        <f>IF(AN2661=12,I2661,0)</f>
      </c>
      <c r="AL2661" s="111">
        <f>IF(AN2661=21,I2661,0)</f>
      </c>
      <c r="AN2661" s="111" t="n">
        <v>21</v>
      </c>
      <c r="AO2661" s="111">
        <f>H2661*0</f>
      </c>
      <c r="AP2661" s="111">
        <f>H2661*(1-0)</f>
      </c>
      <c r="AQ2661" s="153" t="s">
        <v>130</v>
      </c>
      <c r="AV2661" s="111">
        <f>AW2661+AX2661</f>
      </c>
      <c r="AW2661" s="111">
        <f>G2661*AO2661</f>
      </c>
      <c r="AX2661" s="111">
        <f>G2661*AP2661</f>
      </c>
      <c r="AY2661" s="153" t="s">
        <v>4145</v>
      </c>
      <c r="AZ2661" s="153" t="s">
        <v>4137</v>
      </c>
      <c r="BA2661" s="132" t="s">
        <v>4138</v>
      </c>
      <c r="BC2661" s="111">
        <f>AW2661+AX2661</f>
      </c>
      <c r="BD2661" s="111">
        <f>H2661/(100-BE2661)*100</f>
      </c>
      <c r="BE2661" s="111" t="n">
        <v>0</v>
      </c>
      <c r="BF2661" s="111">
        <f>2661</f>
      </c>
      <c r="BH2661" s="111">
        <f>G2661*AO2661</f>
      </c>
      <c r="BI2661" s="111">
        <f>G2661*AP2661</f>
      </c>
      <c r="BJ2661" s="111">
        <f>G2661*H2661</f>
      </c>
      <c r="BK2661" s="111"/>
      <c r="BL2661" s="111"/>
      <c r="BW2661" s="111" t="n">
        <v>21</v>
      </c>
      <c r="BX2661" s="14" t="s">
        <v>4155</v>
      </c>
    </row>
    <row r="2662">
      <c r="A2662" s="9" t="s">
        <v>4156</v>
      </c>
      <c r="B2662" s="10" t="s">
        <v>91</v>
      </c>
      <c r="C2662" s="10" t="s">
        <v>4132</v>
      </c>
      <c r="D2662" s="14" t="s">
        <v>4157</v>
      </c>
      <c r="E2662" s="10"/>
      <c r="F2662" s="10" t="s">
        <v>2277</v>
      </c>
      <c r="G2662" s="111" t="n">
        <v>1</v>
      </c>
      <c r="H2662" s="152" t="n">
        <v>0</v>
      </c>
      <c r="I2662" s="111">
        <f>G2662*H2662</f>
      </c>
      <c r="J2662" s="153" t="s">
        <v>4</v>
      </c>
      <c r="K2662" s="146"/>
      <c r="Z2662" s="111">
        <f>IF(AQ2662="5",BJ2662,0)</f>
      </c>
      <c r="AB2662" s="111">
        <f>IF(AQ2662="1",BH2662,0)</f>
      </c>
      <c r="AC2662" s="111">
        <f>IF(AQ2662="1",BI2662,0)</f>
      </c>
      <c r="AD2662" s="111">
        <f>IF(AQ2662="7",BH2662,0)</f>
      </c>
      <c r="AE2662" s="111">
        <f>IF(AQ2662="7",BI2662,0)</f>
      </c>
      <c r="AF2662" s="111">
        <f>IF(AQ2662="2",BH2662,0)</f>
      </c>
      <c r="AG2662" s="111">
        <f>IF(AQ2662="2",BI2662,0)</f>
      </c>
      <c r="AH2662" s="111">
        <f>IF(AQ2662="0",BJ2662,0)</f>
      </c>
      <c r="AI2662" s="132" t="s">
        <v>91</v>
      </c>
      <c r="AJ2662" s="111">
        <f>IF(AN2662=0,I2662,0)</f>
      </c>
      <c r="AK2662" s="111">
        <f>IF(AN2662=12,I2662,0)</f>
      </c>
      <c r="AL2662" s="111">
        <f>IF(AN2662=21,I2662,0)</f>
      </c>
      <c r="AN2662" s="111" t="n">
        <v>21</v>
      </c>
      <c r="AO2662" s="111">
        <f>H2662*0</f>
      </c>
      <c r="AP2662" s="111">
        <f>H2662*(1-0)</f>
      </c>
      <c r="AQ2662" s="153" t="s">
        <v>130</v>
      </c>
      <c r="AV2662" s="111">
        <f>AW2662+AX2662</f>
      </c>
      <c r="AW2662" s="111">
        <f>G2662*AO2662</f>
      </c>
      <c r="AX2662" s="111">
        <f>G2662*AP2662</f>
      </c>
      <c r="AY2662" s="153" t="s">
        <v>4145</v>
      </c>
      <c r="AZ2662" s="153" t="s">
        <v>4137</v>
      </c>
      <c r="BA2662" s="132" t="s">
        <v>4138</v>
      </c>
      <c r="BC2662" s="111">
        <f>AW2662+AX2662</f>
      </c>
      <c r="BD2662" s="111">
        <f>H2662/(100-BE2662)*100</f>
      </c>
      <c r="BE2662" s="111" t="n">
        <v>0</v>
      </c>
      <c r="BF2662" s="111">
        <f>2662</f>
      </c>
      <c r="BH2662" s="111">
        <f>G2662*AO2662</f>
      </c>
      <c r="BI2662" s="111">
        <f>G2662*AP2662</f>
      </c>
      <c r="BJ2662" s="111">
        <f>G2662*H2662</f>
      </c>
      <c r="BK2662" s="111"/>
      <c r="BL2662" s="111"/>
      <c r="BW2662" s="111" t="n">
        <v>21</v>
      </c>
      <c r="BX2662" s="14" t="s">
        <v>4157</v>
      </c>
    </row>
    <row r="2663">
      <c r="A2663" s="9" t="s">
        <v>4158</v>
      </c>
      <c r="B2663" s="10" t="s">
        <v>91</v>
      </c>
      <c r="C2663" s="10" t="s">
        <v>4159</v>
      </c>
      <c r="D2663" s="14" t="s">
        <v>4160</v>
      </c>
      <c r="E2663" s="10"/>
      <c r="F2663" s="10" t="s">
        <v>2935</v>
      </c>
      <c r="G2663" s="111" t="n">
        <v>1</v>
      </c>
      <c r="H2663" s="152" t="n">
        <v>0</v>
      </c>
      <c r="I2663" s="111">
        <f>G2663*H2663</f>
      </c>
      <c r="J2663" s="153" t="s">
        <v>4</v>
      </c>
      <c r="K2663" s="146"/>
      <c r="Z2663" s="111">
        <f>IF(AQ2663="5",BJ2663,0)</f>
      </c>
      <c r="AB2663" s="111">
        <f>IF(AQ2663="1",BH2663,0)</f>
      </c>
      <c r="AC2663" s="111">
        <f>IF(AQ2663="1",BI2663,0)</f>
      </c>
      <c r="AD2663" s="111">
        <f>IF(AQ2663="7",BH2663,0)</f>
      </c>
      <c r="AE2663" s="111">
        <f>IF(AQ2663="7",BI2663,0)</f>
      </c>
      <c r="AF2663" s="111">
        <f>IF(AQ2663="2",BH2663,0)</f>
      </c>
      <c r="AG2663" s="111">
        <f>IF(AQ2663="2",BI2663,0)</f>
      </c>
      <c r="AH2663" s="111">
        <f>IF(AQ2663="0",BJ2663,0)</f>
      </c>
      <c r="AI2663" s="132" t="s">
        <v>91</v>
      </c>
      <c r="AJ2663" s="111">
        <f>IF(AN2663=0,I2663,0)</f>
      </c>
      <c r="AK2663" s="111">
        <f>IF(AN2663=12,I2663,0)</f>
      </c>
      <c r="AL2663" s="111">
        <f>IF(AN2663=21,I2663,0)</f>
      </c>
      <c r="AN2663" s="111" t="n">
        <v>21</v>
      </c>
      <c r="AO2663" s="111">
        <f>H2663*0</f>
      </c>
      <c r="AP2663" s="111">
        <f>H2663*(1-0)</f>
      </c>
      <c r="AQ2663" s="153" t="s">
        <v>130</v>
      </c>
      <c r="AV2663" s="111">
        <f>AW2663+AX2663</f>
      </c>
      <c r="AW2663" s="111">
        <f>G2663*AO2663</f>
      </c>
      <c r="AX2663" s="111">
        <f>G2663*AP2663</f>
      </c>
      <c r="AY2663" s="153" t="s">
        <v>4145</v>
      </c>
      <c r="AZ2663" s="153" t="s">
        <v>4137</v>
      </c>
      <c r="BA2663" s="132" t="s">
        <v>4138</v>
      </c>
      <c r="BC2663" s="111">
        <f>AW2663+AX2663</f>
      </c>
      <c r="BD2663" s="111">
        <f>H2663/(100-BE2663)*100</f>
      </c>
      <c r="BE2663" s="111" t="n">
        <v>0</v>
      </c>
      <c r="BF2663" s="111">
        <f>2663</f>
      </c>
      <c r="BH2663" s="111">
        <f>G2663*AO2663</f>
      </c>
      <c r="BI2663" s="111">
        <f>G2663*AP2663</f>
      </c>
      <c r="BJ2663" s="111">
        <f>G2663*H2663</f>
      </c>
      <c r="BK2663" s="111"/>
      <c r="BL2663" s="111"/>
      <c r="BW2663" s="111" t="n">
        <v>21</v>
      </c>
      <c r="BX2663" s="14" t="s">
        <v>4160</v>
      </c>
    </row>
    <row r="2664">
      <c r="A2664" s="147" t="s">
        <v>4</v>
      </c>
      <c r="B2664" s="148" t="s">
        <v>91</v>
      </c>
      <c r="C2664" s="148" t="s">
        <v>1850</v>
      </c>
      <c r="D2664" s="149" t="s">
        <v>1851</v>
      </c>
      <c r="E2664" s="148"/>
      <c r="F2664" s="150" t="s">
        <v>79</v>
      </c>
      <c r="G2664" s="150" t="s">
        <v>79</v>
      </c>
      <c r="H2664" s="151" t="s">
        <v>79</v>
      </c>
      <c r="I2664" s="117">
        <f>SUM(I2665:I2688)</f>
      </c>
      <c r="J2664" s="132" t="s">
        <v>4</v>
      </c>
      <c r="K2664" s="146"/>
      <c r="AI2664" s="132" t="s">
        <v>91</v>
      </c>
      <c r="AS2664" s="117">
        <f>SUM(AJ2665:AJ2688)</f>
      </c>
      <c r="AT2664" s="117">
        <f>SUM(AK2665:AK2688)</f>
      </c>
      <c r="AU2664" s="117">
        <f>SUM(AL2665:AL2688)</f>
      </c>
    </row>
    <row r="2665" ht="24.75">
      <c r="A2665" s="9" t="s">
        <v>4161</v>
      </c>
      <c r="B2665" s="10" t="s">
        <v>91</v>
      </c>
      <c r="C2665" s="10" t="s">
        <v>4162</v>
      </c>
      <c r="D2665" s="14" t="s">
        <v>4163</v>
      </c>
      <c r="E2665" s="10"/>
      <c r="F2665" s="10" t="s">
        <v>145</v>
      </c>
      <c r="G2665" s="111" t="n">
        <v>1.74</v>
      </c>
      <c r="H2665" s="152" t="n">
        <v>0</v>
      </c>
      <c r="I2665" s="111">
        <f>G2665*H2665</f>
      </c>
      <c r="J2665" s="153" t="s">
        <v>4</v>
      </c>
      <c r="K2665" s="146"/>
      <c r="Z2665" s="111">
        <f>IF(AQ2665="5",BJ2665,0)</f>
      </c>
      <c r="AB2665" s="111">
        <f>IF(AQ2665="1",BH2665,0)</f>
      </c>
      <c r="AC2665" s="111">
        <f>IF(AQ2665="1",BI2665,0)</f>
      </c>
      <c r="AD2665" s="111">
        <f>IF(AQ2665="7",BH2665,0)</f>
      </c>
      <c r="AE2665" s="111">
        <f>IF(AQ2665="7",BI2665,0)</f>
      </c>
      <c r="AF2665" s="111">
        <f>IF(AQ2665="2",BH2665,0)</f>
      </c>
      <c r="AG2665" s="111">
        <f>IF(AQ2665="2",BI2665,0)</f>
      </c>
      <c r="AH2665" s="111">
        <f>IF(AQ2665="0",BJ2665,0)</f>
      </c>
      <c r="AI2665" s="132" t="s">
        <v>91</v>
      </c>
      <c r="AJ2665" s="111">
        <f>IF(AN2665=0,I2665,0)</f>
      </c>
      <c r="AK2665" s="111">
        <f>IF(AN2665=12,I2665,0)</f>
      </c>
      <c r="AL2665" s="111">
        <f>IF(AN2665=21,I2665,0)</f>
      </c>
      <c r="AN2665" s="111" t="n">
        <v>21</v>
      </c>
      <c r="AO2665" s="111">
        <f>H2665*0</f>
      </c>
      <c r="AP2665" s="111">
        <f>H2665*(1-0)</f>
      </c>
      <c r="AQ2665" s="153" t="s">
        <v>173</v>
      </c>
      <c r="AV2665" s="111">
        <f>AW2665+AX2665</f>
      </c>
      <c r="AW2665" s="111">
        <f>G2665*AO2665</f>
      </c>
      <c r="AX2665" s="111">
        <f>G2665*AP2665</f>
      </c>
      <c r="AY2665" s="153" t="s">
        <v>1855</v>
      </c>
      <c r="AZ2665" s="153" t="s">
        <v>4164</v>
      </c>
      <c r="BA2665" s="132" t="s">
        <v>4138</v>
      </c>
      <c r="BC2665" s="111">
        <f>AW2665+AX2665</f>
      </c>
      <c r="BD2665" s="111">
        <f>H2665/(100-BE2665)*100</f>
      </c>
      <c r="BE2665" s="111" t="n">
        <v>0</v>
      </c>
      <c r="BF2665" s="111">
        <f>2665</f>
      </c>
      <c r="BH2665" s="111">
        <f>G2665*AO2665</f>
      </c>
      <c r="BI2665" s="111">
        <f>G2665*AP2665</f>
      </c>
      <c r="BJ2665" s="111">
        <f>G2665*H2665</f>
      </c>
      <c r="BK2665" s="111"/>
      <c r="BL2665" s="111" t="n">
        <v>713</v>
      </c>
      <c r="BW2665" s="111" t="n">
        <v>21</v>
      </c>
      <c r="BX2665" s="14" t="s">
        <v>4163</v>
      </c>
    </row>
    <row r="2666">
      <c r="A2666" s="154"/>
      <c r="B2666" s="155"/>
      <c r="C2666" s="155"/>
      <c r="D2666" s="156" t="s">
        <v>4165</v>
      </c>
      <c r="E2666" s="156" t="s">
        <v>4166</v>
      </c>
      <c r="F2666" s="155"/>
      <c r="G2666" s="157" t="n">
        <v>1.74</v>
      </c>
      <c r="H2666" s="158"/>
      <c r="I2666" s="155"/>
      <c r="J2666" s="155"/>
      <c r="K2666" s="146"/>
    </row>
    <row r="2667" ht="24.75">
      <c r="A2667" s="9" t="s">
        <v>4167</v>
      </c>
      <c r="B2667" s="10" t="s">
        <v>91</v>
      </c>
      <c r="C2667" s="10" t="s">
        <v>4168</v>
      </c>
      <c r="D2667" s="14" t="s">
        <v>4169</v>
      </c>
      <c r="E2667" s="10"/>
      <c r="F2667" s="10" t="s">
        <v>145</v>
      </c>
      <c r="G2667" s="111" t="n">
        <v>22.96504</v>
      </c>
      <c r="H2667" s="152" t="n">
        <v>0</v>
      </c>
      <c r="I2667" s="111">
        <f>G2667*H2667</f>
      </c>
      <c r="J2667" s="153" t="s">
        <v>4</v>
      </c>
      <c r="K2667" s="146"/>
      <c r="Z2667" s="111">
        <f>IF(AQ2667="5",BJ2667,0)</f>
      </c>
      <c r="AB2667" s="111">
        <f>IF(AQ2667="1",BH2667,0)</f>
      </c>
      <c r="AC2667" s="111">
        <f>IF(AQ2667="1",BI2667,0)</f>
      </c>
      <c r="AD2667" s="111">
        <f>IF(AQ2667="7",BH2667,0)</f>
      </c>
      <c r="AE2667" s="111">
        <f>IF(AQ2667="7",BI2667,0)</f>
      </c>
      <c r="AF2667" s="111">
        <f>IF(AQ2667="2",BH2667,0)</f>
      </c>
      <c r="AG2667" s="111">
        <f>IF(AQ2667="2",BI2667,0)</f>
      </c>
      <c r="AH2667" s="111">
        <f>IF(AQ2667="0",BJ2667,0)</f>
      </c>
      <c r="AI2667" s="132" t="s">
        <v>91</v>
      </c>
      <c r="AJ2667" s="111">
        <f>IF(AN2667=0,I2667,0)</f>
      </c>
      <c r="AK2667" s="111">
        <f>IF(AN2667=12,I2667,0)</f>
      </c>
      <c r="AL2667" s="111">
        <f>IF(AN2667=21,I2667,0)</f>
      </c>
      <c r="AN2667" s="111" t="n">
        <v>21</v>
      </c>
      <c r="AO2667" s="111">
        <f>H2667*0</f>
      </c>
      <c r="AP2667" s="111">
        <f>H2667*(1-0)</f>
      </c>
      <c r="AQ2667" s="153" t="s">
        <v>173</v>
      </c>
      <c r="AV2667" s="111">
        <f>AW2667+AX2667</f>
      </c>
      <c r="AW2667" s="111">
        <f>G2667*AO2667</f>
      </c>
      <c r="AX2667" s="111">
        <f>G2667*AP2667</f>
      </c>
      <c r="AY2667" s="153" t="s">
        <v>1855</v>
      </c>
      <c r="AZ2667" s="153" t="s">
        <v>4164</v>
      </c>
      <c r="BA2667" s="132" t="s">
        <v>4138</v>
      </c>
      <c r="BC2667" s="111">
        <f>AW2667+AX2667</f>
      </c>
      <c r="BD2667" s="111">
        <f>H2667/(100-BE2667)*100</f>
      </c>
      <c r="BE2667" s="111" t="n">
        <v>0</v>
      </c>
      <c r="BF2667" s="111">
        <f>2667</f>
      </c>
      <c r="BH2667" s="111">
        <f>G2667*AO2667</f>
      </c>
      <c r="BI2667" s="111">
        <f>G2667*AP2667</f>
      </c>
      <c r="BJ2667" s="111">
        <f>G2667*H2667</f>
      </c>
      <c r="BK2667" s="111"/>
      <c r="BL2667" s="111" t="n">
        <v>713</v>
      </c>
      <c r="BW2667" s="111" t="n">
        <v>21</v>
      </c>
      <c r="BX2667" s="14" t="s">
        <v>4169</v>
      </c>
    </row>
    <row r="2668">
      <c r="A2668" s="154"/>
      <c r="B2668" s="155"/>
      <c r="C2668" s="155"/>
      <c r="D2668" s="156" t="s">
        <v>4170</v>
      </c>
      <c r="E2668" s="156" t="s">
        <v>4171</v>
      </c>
      <c r="F2668" s="155"/>
      <c r="G2668" s="157" t="n">
        <v>3.05363</v>
      </c>
      <c r="H2668" s="158"/>
      <c r="I2668" s="155"/>
      <c r="J2668" s="155"/>
      <c r="K2668" s="146"/>
    </row>
    <row r="2669">
      <c r="A2669" s="154"/>
      <c r="B2669" s="155"/>
      <c r="C2669" s="155"/>
      <c r="D2669" s="156" t="s">
        <v>4172</v>
      </c>
      <c r="E2669" s="156" t="s">
        <v>4173</v>
      </c>
      <c r="F2669" s="155"/>
      <c r="G2669" s="157" t="n">
        <v>0.69115</v>
      </c>
      <c r="H2669" s="158"/>
      <c r="I2669" s="155"/>
      <c r="J2669" s="155"/>
      <c r="K2669" s="146"/>
    </row>
    <row r="2670">
      <c r="A2670" s="154"/>
      <c r="B2670" s="155"/>
      <c r="C2670" s="155"/>
      <c r="D2670" s="156" t="s">
        <v>4174</v>
      </c>
      <c r="E2670" s="156" t="s">
        <v>4175</v>
      </c>
      <c r="F2670" s="155"/>
      <c r="G2670" s="157" t="n">
        <v>5.80566</v>
      </c>
      <c r="H2670" s="158"/>
      <c r="I2670" s="155"/>
      <c r="J2670" s="155"/>
      <c r="K2670" s="146"/>
    </row>
    <row r="2671">
      <c r="A2671" s="154"/>
      <c r="B2671" s="155"/>
      <c r="C2671" s="155"/>
      <c r="D2671" s="156" t="s">
        <v>4176</v>
      </c>
      <c r="E2671" s="156" t="s">
        <v>4177</v>
      </c>
      <c r="F2671" s="155"/>
      <c r="G2671" s="157" t="n">
        <v>13.4146</v>
      </c>
      <c r="H2671" s="158"/>
      <c r="I2671" s="155"/>
      <c r="J2671" s="155"/>
      <c r="K2671" s="146"/>
    </row>
    <row r="2672">
      <c r="A2672" s="9" t="s">
        <v>4178</v>
      </c>
      <c r="B2672" s="10" t="s">
        <v>91</v>
      </c>
      <c r="C2672" s="10" t="s">
        <v>4179</v>
      </c>
      <c r="D2672" s="14" t="s">
        <v>1336</v>
      </c>
      <c r="E2672" s="10"/>
      <c r="F2672" s="10" t="s">
        <v>1324</v>
      </c>
      <c r="G2672" s="111" t="n">
        <v>16</v>
      </c>
      <c r="H2672" s="152" t="n">
        <v>0</v>
      </c>
      <c r="I2672" s="111">
        <f>G2672*H2672</f>
      </c>
      <c r="J2672" s="153" t="s">
        <v>4</v>
      </c>
      <c r="K2672" s="146"/>
      <c r="Z2672" s="111">
        <f>IF(AQ2672="5",BJ2672,0)</f>
      </c>
      <c r="AB2672" s="111">
        <f>IF(AQ2672="1",BH2672,0)</f>
      </c>
      <c r="AC2672" s="111">
        <f>IF(AQ2672="1",BI2672,0)</f>
      </c>
      <c r="AD2672" s="111">
        <f>IF(AQ2672="7",BH2672,0)</f>
      </c>
      <c r="AE2672" s="111">
        <f>IF(AQ2672="7",BI2672,0)</f>
      </c>
      <c r="AF2672" s="111">
        <f>IF(AQ2672="2",BH2672,0)</f>
      </c>
      <c r="AG2672" s="111">
        <f>IF(AQ2672="2",BI2672,0)</f>
      </c>
      <c r="AH2672" s="111">
        <f>IF(AQ2672="0",BJ2672,0)</f>
      </c>
      <c r="AI2672" s="132" t="s">
        <v>91</v>
      </c>
      <c r="AJ2672" s="111">
        <f>IF(AN2672=0,I2672,0)</f>
      </c>
      <c r="AK2672" s="111">
        <f>IF(AN2672=12,I2672,0)</f>
      </c>
      <c r="AL2672" s="111">
        <f>IF(AN2672=21,I2672,0)</f>
      </c>
      <c r="AN2672" s="111" t="n">
        <v>21</v>
      </c>
      <c r="AO2672" s="111">
        <f>H2672*0</f>
      </c>
      <c r="AP2672" s="111">
        <f>H2672*(1-0)</f>
      </c>
      <c r="AQ2672" s="153" t="s">
        <v>173</v>
      </c>
      <c r="AV2672" s="111">
        <f>AW2672+AX2672</f>
      </c>
      <c r="AW2672" s="111">
        <f>G2672*AO2672</f>
      </c>
      <c r="AX2672" s="111">
        <f>G2672*AP2672</f>
      </c>
      <c r="AY2672" s="153" t="s">
        <v>1855</v>
      </c>
      <c r="AZ2672" s="153" t="s">
        <v>4164</v>
      </c>
      <c r="BA2672" s="132" t="s">
        <v>4138</v>
      </c>
      <c r="BC2672" s="111">
        <f>AW2672+AX2672</f>
      </c>
      <c r="BD2672" s="111">
        <f>H2672/(100-BE2672)*100</f>
      </c>
      <c r="BE2672" s="111" t="n">
        <v>0</v>
      </c>
      <c r="BF2672" s="111">
        <f>2672</f>
      </c>
      <c r="BH2672" s="111">
        <f>G2672*AO2672</f>
      </c>
      <c r="BI2672" s="111">
        <f>G2672*AP2672</f>
      </c>
      <c r="BJ2672" s="111">
        <f>G2672*H2672</f>
      </c>
      <c r="BK2672" s="111"/>
      <c r="BL2672" s="111" t="n">
        <v>713</v>
      </c>
      <c r="BW2672" s="111" t="n">
        <v>21</v>
      </c>
      <c r="BX2672" s="14" t="s">
        <v>1336</v>
      </c>
    </row>
    <row r="2673">
      <c r="A2673" s="9" t="s">
        <v>4180</v>
      </c>
      <c r="B2673" s="10" t="s">
        <v>91</v>
      </c>
      <c r="C2673" s="10" t="s">
        <v>4181</v>
      </c>
      <c r="D2673" s="14" t="s">
        <v>4182</v>
      </c>
      <c r="E2673" s="10"/>
      <c r="F2673" s="10" t="s">
        <v>61</v>
      </c>
      <c r="G2673" s="111" t="n">
        <v>1820.6</v>
      </c>
      <c r="H2673" s="152" t="n">
        <v>0</v>
      </c>
      <c r="I2673" s="111">
        <f>G2673*H2673</f>
      </c>
      <c r="J2673" s="153" t="s">
        <v>4</v>
      </c>
      <c r="K2673" s="146"/>
      <c r="Z2673" s="111">
        <f>IF(AQ2673="5",BJ2673,0)</f>
      </c>
      <c r="AB2673" s="111">
        <f>IF(AQ2673="1",BH2673,0)</f>
      </c>
      <c r="AC2673" s="111">
        <f>IF(AQ2673="1",BI2673,0)</f>
      </c>
      <c r="AD2673" s="111">
        <f>IF(AQ2673="7",BH2673,0)</f>
      </c>
      <c r="AE2673" s="111">
        <f>IF(AQ2673="7",BI2673,0)</f>
      </c>
      <c r="AF2673" s="111">
        <f>IF(AQ2673="2",BH2673,0)</f>
      </c>
      <c r="AG2673" s="111">
        <f>IF(AQ2673="2",BI2673,0)</f>
      </c>
      <c r="AH2673" s="111">
        <f>IF(AQ2673="0",BJ2673,0)</f>
      </c>
      <c r="AI2673" s="132" t="s">
        <v>91</v>
      </c>
      <c r="AJ2673" s="111">
        <f>IF(AN2673=0,I2673,0)</f>
      </c>
      <c r="AK2673" s="111">
        <f>IF(AN2673=12,I2673,0)</f>
      </c>
      <c r="AL2673" s="111">
        <f>IF(AN2673=21,I2673,0)</f>
      </c>
      <c r="AN2673" s="111" t="n">
        <v>21</v>
      </c>
      <c r="AO2673" s="111">
        <f>H2673*0</f>
      </c>
      <c r="AP2673" s="111">
        <f>H2673*(1-0)</f>
      </c>
      <c r="AQ2673" s="153" t="s">
        <v>173</v>
      </c>
      <c r="AV2673" s="111">
        <f>AW2673+AX2673</f>
      </c>
      <c r="AW2673" s="111">
        <f>G2673*AO2673</f>
      </c>
      <c r="AX2673" s="111">
        <f>G2673*AP2673</f>
      </c>
      <c r="AY2673" s="153" t="s">
        <v>1855</v>
      </c>
      <c r="AZ2673" s="153" t="s">
        <v>4164</v>
      </c>
      <c r="BA2673" s="132" t="s">
        <v>4138</v>
      </c>
      <c r="BC2673" s="111">
        <f>AW2673+AX2673</f>
      </c>
      <c r="BD2673" s="111">
        <f>H2673/(100-BE2673)*100</f>
      </c>
      <c r="BE2673" s="111" t="n">
        <v>0</v>
      </c>
      <c r="BF2673" s="111">
        <f>2673</f>
      </c>
      <c r="BH2673" s="111">
        <f>G2673*AO2673</f>
      </c>
      <c r="BI2673" s="111">
        <f>G2673*AP2673</f>
      </c>
      <c r="BJ2673" s="111">
        <f>G2673*H2673</f>
      </c>
      <c r="BK2673" s="111"/>
      <c r="BL2673" s="111" t="n">
        <v>713</v>
      </c>
      <c r="BW2673" s="111" t="n">
        <v>21</v>
      </c>
      <c r="BX2673" s="14" t="s">
        <v>4182</v>
      </c>
    </row>
    <row r="2674">
      <c r="A2674" s="9" t="s">
        <v>4183</v>
      </c>
      <c r="B2674" s="10" t="s">
        <v>91</v>
      </c>
      <c r="C2674" s="10" t="s">
        <v>4184</v>
      </c>
      <c r="D2674" s="14" t="s">
        <v>4185</v>
      </c>
      <c r="E2674" s="10"/>
      <c r="F2674" s="10" t="s">
        <v>145</v>
      </c>
      <c r="G2674" s="111" t="n">
        <v>3</v>
      </c>
      <c r="H2674" s="152" t="n">
        <v>0</v>
      </c>
      <c r="I2674" s="111">
        <f>G2674*H2674</f>
      </c>
      <c r="J2674" s="153" t="s">
        <v>4</v>
      </c>
      <c r="K2674" s="146"/>
      <c r="Z2674" s="111">
        <f>IF(AQ2674="5",BJ2674,0)</f>
      </c>
      <c r="AB2674" s="111">
        <f>IF(AQ2674="1",BH2674,0)</f>
      </c>
      <c r="AC2674" s="111">
        <f>IF(AQ2674="1",BI2674,0)</f>
      </c>
      <c r="AD2674" s="111">
        <f>IF(AQ2674="7",BH2674,0)</f>
      </c>
      <c r="AE2674" s="111">
        <f>IF(AQ2674="7",BI2674,0)</f>
      </c>
      <c r="AF2674" s="111">
        <f>IF(AQ2674="2",BH2674,0)</f>
      </c>
      <c r="AG2674" s="111">
        <f>IF(AQ2674="2",BI2674,0)</f>
      </c>
      <c r="AH2674" s="111">
        <f>IF(AQ2674="0",BJ2674,0)</f>
      </c>
      <c r="AI2674" s="132" t="s">
        <v>91</v>
      </c>
      <c r="AJ2674" s="111">
        <f>IF(AN2674=0,I2674,0)</f>
      </c>
      <c r="AK2674" s="111">
        <f>IF(AN2674=12,I2674,0)</f>
      </c>
      <c r="AL2674" s="111">
        <f>IF(AN2674=21,I2674,0)</f>
      </c>
      <c r="AN2674" s="111" t="n">
        <v>21</v>
      </c>
      <c r="AO2674" s="111">
        <f>H2674*1</f>
      </c>
      <c r="AP2674" s="111">
        <f>H2674*(1-1)</f>
      </c>
      <c r="AQ2674" s="153" t="s">
        <v>173</v>
      </c>
      <c r="AV2674" s="111">
        <f>AW2674+AX2674</f>
      </c>
      <c r="AW2674" s="111">
        <f>G2674*AO2674</f>
      </c>
      <c r="AX2674" s="111">
        <f>G2674*AP2674</f>
      </c>
      <c r="AY2674" s="153" t="s">
        <v>1855</v>
      </c>
      <c r="AZ2674" s="153" t="s">
        <v>4164</v>
      </c>
      <c r="BA2674" s="132" t="s">
        <v>4138</v>
      </c>
      <c r="BC2674" s="111">
        <f>AW2674+AX2674</f>
      </c>
      <c r="BD2674" s="111">
        <f>H2674/(100-BE2674)*100</f>
      </c>
      <c r="BE2674" s="111" t="n">
        <v>0</v>
      </c>
      <c r="BF2674" s="111">
        <f>2674</f>
      </c>
      <c r="BH2674" s="111">
        <f>G2674*AO2674</f>
      </c>
      <c r="BI2674" s="111">
        <f>G2674*AP2674</f>
      </c>
      <c r="BJ2674" s="111">
        <f>G2674*H2674</f>
      </c>
      <c r="BK2674" s="111"/>
      <c r="BL2674" s="111" t="n">
        <v>713</v>
      </c>
      <c r="BW2674" s="111" t="n">
        <v>21</v>
      </c>
      <c r="BX2674" s="14" t="s">
        <v>4185</v>
      </c>
    </row>
    <row r="2675">
      <c r="A2675" s="9" t="s">
        <v>4186</v>
      </c>
      <c r="B2675" s="10" t="s">
        <v>91</v>
      </c>
      <c r="C2675" s="10" t="s">
        <v>4187</v>
      </c>
      <c r="D2675" s="14" t="s">
        <v>4188</v>
      </c>
      <c r="E2675" s="10"/>
      <c r="F2675" s="10" t="s">
        <v>282</v>
      </c>
      <c r="G2675" s="111" t="n">
        <v>59.4</v>
      </c>
      <c r="H2675" s="152" t="n">
        <v>0</v>
      </c>
      <c r="I2675" s="111">
        <f>G2675*H2675</f>
      </c>
      <c r="J2675" s="153" t="s">
        <v>4</v>
      </c>
      <c r="K2675" s="146"/>
      <c r="Z2675" s="111">
        <f>IF(AQ2675="5",BJ2675,0)</f>
      </c>
      <c r="AB2675" s="111">
        <f>IF(AQ2675="1",BH2675,0)</f>
      </c>
      <c r="AC2675" s="111">
        <f>IF(AQ2675="1",BI2675,0)</f>
      </c>
      <c r="AD2675" s="111">
        <f>IF(AQ2675="7",BH2675,0)</f>
      </c>
      <c r="AE2675" s="111">
        <f>IF(AQ2675="7",BI2675,0)</f>
      </c>
      <c r="AF2675" s="111">
        <f>IF(AQ2675="2",BH2675,0)</f>
      </c>
      <c r="AG2675" s="111">
        <f>IF(AQ2675="2",BI2675,0)</f>
      </c>
      <c r="AH2675" s="111">
        <f>IF(AQ2675="0",BJ2675,0)</f>
      </c>
      <c r="AI2675" s="132" t="s">
        <v>91</v>
      </c>
      <c r="AJ2675" s="111">
        <f>IF(AN2675=0,I2675,0)</f>
      </c>
      <c r="AK2675" s="111">
        <f>IF(AN2675=12,I2675,0)</f>
      </c>
      <c r="AL2675" s="111">
        <f>IF(AN2675=21,I2675,0)</f>
      </c>
      <c r="AN2675" s="111" t="n">
        <v>21</v>
      </c>
      <c r="AO2675" s="111">
        <f>H2675*1</f>
      </c>
      <c r="AP2675" s="111">
        <f>H2675*(1-1)</f>
      </c>
      <c r="AQ2675" s="153" t="s">
        <v>173</v>
      </c>
      <c r="AV2675" s="111">
        <f>AW2675+AX2675</f>
      </c>
      <c r="AW2675" s="111">
        <f>G2675*AO2675</f>
      </c>
      <c r="AX2675" s="111">
        <f>G2675*AP2675</f>
      </c>
      <c r="AY2675" s="153" t="s">
        <v>1855</v>
      </c>
      <c r="AZ2675" s="153" t="s">
        <v>4164</v>
      </c>
      <c r="BA2675" s="132" t="s">
        <v>4138</v>
      </c>
      <c r="BC2675" s="111">
        <f>AW2675+AX2675</f>
      </c>
      <c r="BD2675" s="111">
        <f>H2675/(100-BE2675)*100</f>
      </c>
      <c r="BE2675" s="111" t="n">
        <v>0</v>
      </c>
      <c r="BF2675" s="111">
        <f>2675</f>
      </c>
      <c r="BH2675" s="111">
        <f>G2675*AO2675</f>
      </c>
      <c r="BI2675" s="111">
        <f>G2675*AP2675</f>
      </c>
      <c r="BJ2675" s="111">
        <f>G2675*H2675</f>
      </c>
      <c r="BK2675" s="111"/>
      <c r="BL2675" s="111" t="n">
        <v>713</v>
      </c>
      <c r="BW2675" s="111" t="n">
        <v>21</v>
      </c>
      <c r="BX2675" s="14" t="s">
        <v>4188</v>
      </c>
    </row>
    <row r="2676">
      <c r="A2676" s="154"/>
      <c r="B2676" s="155"/>
      <c r="C2676" s="155"/>
      <c r="D2676" s="156" t="s">
        <v>4189</v>
      </c>
      <c r="E2676" s="156" t="s">
        <v>4</v>
      </c>
      <c r="F2676" s="155"/>
      <c r="G2676" s="157" t="n">
        <v>54</v>
      </c>
      <c r="H2676" s="158"/>
      <c r="I2676" s="155"/>
      <c r="J2676" s="155"/>
      <c r="K2676" s="146"/>
    </row>
    <row r="2677">
      <c r="A2677" s="154"/>
      <c r="B2677" s="155"/>
      <c r="C2677" s="155"/>
      <c r="D2677" s="156" t="s">
        <v>4190</v>
      </c>
      <c r="E2677" s="156" t="s">
        <v>4191</v>
      </c>
      <c r="F2677" s="155"/>
      <c r="G2677" s="157" t="n">
        <v>5.4</v>
      </c>
      <c r="H2677" s="158"/>
      <c r="I2677" s="155"/>
      <c r="J2677" s="155"/>
      <c r="K2677" s="146"/>
    </row>
    <row r="2678">
      <c r="A2678" s="9" t="s">
        <v>4192</v>
      </c>
      <c r="B2678" s="10" t="s">
        <v>91</v>
      </c>
      <c r="C2678" s="10" t="s">
        <v>4193</v>
      </c>
      <c r="D2678" s="14" t="s">
        <v>4188</v>
      </c>
      <c r="E2678" s="10"/>
      <c r="F2678" s="10" t="s">
        <v>282</v>
      </c>
      <c r="G2678" s="111" t="n">
        <v>11</v>
      </c>
      <c r="H2678" s="152" t="n">
        <v>0</v>
      </c>
      <c r="I2678" s="111">
        <f>G2678*H2678</f>
      </c>
      <c r="J2678" s="153" t="s">
        <v>4</v>
      </c>
      <c r="K2678" s="146"/>
      <c r="Z2678" s="111">
        <f>IF(AQ2678="5",BJ2678,0)</f>
      </c>
      <c r="AB2678" s="111">
        <f>IF(AQ2678="1",BH2678,0)</f>
      </c>
      <c r="AC2678" s="111">
        <f>IF(AQ2678="1",BI2678,0)</f>
      </c>
      <c r="AD2678" s="111">
        <f>IF(AQ2678="7",BH2678,0)</f>
      </c>
      <c r="AE2678" s="111">
        <f>IF(AQ2678="7",BI2678,0)</f>
      </c>
      <c r="AF2678" s="111">
        <f>IF(AQ2678="2",BH2678,0)</f>
      </c>
      <c r="AG2678" s="111">
        <f>IF(AQ2678="2",BI2678,0)</f>
      </c>
      <c r="AH2678" s="111">
        <f>IF(AQ2678="0",BJ2678,0)</f>
      </c>
      <c r="AI2678" s="132" t="s">
        <v>91</v>
      </c>
      <c r="AJ2678" s="111">
        <f>IF(AN2678=0,I2678,0)</f>
      </c>
      <c r="AK2678" s="111">
        <f>IF(AN2678=12,I2678,0)</f>
      </c>
      <c r="AL2678" s="111">
        <f>IF(AN2678=21,I2678,0)</f>
      </c>
      <c r="AN2678" s="111" t="n">
        <v>21</v>
      </c>
      <c r="AO2678" s="111">
        <f>H2678*1</f>
      </c>
      <c r="AP2678" s="111">
        <f>H2678*(1-1)</f>
      </c>
      <c r="AQ2678" s="153" t="s">
        <v>173</v>
      </c>
      <c r="AV2678" s="111">
        <f>AW2678+AX2678</f>
      </c>
      <c r="AW2678" s="111">
        <f>G2678*AO2678</f>
      </c>
      <c r="AX2678" s="111">
        <f>G2678*AP2678</f>
      </c>
      <c r="AY2678" s="153" t="s">
        <v>1855</v>
      </c>
      <c r="AZ2678" s="153" t="s">
        <v>4164</v>
      </c>
      <c r="BA2678" s="132" t="s">
        <v>4138</v>
      </c>
      <c r="BC2678" s="111">
        <f>AW2678+AX2678</f>
      </c>
      <c r="BD2678" s="111">
        <f>H2678/(100-BE2678)*100</f>
      </c>
      <c r="BE2678" s="111" t="n">
        <v>0</v>
      </c>
      <c r="BF2678" s="111">
        <f>2678</f>
      </c>
      <c r="BH2678" s="111">
        <f>G2678*AO2678</f>
      </c>
      <c r="BI2678" s="111">
        <f>G2678*AP2678</f>
      </c>
      <c r="BJ2678" s="111">
        <f>G2678*H2678</f>
      </c>
      <c r="BK2678" s="111"/>
      <c r="BL2678" s="111" t="n">
        <v>713</v>
      </c>
      <c r="BW2678" s="111" t="n">
        <v>21</v>
      </c>
      <c r="BX2678" s="14" t="s">
        <v>4188</v>
      </c>
    </row>
    <row r="2679">
      <c r="A2679" s="154"/>
      <c r="B2679" s="155"/>
      <c r="C2679" s="155"/>
      <c r="D2679" s="156" t="s">
        <v>4194</v>
      </c>
      <c r="E2679" s="156" t="s">
        <v>4</v>
      </c>
      <c r="F2679" s="155"/>
      <c r="G2679" s="157" t="n">
        <v>10</v>
      </c>
      <c r="H2679" s="158"/>
      <c r="I2679" s="155"/>
      <c r="J2679" s="155"/>
      <c r="K2679" s="146"/>
    </row>
    <row r="2680">
      <c r="A2680" s="154"/>
      <c r="B2680" s="155"/>
      <c r="C2680" s="155"/>
      <c r="D2680" s="156" t="s">
        <v>3910</v>
      </c>
      <c r="E2680" s="156" t="s">
        <v>4191</v>
      </c>
      <c r="F2680" s="155"/>
      <c r="G2680" s="157" t="n">
        <v>1</v>
      </c>
      <c r="H2680" s="158"/>
      <c r="I2680" s="155"/>
      <c r="J2680" s="155"/>
      <c r="K2680" s="146"/>
    </row>
    <row r="2681">
      <c r="A2681" s="9" t="s">
        <v>4195</v>
      </c>
      <c r="B2681" s="10" t="s">
        <v>91</v>
      </c>
      <c r="C2681" s="10" t="s">
        <v>4196</v>
      </c>
      <c r="D2681" s="14" t="s">
        <v>4197</v>
      </c>
      <c r="E2681" s="10"/>
      <c r="F2681" s="10" t="s">
        <v>282</v>
      </c>
      <c r="G2681" s="111" t="n">
        <v>80.6</v>
      </c>
      <c r="H2681" s="152" t="n">
        <v>0</v>
      </c>
      <c r="I2681" s="111">
        <f>G2681*H2681</f>
      </c>
      <c r="J2681" s="153" t="s">
        <v>4</v>
      </c>
      <c r="K2681" s="146"/>
      <c r="Z2681" s="111">
        <f>IF(AQ2681="5",BJ2681,0)</f>
      </c>
      <c r="AB2681" s="111">
        <f>IF(AQ2681="1",BH2681,0)</f>
      </c>
      <c r="AC2681" s="111">
        <f>IF(AQ2681="1",BI2681,0)</f>
      </c>
      <c r="AD2681" s="111">
        <f>IF(AQ2681="7",BH2681,0)</f>
      </c>
      <c r="AE2681" s="111">
        <f>IF(AQ2681="7",BI2681,0)</f>
      </c>
      <c r="AF2681" s="111">
        <f>IF(AQ2681="2",BH2681,0)</f>
      </c>
      <c r="AG2681" s="111">
        <f>IF(AQ2681="2",BI2681,0)</f>
      </c>
      <c r="AH2681" s="111">
        <f>IF(AQ2681="0",BJ2681,0)</f>
      </c>
      <c r="AI2681" s="132" t="s">
        <v>91</v>
      </c>
      <c r="AJ2681" s="111">
        <f>IF(AN2681=0,I2681,0)</f>
      </c>
      <c r="AK2681" s="111">
        <f>IF(AN2681=12,I2681,0)</f>
      </c>
      <c r="AL2681" s="111">
        <f>IF(AN2681=21,I2681,0)</f>
      </c>
      <c r="AN2681" s="111" t="n">
        <v>21</v>
      </c>
      <c r="AO2681" s="111">
        <f>H2681*1</f>
      </c>
      <c r="AP2681" s="111">
        <f>H2681*(1-1)</f>
      </c>
      <c r="AQ2681" s="153" t="s">
        <v>173</v>
      </c>
      <c r="AV2681" s="111">
        <f>AW2681+AX2681</f>
      </c>
      <c r="AW2681" s="111">
        <f>G2681*AO2681</f>
      </c>
      <c r="AX2681" s="111">
        <f>G2681*AP2681</f>
      </c>
      <c r="AY2681" s="153" t="s">
        <v>1855</v>
      </c>
      <c r="AZ2681" s="153" t="s">
        <v>4164</v>
      </c>
      <c r="BA2681" s="132" t="s">
        <v>4138</v>
      </c>
      <c r="BC2681" s="111">
        <f>AW2681+AX2681</f>
      </c>
      <c r="BD2681" s="111">
        <f>H2681/(100-BE2681)*100</f>
      </c>
      <c r="BE2681" s="111" t="n">
        <v>0</v>
      </c>
      <c r="BF2681" s="111">
        <f>2681</f>
      </c>
      <c r="BH2681" s="111">
        <f>G2681*AO2681</f>
      </c>
      <c r="BI2681" s="111">
        <f>G2681*AP2681</f>
      </c>
      <c r="BJ2681" s="111">
        <f>G2681*H2681</f>
      </c>
      <c r="BK2681" s="111"/>
      <c r="BL2681" s="111" t="n">
        <v>713</v>
      </c>
      <c r="BW2681" s="111" t="n">
        <v>21</v>
      </c>
      <c r="BX2681" s="14" t="s">
        <v>4197</v>
      </c>
    </row>
    <row r="2682">
      <c r="A2682" s="154"/>
      <c r="B2682" s="155"/>
      <c r="C2682" s="155"/>
      <c r="D2682" s="156" t="s">
        <v>4198</v>
      </c>
      <c r="E2682" s="156" t="s">
        <v>4</v>
      </c>
      <c r="F2682" s="155"/>
      <c r="G2682" s="157" t="n">
        <v>74</v>
      </c>
      <c r="H2682" s="158"/>
      <c r="I2682" s="155"/>
      <c r="J2682" s="155"/>
      <c r="K2682" s="146"/>
    </row>
    <row r="2683">
      <c r="A2683" s="154"/>
      <c r="B2683" s="155"/>
      <c r="C2683" s="155"/>
      <c r="D2683" s="156" t="s">
        <v>4199</v>
      </c>
      <c r="E2683" s="156" t="s">
        <v>4191</v>
      </c>
      <c r="F2683" s="155"/>
      <c r="G2683" s="157" t="n">
        <v>6.6</v>
      </c>
      <c r="H2683" s="158"/>
      <c r="I2683" s="155"/>
      <c r="J2683" s="155"/>
      <c r="K2683" s="146"/>
    </row>
    <row r="2684">
      <c r="A2684" s="9" t="s">
        <v>4200</v>
      </c>
      <c r="B2684" s="10" t="s">
        <v>91</v>
      </c>
      <c r="C2684" s="10" t="s">
        <v>4201</v>
      </c>
      <c r="D2684" s="14" t="s">
        <v>4197</v>
      </c>
      <c r="E2684" s="10"/>
      <c r="F2684" s="10" t="s">
        <v>282</v>
      </c>
      <c r="G2684" s="111" t="n">
        <v>63.8</v>
      </c>
      <c r="H2684" s="152" t="n">
        <v>0</v>
      </c>
      <c r="I2684" s="111">
        <f>G2684*H2684</f>
      </c>
      <c r="J2684" s="153" t="s">
        <v>4</v>
      </c>
      <c r="K2684" s="146"/>
      <c r="Z2684" s="111">
        <f>IF(AQ2684="5",BJ2684,0)</f>
      </c>
      <c r="AB2684" s="111">
        <f>IF(AQ2684="1",BH2684,0)</f>
      </c>
      <c r="AC2684" s="111">
        <f>IF(AQ2684="1",BI2684,0)</f>
      </c>
      <c r="AD2684" s="111">
        <f>IF(AQ2684="7",BH2684,0)</f>
      </c>
      <c r="AE2684" s="111">
        <f>IF(AQ2684="7",BI2684,0)</f>
      </c>
      <c r="AF2684" s="111">
        <f>IF(AQ2684="2",BH2684,0)</f>
      </c>
      <c r="AG2684" s="111">
        <f>IF(AQ2684="2",BI2684,0)</f>
      </c>
      <c r="AH2684" s="111">
        <f>IF(AQ2684="0",BJ2684,0)</f>
      </c>
      <c r="AI2684" s="132" t="s">
        <v>91</v>
      </c>
      <c r="AJ2684" s="111">
        <f>IF(AN2684=0,I2684,0)</f>
      </c>
      <c r="AK2684" s="111">
        <f>IF(AN2684=12,I2684,0)</f>
      </c>
      <c r="AL2684" s="111">
        <f>IF(AN2684=21,I2684,0)</f>
      </c>
      <c r="AN2684" s="111" t="n">
        <v>21</v>
      </c>
      <c r="AO2684" s="111">
        <f>H2684*1</f>
      </c>
      <c r="AP2684" s="111">
        <f>H2684*(1-1)</f>
      </c>
      <c r="AQ2684" s="153" t="s">
        <v>173</v>
      </c>
      <c r="AV2684" s="111">
        <f>AW2684+AX2684</f>
      </c>
      <c r="AW2684" s="111">
        <f>G2684*AO2684</f>
      </c>
      <c r="AX2684" s="111">
        <f>G2684*AP2684</f>
      </c>
      <c r="AY2684" s="153" t="s">
        <v>1855</v>
      </c>
      <c r="AZ2684" s="153" t="s">
        <v>4164</v>
      </c>
      <c r="BA2684" s="132" t="s">
        <v>4138</v>
      </c>
      <c r="BC2684" s="111">
        <f>AW2684+AX2684</f>
      </c>
      <c r="BD2684" s="111">
        <f>H2684/(100-BE2684)*100</f>
      </c>
      <c r="BE2684" s="111" t="n">
        <v>0</v>
      </c>
      <c r="BF2684" s="111">
        <f>2684</f>
      </c>
      <c r="BH2684" s="111">
        <f>G2684*AO2684</f>
      </c>
      <c r="BI2684" s="111">
        <f>G2684*AP2684</f>
      </c>
      <c r="BJ2684" s="111">
        <f>G2684*H2684</f>
      </c>
      <c r="BK2684" s="111"/>
      <c r="BL2684" s="111" t="n">
        <v>713</v>
      </c>
      <c r="BW2684" s="111" t="n">
        <v>21</v>
      </c>
      <c r="BX2684" s="14" t="s">
        <v>4197</v>
      </c>
    </row>
    <row r="2685">
      <c r="A2685" s="154"/>
      <c r="B2685" s="155"/>
      <c r="C2685" s="155"/>
      <c r="D2685" s="156" t="s">
        <v>4202</v>
      </c>
      <c r="E2685" s="156" t="s">
        <v>4</v>
      </c>
      <c r="F2685" s="155"/>
      <c r="G2685" s="157" t="n">
        <v>58</v>
      </c>
      <c r="H2685" s="158"/>
      <c r="I2685" s="155"/>
      <c r="J2685" s="155"/>
      <c r="K2685" s="146"/>
    </row>
    <row r="2686">
      <c r="A2686" s="154"/>
      <c r="B2686" s="155"/>
      <c r="C2686" s="155"/>
      <c r="D2686" s="156" t="s">
        <v>4203</v>
      </c>
      <c r="E2686" s="156" t="s">
        <v>4191</v>
      </c>
      <c r="F2686" s="155"/>
      <c r="G2686" s="157" t="n">
        <v>5.8</v>
      </c>
      <c r="H2686" s="158"/>
      <c r="I2686" s="155"/>
      <c r="J2686" s="155"/>
      <c r="K2686" s="146"/>
    </row>
    <row r="2687">
      <c r="A2687" s="9" t="s">
        <v>4204</v>
      </c>
      <c r="B2687" s="10" t="s">
        <v>91</v>
      </c>
      <c r="C2687" s="10" t="s">
        <v>4205</v>
      </c>
      <c r="D2687" s="14" t="s">
        <v>4206</v>
      </c>
      <c r="E2687" s="10"/>
      <c r="F2687" s="10" t="s">
        <v>282</v>
      </c>
      <c r="G2687" s="111" t="n">
        <v>300</v>
      </c>
      <c r="H2687" s="152" t="n">
        <v>0</v>
      </c>
      <c r="I2687" s="111">
        <f>G2687*H2687</f>
      </c>
      <c r="J2687" s="153" t="s">
        <v>4</v>
      </c>
      <c r="K2687" s="146"/>
      <c r="Z2687" s="111">
        <f>IF(AQ2687="5",BJ2687,0)</f>
      </c>
      <c r="AB2687" s="111">
        <f>IF(AQ2687="1",BH2687,0)</f>
      </c>
      <c r="AC2687" s="111">
        <f>IF(AQ2687="1",BI2687,0)</f>
      </c>
      <c r="AD2687" s="111">
        <f>IF(AQ2687="7",BH2687,0)</f>
      </c>
      <c r="AE2687" s="111">
        <f>IF(AQ2687="7",BI2687,0)</f>
      </c>
      <c r="AF2687" s="111">
        <f>IF(AQ2687="2",BH2687,0)</f>
      </c>
      <c r="AG2687" s="111">
        <f>IF(AQ2687="2",BI2687,0)</f>
      </c>
      <c r="AH2687" s="111">
        <f>IF(AQ2687="0",BJ2687,0)</f>
      </c>
      <c r="AI2687" s="132" t="s">
        <v>91</v>
      </c>
      <c r="AJ2687" s="111">
        <f>IF(AN2687=0,I2687,0)</f>
      </c>
      <c r="AK2687" s="111">
        <f>IF(AN2687=12,I2687,0)</f>
      </c>
      <c r="AL2687" s="111">
        <f>IF(AN2687=21,I2687,0)</f>
      </c>
      <c r="AN2687" s="111" t="n">
        <v>21</v>
      </c>
      <c r="AO2687" s="111">
        <f>H2687*1</f>
      </c>
      <c r="AP2687" s="111">
        <f>H2687*(1-1)</f>
      </c>
      <c r="AQ2687" s="153" t="s">
        <v>173</v>
      </c>
      <c r="AV2687" s="111">
        <f>AW2687+AX2687</f>
      </c>
      <c r="AW2687" s="111">
        <f>G2687*AO2687</f>
      </c>
      <c r="AX2687" s="111">
        <f>G2687*AP2687</f>
      </c>
      <c r="AY2687" s="153" t="s">
        <v>1855</v>
      </c>
      <c r="AZ2687" s="153" t="s">
        <v>4164</v>
      </c>
      <c r="BA2687" s="132" t="s">
        <v>4138</v>
      </c>
      <c r="BC2687" s="111">
        <f>AW2687+AX2687</f>
      </c>
      <c r="BD2687" s="111">
        <f>H2687/(100-BE2687)*100</f>
      </c>
      <c r="BE2687" s="111" t="n">
        <v>0</v>
      </c>
      <c r="BF2687" s="111">
        <f>2687</f>
      </c>
      <c r="BH2687" s="111">
        <f>G2687*AO2687</f>
      </c>
      <c r="BI2687" s="111">
        <f>G2687*AP2687</f>
      </c>
      <c r="BJ2687" s="111">
        <f>G2687*H2687</f>
      </c>
      <c r="BK2687" s="111"/>
      <c r="BL2687" s="111" t="n">
        <v>713</v>
      </c>
      <c r="BW2687" s="111" t="n">
        <v>21</v>
      </c>
      <c r="BX2687" s="14" t="s">
        <v>4206</v>
      </c>
    </row>
    <row r="2688">
      <c r="A2688" s="9" t="s">
        <v>4207</v>
      </c>
      <c r="B2688" s="10" t="s">
        <v>91</v>
      </c>
      <c r="C2688" s="10" t="s">
        <v>4208</v>
      </c>
      <c r="D2688" s="14" t="s">
        <v>4209</v>
      </c>
      <c r="E2688" s="10"/>
      <c r="F2688" s="10" t="s">
        <v>282</v>
      </c>
      <c r="G2688" s="111" t="n">
        <v>70.4</v>
      </c>
      <c r="H2688" s="152" t="n">
        <v>0</v>
      </c>
      <c r="I2688" s="111">
        <f>G2688*H2688</f>
      </c>
      <c r="J2688" s="153" t="s">
        <v>4</v>
      </c>
      <c r="K2688" s="146"/>
      <c r="Z2688" s="111">
        <f>IF(AQ2688="5",BJ2688,0)</f>
      </c>
      <c r="AB2688" s="111">
        <f>IF(AQ2688="1",BH2688,0)</f>
      </c>
      <c r="AC2688" s="111">
        <f>IF(AQ2688="1",BI2688,0)</f>
      </c>
      <c r="AD2688" s="111">
        <f>IF(AQ2688="7",BH2688,0)</f>
      </c>
      <c r="AE2688" s="111">
        <f>IF(AQ2688="7",BI2688,0)</f>
      </c>
      <c r="AF2688" s="111">
        <f>IF(AQ2688="2",BH2688,0)</f>
      </c>
      <c r="AG2688" s="111">
        <f>IF(AQ2688="2",BI2688,0)</f>
      </c>
      <c r="AH2688" s="111">
        <f>IF(AQ2688="0",BJ2688,0)</f>
      </c>
      <c r="AI2688" s="132" t="s">
        <v>91</v>
      </c>
      <c r="AJ2688" s="111">
        <f>IF(AN2688=0,I2688,0)</f>
      </c>
      <c r="AK2688" s="111">
        <f>IF(AN2688=12,I2688,0)</f>
      </c>
      <c r="AL2688" s="111">
        <f>IF(AN2688=21,I2688,0)</f>
      </c>
      <c r="AN2688" s="111" t="n">
        <v>21</v>
      </c>
      <c r="AO2688" s="111">
        <f>H2688*1</f>
      </c>
      <c r="AP2688" s="111">
        <f>H2688*(1-1)</f>
      </c>
      <c r="AQ2688" s="153" t="s">
        <v>173</v>
      </c>
      <c r="AV2688" s="111">
        <f>AW2688+AX2688</f>
      </c>
      <c r="AW2688" s="111">
        <f>G2688*AO2688</f>
      </c>
      <c r="AX2688" s="111">
        <f>G2688*AP2688</f>
      </c>
      <c r="AY2688" s="153" t="s">
        <v>1855</v>
      </c>
      <c r="AZ2688" s="153" t="s">
        <v>4164</v>
      </c>
      <c r="BA2688" s="132" t="s">
        <v>4138</v>
      </c>
      <c r="BC2688" s="111">
        <f>AW2688+AX2688</f>
      </c>
      <c r="BD2688" s="111">
        <f>H2688/(100-BE2688)*100</f>
      </c>
      <c r="BE2688" s="111" t="n">
        <v>0</v>
      </c>
      <c r="BF2688" s="111">
        <f>2688</f>
      </c>
      <c r="BH2688" s="111">
        <f>G2688*AO2688</f>
      </c>
      <c r="BI2688" s="111">
        <f>G2688*AP2688</f>
      </c>
      <c r="BJ2688" s="111">
        <f>G2688*H2688</f>
      </c>
      <c r="BK2688" s="111"/>
      <c r="BL2688" s="111" t="n">
        <v>713</v>
      </c>
      <c r="BW2688" s="111" t="n">
        <v>21</v>
      </c>
      <c r="BX2688" s="14" t="s">
        <v>4209</v>
      </c>
    </row>
    <row r="2689">
      <c r="A2689" s="154"/>
      <c r="B2689" s="155"/>
      <c r="C2689" s="155"/>
      <c r="D2689" s="156" t="s">
        <v>4210</v>
      </c>
      <c r="E2689" s="156" t="s">
        <v>4</v>
      </c>
      <c r="F2689" s="155"/>
      <c r="G2689" s="157" t="n">
        <v>64</v>
      </c>
      <c r="H2689" s="158"/>
      <c r="I2689" s="155"/>
      <c r="J2689" s="155"/>
      <c r="K2689" s="146"/>
    </row>
    <row r="2690">
      <c r="A2690" s="154"/>
      <c r="B2690" s="155"/>
      <c r="C2690" s="155"/>
      <c r="D2690" s="156" t="s">
        <v>4211</v>
      </c>
      <c r="E2690" s="156" t="s">
        <v>4191</v>
      </c>
      <c r="F2690" s="155"/>
      <c r="G2690" s="157" t="n">
        <v>6.4</v>
      </c>
      <c r="H2690" s="158"/>
      <c r="I2690" s="155"/>
      <c r="J2690" s="155"/>
      <c r="K2690" s="146"/>
    </row>
    <row r="2691">
      <c r="A2691" s="147" t="s">
        <v>4</v>
      </c>
      <c r="B2691" s="148" t="s">
        <v>91</v>
      </c>
      <c r="C2691" s="148" t="s">
        <v>3723</v>
      </c>
      <c r="D2691" s="149" t="s">
        <v>3724</v>
      </c>
      <c r="E2691" s="148"/>
      <c r="F2691" s="150" t="s">
        <v>79</v>
      </c>
      <c r="G2691" s="150" t="s">
        <v>79</v>
      </c>
      <c r="H2691" s="151" t="s">
        <v>79</v>
      </c>
      <c r="I2691" s="117">
        <f>SUM(I2692:I2727)</f>
      </c>
      <c r="J2691" s="132" t="s">
        <v>4</v>
      </c>
      <c r="K2691" s="146"/>
      <c r="AI2691" s="132" t="s">
        <v>91</v>
      </c>
      <c r="AS2691" s="117">
        <f>SUM(AJ2692:AJ2727)</f>
      </c>
      <c r="AT2691" s="117">
        <f>SUM(AK2692:AK2727)</f>
      </c>
      <c r="AU2691" s="117">
        <f>SUM(AL2692:AL2727)</f>
      </c>
    </row>
    <row r="2692">
      <c r="A2692" s="9" t="s">
        <v>4212</v>
      </c>
      <c r="B2692" s="10" t="s">
        <v>91</v>
      </c>
      <c r="C2692" s="10" t="s">
        <v>4213</v>
      </c>
      <c r="D2692" s="14" t="s">
        <v>4214</v>
      </c>
      <c r="E2692" s="10"/>
      <c r="F2692" s="10" t="s">
        <v>1962</v>
      </c>
      <c r="G2692" s="111" t="n">
        <v>2</v>
      </c>
      <c r="H2692" s="152" t="n">
        <v>0</v>
      </c>
      <c r="I2692" s="111">
        <f>G2692*H2692</f>
      </c>
      <c r="J2692" s="153" t="s">
        <v>4</v>
      </c>
      <c r="K2692" s="146"/>
      <c r="Z2692" s="111">
        <f>IF(AQ2692="5",BJ2692,0)</f>
      </c>
      <c r="AB2692" s="111">
        <f>IF(AQ2692="1",BH2692,0)</f>
      </c>
      <c r="AC2692" s="111">
        <f>IF(AQ2692="1",BI2692,0)</f>
      </c>
      <c r="AD2692" s="111">
        <f>IF(AQ2692="7",BH2692,0)</f>
      </c>
      <c r="AE2692" s="111">
        <f>IF(AQ2692="7",BI2692,0)</f>
      </c>
      <c r="AF2692" s="111">
        <f>IF(AQ2692="2",BH2692,0)</f>
      </c>
      <c r="AG2692" s="111">
        <f>IF(AQ2692="2",BI2692,0)</f>
      </c>
      <c r="AH2692" s="111">
        <f>IF(AQ2692="0",BJ2692,0)</f>
      </c>
      <c r="AI2692" s="132" t="s">
        <v>91</v>
      </c>
      <c r="AJ2692" s="111">
        <f>IF(AN2692=0,I2692,0)</f>
      </c>
      <c r="AK2692" s="111">
        <f>IF(AN2692=12,I2692,0)</f>
      </c>
      <c r="AL2692" s="111">
        <f>IF(AN2692=21,I2692,0)</f>
      </c>
      <c r="AN2692" s="111" t="n">
        <v>21</v>
      </c>
      <c r="AO2692" s="111">
        <f>H2692*0</f>
      </c>
      <c r="AP2692" s="111">
        <f>H2692*(1-0)</f>
      </c>
      <c r="AQ2692" s="153" t="s">
        <v>173</v>
      </c>
      <c r="AV2692" s="111">
        <f>AW2692+AX2692</f>
      </c>
      <c r="AW2692" s="111">
        <f>G2692*AO2692</f>
      </c>
      <c r="AX2692" s="111">
        <f>G2692*AP2692</f>
      </c>
      <c r="AY2692" s="153" t="s">
        <v>3728</v>
      </c>
      <c r="AZ2692" s="153" t="s">
        <v>4215</v>
      </c>
      <c r="BA2692" s="132" t="s">
        <v>4138</v>
      </c>
      <c r="BC2692" s="111">
        <f>AW2692+AX2692</f>
      </c>
      <c r="BD2692" s="111">
        <f>H2692/(100-BE2692)*100</f>
      </c>
      <c r="BE2692" s="111" t="n">
        <v>0</v>
      </c>
      <c r="BF2692" s="111">
        <f>2692</f>
      </c>
      <c r="BH2692" s="111">
        <f>G2692*AO2692</f>
      </c>
      <c r="BI2692" s="111">
        <f>G2692*AP2692</f>
      </c>
      <c r="BJ2692" s="111">
        <f>G2692*H2692</f>
      </c>
      <c r="BK2692" s="111"/>
      <c r="BL2692" s="111" t="n">
        <v>732</v>
      </c>
      <c r="BW2692" s="111" t="n">
        <v>21</v>
      </c>
      <c r="BX2692" s="14" t="s">
        <v>4214</v>
      </c>
    </row>
    <row r="2693" ht="24.75">
      <c r="A2693" s="9" t="s">
        <v>4216</v>
      </c>
      <c r="B2693" s="10" t="s">
        <v>91</v>
      </c>
      <c r="C2693" s="10" t="s">
        <v>4217</v>
      </c>
      <c r="D2693" s="14" t="s">
        <v>4218</v>
      </c>
      <c r="E2693" s="10"/>
      <c r="F2693" s="10" t="s">
        <v>133</v>
      </c>
      <c r="G2693" s="111" t="n">
        <v>1</v>
      </c>
      <c r="H2693" s="152" t="n">
        <v>0</v>
      </c>
      <c r="I2693" s="111">
        <f>G2693*H2693</f>
      </c>
      <c r="J2693" s="153" t="s">
        <v>4</v>
      </c>
      <c r="K2693" s="146"/>
      <c r="Z2693" s="111">
        <f>IF(AQ2693="5",BJ2693,0)</f>
      </c>
      <c r="AB2693" s="111">
        <f>IF(AQ2693="1",BH2693,0)</f>
      </c>
      <c r="AC2693" s="111">
        <f>IF(AQ2693="1",BI2693,0)</f>
      </c>
      <c r="AD2693" s="111">
        <f>IF(AQ2693="7",BH2693,0)</f>
      </c>
      <c r="AE2693" s="111">
        <f>IF(AQ2693="7",BI2693,0)</f>
      </c>
      <c r="AF2693" s="111">
        <f>IF(AQ2693="2",BH2693,0)</f>
      </c>
      <c r="AG2693" s="111">
        <f>IF(AQ2693="2",BI2693,0)</f>
      </c>
      <c r="AH2693" s="111">
        <f>IF(AQ2693="0",BJ2693,0)</f>
      </c>
      <c r="AI2693" s="132" t="s">
        <v>91</v>
      </c>
      <c r="AJ2693" s="111">
        <f>IF(AN2693=0,I2693,0)</f>
      </c>
      <c r="AK2693" s="111">
        <f>IF(AN2693=12,I2693,0)</f>
      </c>
      <c r="AL2693" s="111">
        <f>IF(AN2693=21,I2693,0)</f>
      </c>
      <c r="AN2693" s="111" t="n">
        <v>21</v>
      </c>
      <c r="AO2693" s="111">
        <f>H2693*0</f>
      </c>
      <c r="AP2693" s="111">
        <f>H2693*(1-0)</f>
      </c>
      <c r="AQ2693" s="153" t="s">
        <v>173</v>
      </c>
      <c r="AV2693" s="111">
        <f>AW2693+AX2693</f>
      </c>
      <c r="AW2693" s="111">
        <f>G2693*AO2693</f>
      </c>
      <c r="AX2693" s="111">
        <f>G2693*AP2693</f>
      </c>
      <c r="AY2693" s="153" t="s">
        <v>3728</v>
      </c>
      <c r="AZ2693" s="153" t="s">
        <v>4215</v>
      </c>
      <c r="BA2693" s="132" t="s">
        <v>4138</v>
      </c>
      <c r="BC2693" s="111">
        <f>AW2693+AX2693</f>
      </c>
      <c r="BD2693" s="111">
        <f>H2693/(100-BE2693)*100</f>
      </c>
      <c r="BE2693" s="111" t="n">
        <v>0</v>
      </c>
      <c r="BF2693" s="111">
        <f>2693</f>
      </c>
      <c r="BH2693" s="111">
        <f>G2693*AO2693</f>
      </c>
      <c r="BI2693" s="111">
        <f>G2693*AP2693</f>
      </c>
      <c r="BJ2693" s="111">
        <f>G2693*H2693</f>
      </c>
      <c r="BK2693" s="111"/>
      <c r="BL2693" s="111" t="n">
        <v>732</v>
      </c>
      <c r="BW2693" s="111" t="n">
        <v>21</v>
      </c>
      <c r="BX2693" s="14" t="s">
        <v>4218</v>
      </c>
    </row>
    <row r="2694" ht="24.75">
      <c r="A2694" s="9" t="s">
        <v>4219</v>
      </c>
      <c r="B2694" s="10" t="s">
        <v>91</v>
      </c>
      <c r="C2694" s="10" t="s">
        <v>4220</v>
      </c>
      <c r="D2694" s="14" t="s">
        <v>4221</v>
      </c>
      <c r="E2694" s="10"/>
      <c r="F2694" s="10" t="s">
        <v>133</v>
      </c>
      <c r="G2694" s="111" t="n">
        <v>1</v>
      </c>
      <c r="H2694" s="152" t="n">
        <v>0</v>
      </c>
      <c r="I2694" s="111">
        <f>G2694*H2694</f>
      </c>
      <c r="J2694" s="153" t="s">
        <v>4</v>
      </c>
      <c r="K2694" s="146"/>
      <c r="Z2694" s="111">
        <f>IF(AQ2694="5",BJ2694,0)</f>
      </c>
      <c r="AB2694" s="111">
        <f>IF(AQ2694="1",BH2694,0)</f>
      </c>
      <c r="AC2694" s="111">
        <f>IF(AQ2694="1",BI2694,0)</f>
      </c>
      <c r="AD2694" s="111">
        <f>IF(AQ2694="7",BH2694,0)</f>
      </c>
      <c r="AE2694" s="111">
        <f>IF(AQ2694="7",BI2694,0)</f>
      </c>
      <c r="AF2694" s="111">
        <f>IF(AQ2694="2",BH2694,0)</f>
      </c>
      <c r="AG2694" s="111">
        <f>IF(AQ2694="2",BI2694,0)</f>
      </c>
      <c r="AH2694" s="111">
        <f>IF(AQ2694="0",BJ2694,0)</f>
      </c>
      <c r="AI2694" s="132" t="s">
        <v>91</v>
      </c>
      <c r="AJ2694" s="111">
        <f>IF(AN2694=0,I2694,0)</f>
      </c>
      <c r="AK2694" s="111">
        <f>IF(AN2694=12,I2694,0)</f>
      </c>
      <c r="AL2694" s="111">
        <f>IF(AN2694=21,I2694,0)</f>
      </c>
      <c r="AN2694" s="111" t="n">
        <v>21</v>
      </c>
      <c r="AO2694" s="111">
        <f>H2694*0</f>
      </c>
      <c r="AP2694" s="111">
        <f>H2694*(1-0)</f>
      </c>
      <c r="AQ2694" s="153" t="s">
        <v>173</v>
      </c>
      <c r="AV2694" s="111">
        <f>AW2694+AX2694</f>
      </c>
      <c r="AW2694" s="111">
        <f>G2694*AO2694</f>
      </c>
      <c r="AX2694" s="111">
        <f>G2694*AP2694</f>
      </c>
      <c r="AY2694" s="153" t="s">
        <v>3728</v>
      </c>
      <c r="AZ2694" s="153" t="s">
        <v>4215</v>
      </c>
      <c r="BA2694" s="132" t="s">
        <v>4138</v>
      </c>
      <c r="BC2694" s="111">
        <f>AW2694+AX2694</f>
      </c>
      <c r="BD2694" s="111">
        <f>H2694/(100-BE2694)*100</f>
      </c>
      <c r="BE2694" s="111" t="n">
        <v>0</v>
      </c>
      <c r="BF2694" s="111">
        <f>2694</f>
      </c>
      <c r="BH2694" s="111">
        <f>G2694*AO2694</f>
      </c>
      <c r="BI2694" s="111">
        <f>G2694*AP2694</f>
      </c>
      <c r="BJ2694" s="111">
        <f>G2694*H2694</f>
      </c>
      <c r="BK2694" s="111"/>
      <c r="BL2694" s="111" t="n">
        <v>732</v>
      </c>
      <c r="BW2694" s="111" t="n">
        <v>21</v>
      </c>
      <c r="BX2694" s="14" t="s">
        <v>4221</v>
      </c>
    </row>
    <row r="2695" ht="24.75">
      <c r="A2695" s="9" t="s">
        <v>4222</v>
      </c>
      <c r="B2695" s="10" t="s">
        <v>91</v>
      </c>
      <c r="C2695" s="10" t="s">
        <v>4223</v>
      </c>
      <c r="D2695" s="14" t="s">
        <v>4224</v>
      </c>
      <c r="E2695" s="10"/>
      <c r="F2695" s="10" t="s">
        <v>133</v>
      </c>
      <c r="G2695" s="111" t="n">
        <v>2</v>
      </c>
      <c r="H2695" s="152" t="n">
        <v>0</v>
      </c>
      <c r="I2695" s="111">
        <f>G2695*H2695</f>
      </c>
      <c r="J2695" s="153" t="s">
        <v>4</v>
      </c>
      <c r="K2695" s="146"/>
      <c r="Z2695" s="111">
        <f>IF(AQ2695="5",BJ2695,0)</f>
      </c>
      <c r="AB2695" s="111">
        <f>IF(AQ2695="1",BH2695,0)</f>
      </c>
      <c r="AC2695" s="111">
        <f>IF(AQ2695="1",BI2695,0)</f>
      </c>
      <c r="AD2695" s="111">
        <f>IF(AQ2695="7",BH2695,0)</f>
      </c>
      <c r="AE2695" s="111">
        <f>IF(AQ2695="7",BI2695,0)</f>
      </c>
      <c r="AF2695" s="111">
        <f>IF(AQ2695="2",BH2695,0)</f>
      </c>
      <c r="AG2695" s="111">
        <f>IF(AQ2695="2",BI2695,0)</f>
      </c>
      <c r="AH2695" s="111">
        <f>IF(AQ2695="0",BJ2695,0)</f>
      </c>
      <c r="AI2695" s="132" t="s">
        <v>91</v>
      </c>
      <c r="AJ2695" s="111">
        <f>IF(AN2695=0,I2695,0)</f>
      </c>
      <c r="AK2695" s="111">
        <f>IF(AN2695=12,I2695,0)</f>
      </c>
      <c r="AL2695" s="111">
        <f>IF(AN2695=21,I2695,0)</f>
      </c>
      <c r="AN2695" s="111" t="n">
        <v>21</v>
      </c>
      <c r="AO2695" s="111">
        <f>H2695*0</f>
      </c>
      <c r="AP2695" s="111">
        <f>H2695*(1-0)</f>
      </c>
      <c r="AQ2695" s="153" t="s">
        <v>173</v>
      </c>
      <c r="AV2695" s="111">
        <f>AW2695+AX2695</f>
      </c>
      <c r="AW2695" s="111">
        <f>G2695*AO2695</f>
      </c>
      <c r="AX2695" s="111">
        <f>G2695*AP2695</f>
      </c>
      <c r="AY2695" s="153" t="s">
        <v>3728</v>
      </c>
      <c r="AZ2695" s="153" t="s">
        <v>4215</v>
      </c>
      <c r="BA2695" s="132" t="s">
        <v>4138</v>
      </c>
      <c r="BC2695" s="111">
        <f>AW2695+AX2695</f>
      </c>
      <c r="BD2695" s="111">
        <f>H2695/(100-BE2695)*100</f>
      </c>
      <c r="BE2695" s="111" t="n">
        <v>0</v>
      </c>
      <c r="BF2695" s="111">
        <f>2695</f>
      </c>
      <c r="BH2695" s="111">
        <f>G2695*AO2695</f>
      </c>
      <c r="BI2695" s="111">
        <f>G2695*AP2695</f>
      </c>
      <c r="BJ2695" s="111">
        <f>G2695*H2695</f>
      </c>
      <c r="BK2695" s="111"/>
      <c r="BL2695" s="111" t="n">
        <v>732</v>
      </c>
      <c r="BW2695" s="111" t="n">
        <v>21</v>
      </c>
      <c r="BX2695" s="14" t="s">
        <v>4224</v>
      </c>
    </row>
    <row r="2696" ht="24.75">
      <c r="A2696" s="9" t="s">
        <v>4225</v>
      </c>
      <c r="B2696" s="10" t="s">
        <v>91</v>
      </c>
      <c r="C2696" s="10" t="s">
        <v>4226</v>
      </c>
      <c r="D2696" s="14" t="s">
        <v>4227</v>
      </c>
      <c r="E2696" s="10"/>
      <c r="F2696" s="10" t="s">
        <v>133</v>
      </c>
      <c r="G2696" s="111" t="n">
        <v>6</v>
      </c>
      <c r="H2696" s="152" t="n">
        <v>0</v>
      </c>
      <c r="I2696" s="111">
        <f>G2696*H2696</f>
      </c>
      <c r="J2696" s="153" t="s">
        <v>4</v>
      </c>
      <c r="K2696" s="146"/>
      <c r="Z2696" s="111">
        <f>IF(AQ2696="5",BJ2696,0)</f>
      </c>
      <c r="AB2696" s="111">
        <f>IF(AQ2696="1",BH2696,0)</f>
      </c>
      <c r="AC2696" s="111">
        <f>IF(AQ2696="1",BI2696,0)</f>
      </c>
      <c r="AD2696" s="111">
        <f>IF(AQ2696="7",BH2696,0)</f>
      </c>
      <c r="AE2696" s="111">
        <f>IF(AQ2696="7",BI2696,0)</f>
      </c>
      <c r="AF2696" s="111">
        <f>IF(AQ2696="2",BH2696,0)</f>
      </c>
      <c r="AG2696" s="111">
        <f>IF(AQ2696="2",BI2696,0)</f>
      </c>
      <c r="AH2696" s="111">
        <f>IF(AQ2696="0",BJ2696,0)</f>
      </c>
      <c r="AI2696" s="132" t="s">
        <v>91</v>
      </c>
      <c r="AJ2696" s="111">
        <f>IF(AN2696=0,I2696,0)</f>
      </c>
      <c r="AK2696" s="111">
        <f>IF(AN2696=12,I2696,0)</f>
      </c>
      <c r="AL2696" s="111">
        <f>IF(AN2696=21,I2696,0)</f>
      </c>
      <c r="AN2696" s="111" t="n">
        <v>21</v>
      </c>
      <c r="AO2696" s="111">
        <f>H2696*0</f>
      </c>
      <c r="AP2696" s="111">
        <f>H2696*(1-0)</f>
      </c>
      <c r="AQ2696" s="153" t="s">
        <v>173</v>
      </c>
      <c r="AV2696" s="111">
        <f>AW2696+AX2696</f>
      </c>
      <c r="AW2696" s="111">
        <f>G2696*AO2696</f>
      </c>
      <c r="AX2696" s="111">
        <f>G2696*AP2696</f>
      </c>
      <c r="AY2696" s="153" t="s">
        <v>3728</v>
      </c>
      <c r="AZ2696" s="153" t="s">
        <v>4215</v>
      </c>
      <c r="BA2696" s="132" t="s">
        <v>4138</v>
      </c>
      <c r="BC2696" s="111">
        <f>AW2696+AX2696</f>
      </c>
      <c r="BD2696" s="111">
        <f>H2696/(100-BE2696)*100</f>
      </c>
      <c r="BE2696" s="111" t="n">
        <v>0</v>
      </c>
      <c r="BF2696" s="111">
        <f>2696</f>
      </c>
      <c r="BH2696" s="111">
        <f>G2696*AO2696</f>
      </c>
      <c r="BI2696" s="111">
        <f>G2696*AP2696</f>
      </c>
      <c r="BJ2696" s="111">
        <f>G2696*H2696</f>
      </c>
      <c r="BK2696" s="111"/>
      <c r="BL2696" s="111" t="n">
        <v>732</v>
      </c>
      <c r="BW2696" s="111" t="n">
        <v>21</v>
      </c>
      <c r="BX2696" s="14" t="s">
        <v>4227</v>
      </c>
    </row>
    <row r="2697">
      <c r="A2697" s="9" t="s">
        <v>4228</v>
      </c>
      <c r="B2697" s="10" t="s">
        <v>91</v>
      </c>
      <c r="C2697" s="10" t="s">
        <v>4229</v>
      </c>
      <c r="D2697" s="14" t="s">
        <v>4230</v>
      </c>
      <c r="E2697" s="10"/>
      <c r="F2697" s="10" t="s">
        <v>1962</v>
      </c>
      <c r="G2697" s="111" t="n">
        <v>1</v>
      </c>
      <c r="H2697" s="152" t="n">
        <v>0</v>
      </c>
      <c r="I2697" s="111">
        <f>G2697*H2697</f>
      </c>
      <c r="J2697" s="153" t="s">
        <v>4</v>
      </c>
      <c r="K2697" s="146"/>
      <c r="Z2697" s="111">
        <f>IF(AQ2697="5",BJ2697,0)</f>
      </c>
      <c r="AB2697" s="111">
        <f>IF(AQ2697="1",BH2697,0)</f>
      </c>
      <c r="AC2697" s="111">
        <f>IF(AQ2697="1",BI2697,0)</f>
      </c>
      <c r="AD2697" s="111">
        <f>IF(AQ2697="7",BH2697,0)</f>
      </c>
      <c r="AE2697" s="111">
        <f>IF(AQ2697="7",BI2697,0)</f>
      </c>
      <c r="AF2697" s="111">
        <f>IF(AQ2697="2",BH2697,0)</f>
      </c>
      <c r="AG2697" s="111">
        <f>IF(AQ2697="2",BI2697,0)</f>
      </c>
      <c r="AH2697" s="111">
        <f>IF(AQ2697="0",BJ2697,0)</f>
      </c>
      <c r="AI2697" s="132" t="s">
        <v>91</v>
      </c>
      <c r="AJ2697" s="111">
        <f>IF(AN2697=0,I2697,0)</f>
      </c>
      <c r="AK2697" s="111">
        <f>IF(AN2697=12,I2697,0)</f>
      </c>
      <c r="AL2697" s="111">
        <f>IF(AN2697=21,I2697,0)</f>
      </c>
      <c r="AN2697" s="111" t="n">
        <v>21</v>
      </c>
      <c r="AO2697" s="111">
        <f>H2697*0</f>
      </c>
      <c r="AP2697" s="111">
        <f>H2697*(1-0)</f>
      </c>
      <c r="AQ2697" s="153" t="s">
        <v>173</v>
      </c>
      <c r="AV2697" s="111">
        <f>AW2697+AX2697</f>
      </c>
      <c r="AW2697" s="111">
        <f>G2697*AO2697</f>
      </c>
      <c r="AX2697" s="111">
        <f>G2697*AP2697</f>
      </c>
      <c r="AY2697" s="153" t="s">
        <v>3728</v>
      </c>
      <c r="AZ2697" s="153" t="s">
        <v>4215</v>
      </c>
      <c r="BA2697" s="132" t="s">
        <v>4138</v>
      </c>
      <c r="BC2697" s="111">
        <f>AW2697+AX2697</f>
      </c>
      <c r="BD2697" s="111">
        <f>H2697/(100-BE2697)*100</f>
      </c>
      <c r="BE2697" s="111" t="n">
        <v>0</v>
      </c>
      <c r="BF2697" s="111">
        <f>2697</f>
      </c>
      <c r="BH2697" s="111">
        <f>G2697*AO2697</f>
      </c>
      <c r="BI2697" s="111">
        <f>G2697*AP2697</f>
      </c>
      <c r="BJ2697" s="111">
        <f>G2697*H2697</f>
      </c>
      <c r="BK2697" s="111"/>
      <c r="BL2697" s="111" t="n">
        <v>732</v>
      </c>
      <c r="BW2697" s="111" t="n">
        <v>21</v>
      </c>
      <c r="BX2697" s="14" t="s">
        <v>4230</v>
      </c>
    </row>
    <row r="2698">
      <c r="A2698" s="9" t="s">
        <v>4231</v>
      </c>
      <c r="B2698" s="10" t="s">
        <v>91</v>
      </c>
      <c r="C2698" s="10" t="s">
        <v>4232</v>
      </c>
      <c r="D2698" s="14" t="s">
        <v>4233</v>
      </c>
      <c r="E2698" s="10"/>
      <c r="F2698" s="10" t="s">
        <v>1962</v>
      </c>
      <c r="G2698" s="111" t="n">
        <v>1</v>
      </c>
      <c r="H2698" s="152" t="n">
        <v>0</v>
      </c>
      <c r="I2698" s="111">
        <f>G2698*H2698</f>
      </c>
      <c r="J2698" s="153" t="s">
        <v>4</v>
      </c>
      <c r="K2698" s="146"/>
      <c r="Z2698" s="111">
        <f>IF(AQ2698="5",BJ2698,0)</f>
      </c>
      <c r="AB2698" s="111">
        <f>IF(AQ2698="1",BH2698,0)</f>
      </c>
      <c r="AC2698" s="111">
        <f>IF(AQ2698="1",BI2698,0)</f>
      </c>
      <c r="AD2698" s="111">
        <f>IF(AQ2698="7",BH2698,0)</f>
      </c>
      <c r="AE2698" s="111">
        <f>IF(AQ2698="7",BI2698,0)</f>
      </c>
      <c r="AF2698" s="111">
        <f>IF(AQ2698="2",BH2698,0)</f>
      </c>
      <c r="AG2698" s="111">
        <f>IF(AQ2698="2",BI2698,0)</f>
      </c>
      <c r="AH2698" s="111">
        <f>IF(AQ2698="0",BJ2698,0)</f>
      </c>
      <c r="AI2698" s="132" t="s">
        <v>91</v>
      </c>
      <c r="AJ2698" s="111">
        <f>IF(AN2698=0,I2698,0)</f>
      </c>
      <c r="AK2698" s="111">
        <f>IF(AN2698=12,I2698,0)</f>
      </c>
      <c r="AL2698" s="111">
        <f>IF(AN2698=21,I2698,0)</f>
      </c>
      <c r="AN2698" s="111" t="n">
        <v>21</v>
      </c>
      <c r="AO2698" s="111">
        <f>H2698*0</f>
      </c>
      <c r="AP2698" s="111">
        <f>H2698*(1-0)</f>
      </c>
      <c r="AQ2698" s="153" t="s">
        <v>173</v>
      </c>
      <c r="AV2698" s="111">
        <f>AW2698+AX2698</f>
      </c>
      <c r="AW2698" s="111">
        <f>G2698*AO2698</f>
      </c>
      <c r="AX2698" s="111">
        <f>G2698*AP2698</f>
      </c>
      <c r="AY2698" s="153" t="s">
        <v>3728</v>
      </c>
      <c r="AZ2698" s="153" t="s">
        <v>4215</v>
      </c>
      <c r="BA2698" s="132" t="s">
        <v>4138</v>
      </c>
      <c r="BC2698" s="111">
        <f>AW2698+AX2698</f>
      </c>
      <c r="BD2698" s="111">
        <f>H2698/(100-BE2698)*100</f>
      </c>
      <c r="BE2698" s="111" t="n">
        <v>0</v>
      </c>
      <c r="BF2698" s="111">
        <f>2698</f>
      </c>
      <c r="BH2698" s="111">
        <f>G2698*AO2698</f>
      </c>
      <c r="BI2698" s="111">
        <f>G2698*AP2698</f>
      </c>
      <c r="BJ2698" s="111">
        <f>G2698*H2698</f>
      </c>
      <c r="BK2698" s="111"/>
      <c r="BL2698" s="111" t="n">
        <v>732</v>
      </c>
      <c r="BW2698" s="111" t="n">
        <v>21</v>
      </c>
      <c r="BX2698" s="14" t="s">
        <v>4233</v>
      </c>
    </row>
    <row r="2699">
      <c r="A2699" s="9" t="s">
        <v>4234</v>
      </c>
      <c r="B2699" s="10" t="s">
        <v>91</v>
      </c>
      <c r="C2699" s="10" t="s">
        <v>4235</v>
      </c>
      <c r="D2699" s="14" t="s">
        <v>4236</v>
      </c>
      <c r="E2699" s="10"/>
      <c r="F2699" s="10" t="s">
        <v>1962</v>
      </c>
      <c r="G2699" s="111" t="n">
        <v>1</v>
      </c>
      <c r="H2699" s="152" t="n">
        <v>0</v>
      </c>
      <c r="I2699" s="111">
        <f>G2699*H2699</f>
      </c>
      <c r="J2699" s="153" t="s">
        <v>4</v>
      </c>
      <c r="K2699" s="146"/>
      <c r="Z2699" s="111">
        <f>IF(AQ2699="5",BJ2699,0)</f>
      </c>
      <c r="AB2699" s="111">
        <f>IF(AQ2699="1",BH2699,0)</f>
      </c>
      <c r="AC2699" s="111">
        <f>IF(AQ2699="1",BI2699,0)</f>
      </c>
      <c r="AD2699" s="111">
        <f>IF(AQ2699="7",BH2699,0)</f>
      </c>
      <c r="AE2699" s="111">
        <f>IF(AQ2699="7",BI2699,0)</f>
      </c>
      <c r="AF2699" s="111">
        <f>IF(AQ2699="2",BH2699,0)</f>
      </c>
      <c r="AG2699" s="111">
        <f>IF(AQ2699="2",BI2699,0)</f>
      </c>
      <c r="AH2699" s="111">
        <f>IF(AQ2699="0",BJ2699,0)</f>
      </c>
      <c r="AI2699" s="132" t="s">
        <v>91</v>
      </c>
      <c r="AJ2699" s="111">
        <f>IF(AN2699=0,I2699,0)</f>
      </c>
      <c r="AK2699" s="111">
        <f>IF(AN2699=12,I2699,0)</f>
      </c>
      <c r="AL2699" s="111">
        <f>IF(AN2699=21,I2699,0)</f>
      </c>
      <c r="AN2699" s="111" t="n">
        <v>21</v>
      </c>
      <c r="AO2699" s="111">
        <f>H2699*0</f>
      </c>
      <c r="AP2699" s="111">
        <f>H2699*(1-0)</f>
      </c>
      <c r="AQ2699" s="153" t="s">
        <v>173</v>
      </c>
      <c r="AV2699" s="111">
        <f>AW2699+AX2699</f>
      </c>
      <c r="AW2699" s="111">
        <f>G2699*AO2699</f>
      </c>
      <c r="AX2699" s="111">
        <f>G2699*AP2699</f>
      </c>
      <c r="AY2699" s="153" t="s">
        <v>3728</v>
      </c>
      <c r="AZ2699" s="153" t="s">
        <v>4215</v>
      </c>
      <c r="BA2699" s="132" t="s">
        <v>4138</v>
      </c>
      <c r="BC2699" s="111">
        <f>AW2699+AX2699</f>
      </c>
      <c r="BD2699" s="111">
        <f>H2699/(100-BE2699)*100</f>
      </c>
      <c r="BE2699" s="111" t="n">
        <v>0</v>
      </c>
      <c r="BF2699" s="111">
        <f>2699</f>
      </c>
      <c r="BH2699" s="111">
        <f>G2699*AO2699</f>
      </c>
      <c r="BI2699" s="111">
        <f>G2699*AP2699</f>
      </c>
      <c r="BJ2699" s="111">
        <f>G2699*H2699</f>
      </c>
      <c r="BK2699" s="111"/>
      <c r="BL2699" s="111" t="n">
        <v>732</v>
      </c>
      <c r="BW2699" s="111" t="n">
        <v>21</v>
      </c>
      <c r="BX2699" s="14" t="s">
        <v>4236</v>
      </c>
    </row>
    <row r="2700">
      <c r="A2700" s="9" t="s">
        <v>4237</v>
      </c>
      <c r="B2700" s="10" t="s">
        <v>91</v>
      </c>
      <c r="C2700" s="10" t="s">
        <v>4238</v>
      </c>
      <c r="D2700" s="14" t="s">
        <v>4239</v>
      </c>
      <c r="E2700" s="10"/>
      <c r="F2700" s="10" t="s">
        <v>1962</v>
      </c>
      <c r="G2700" s="111" t="n">
        <v>2</v>
      </c>
      <c r="H2700" s="152" t="n">
        <v>0</v>
      </c>
      <c r="I2700" s="111">
        <f>G2700*H2700</f>
      </c>
      <c r="J2700" s="153" t="s">
        <v>4</v>
      </c>
      <c r="K2700" s="146"/>
      <c r="Z2700" s="111">
        <f>IF(AQ2700="5",BJ2700,0)</f>
      </c>
      <c r="AB2700" s="111">
        <f>IF(AQ2700="1",BH2700,0)</f>
      </c>
      <c r="AC2700" s="111">
        <f>IF(AQ2700="1",BI2700,0)</f>
      </c>
      <c r="AD2700" s="111">
        <f>IF(AQ2700="7",BH2700,0)</f>
      </c>
      <c r="AE2700" s="111">
        <f>IF(AQ2700="7",BI2700,0)</f>
      </c>
      <c r="AF2700" s="111">
        <f>IF(AQ2700="2",BH2700,0)</f>
      </c>
      <c r="AG2700" s="111">
        <f>IF(AQ2700="2",BI2700,0)</f>
      </c>
      <c r="AH2700" s="111">
        <f>IF(AQ2700="0",BJ2700,0)</f>
      </c>
      <c r="AI2700" s="132" t="s">
        <v>91</v>
      </c>
      <c r="AJ2700" s="111">
        <f>IF(AN2700=0,I2700,0)</f>
      </c>
      <c r="AK2700" s="111">
        <f>IF(AN2700=12,I2700,0)</f>
      </c>
      <c r="AL2700" s="111">
        <f>IF(AN2700=21,I2700,0)</f>
      </c>
      <c r="AN2700" s="111" t="n">
        <v>21</v>
      </c>
      <c r="AO2700" s="111">
        <f>H2700*0</f>
      </c>
      <c r="AP2700" s="111">
        <f>H2700*(1-0)</f>
      </c>
      <c r="AQ2700" s="153" t="s">
        <v>173</v>
      </c>
      <c r="AV2700" s="111">
        <f>AW2700+AX2700</f>
      </c>
      <c r="AW2700" s="111">
        <f>G2700*AO2700</f>
      </c>
      <c r="AX2700" s="111">
        <f>G2700*AP2700</f>
      </c>
      <c r="AY2700" s="153" t="s">
        <v>3728</v>
      </c>
      <c r="AZ2700" s="153" t="s">
        <v>4215</v>
      </c>
      <c r="BA2700" s="132" t="s">
        <v>4138</v>
      </c>
      <c r="BC2700" s="111">
        <f>AW2700+AX2700</f>
      </c>
      <c r="BD2700" s="111">
        <f>H2700/(100-BE2700)*100</f>
      </c>
      <c r="BE2700" s="111" t="n">
        <v>0</v>
      </c>
      <c r="BF2700" s="111">
        <f>2700</f>
      </c>
      <c r="BH2700" s="111">
        <f>G2700*AO2700</f>
      </c>
      <c r="BI2700" s="111">
        <f>G2700*AP2700</f>
      </c>
      <c r="BJ2700" s="111">
        <f>G2700*H2700</f>
      </c>
      <c r="BK2700" s="111"/>
      <c r="BL2700" s="111" t="n">
        <v>732</v>
      </c>
      <c r="BW2700" s="111" t="n">
        <v>21</v>
      </c>
      <c r="BX2700" s="14" t="s">
        <v>4239</v>
      </c>
    </row>
    <row r="2701">
      <c r="A2701" s="9" t="s">
        <v>4240</v>
      </c>
      <c r="B2701" s="10" t="s">
        <v>91</v>
      </c>
      <c r="C2701" s="10" t="s">
        <v>4241</v>
      </c>
      <c r="D2701" s="14" t="s">
        <v>4242</v>
      </c>
      <c r="E2701" s="10"/>
      <c r="F2701" s="10" t="s">
        <v>1962</v>
      </c>
      <c r="G2701" s="111" t="n">
        <v>1</v>
      </c>
      <c r="H2701" s="152" t="n">
        <v>0</v>
      </c>
      <c r="I2701" s="111">
        <f>G2701*H2701</f>
      </c>
      <c r="J2701" s="153" t="s">
        <v>4</v>
      </c>
      <c r="K2701" s="146"/>
      <c r="Z2701" s="111">
        <f>IF(AQ2701="5",BJ2701,0)</f>
      </c>
      <c r="AB2701" s="111">
        <f>IF(AQ2701="1",BH2701,0)</f>
      </c>
      <c r="AC2701" s="111">
        <f>IF(AQ2701="1",BI2701,0)</f>
      </c>
      <c r="AD2701" s="111">
        <f>IF(AQ2701="7",BH2701,0)</f>
      </c>
      <c r="AE2701" s="111">
        <f>IF(AQ2701="7",BI2701,0)</f>
      </c>
      <c r="AF2701" s="111">
        <f>IF(AQ2701="2",BH2701,0)</f>
      </c>
      <c r="AG2701" s="111">
        <f>IF(AQ2701="2",BI2701,0)</f>
      </c>
      <c r="AH2701" s="111">
        <f>IF(AQ2701="0",BJ2701,0)</f>
      </c>
      <c r="AI2701" s="132" t="s">
        <v>91</v>
      </c>
      <c r="AJ2701" s="111">
        <f>IF(AN2701=0,I2701,0)</f>
      </c>
      <c r="AK2701" s="111">
        <f>IF(AN2701=12,I2701,0)</f>
      </c>
      <c r="AL2701" s="111">
        <f>IF(AN2701=21,I2701,0)</f>
      </c>
      <c r="AN2701" s="111" t="n">
        <v>21</v>
      </c>
      <c r="AO2701" s="111">
        <f>H2701*0</f>
      </c>
      <c r="AP2701" s="111">
        <f>H2701*(1-0)</f>
      </c>
      <c r="AQ2701" s="153" t="s">
        <v>173</v>
      </c>
      <c r="AV2701" s="111">
        <f>AW2701+AX2701</f>
      </c>
      <c r="AW2701" s="111">
        <f>G2701*AO2701</f>
      </c>
      <c r="AX2701" s="111">
        <f>G2701*AP2701</f>
      </c>
      <c r="AY2701" s="153" t="s">
        <v>3728</v>
      </c>
      <c r="AZ2701" s="153" t="s">
        <v>4215</v>
      </c>
      <c r="BA2701" s="132" t="s">
        <v>4138</v>
      </c>
      <c r="BC2701" s="111">
        <f>AW2701+AX2701</f>
      </c>
      <c r="BD2701" s="111">
        <f>H2701/(100-BE2701)*100</f>
      </c>
      <c r="BE2701" s="111" t="n">
        <v>0</v>
      </c>
      <c r="BF2701" s="111">
        <f>2701</f>
      </c>
      <c r="BH2701" s="111">
        <f>G2701*AO2701</f>
      </c>
      <c r="BI2701" s="111">
        <f>G2701*AP2701</f>
      </c>
      <c r="BJ2701" s="111">
        <f>G2701*H2701</f>
      </c>
      <c r="BK2701" s="111"/>
      <c r="BL2701" s="111" t="n">
        <v>732</v>
      </c>
      <c r="BW2701" s="111" t="n">
        <v>21</v>
      </c>
      <c r="BX2701" s="14" t="s">
        <v>4242</v>
      </c>
    </row>
    <row r="2702">
      <c r="A2702" s="9" t="s">
        <v>4243</v>
      </c>
      <c r="B2702" s="10" t="s">
        <v>91</v>
      </c>
      <c r="C2702" s="10" t="s">
        <v>4244</v>
      </c>
      <c r="D2702" s="14" t="s">
        <v>4245</v>
      </c>
      <c r="E2702" s="10"/>
      <c r="F2702" s="10" t="s">
        <v>1962</v>
      </c>
      <c r="G2702" s="111" t="n">
        <v>6</v>
      </c>
      <c r="H2702" s="152" t="n">
        <v>0</v>
      </c>
      <c r="I2702" s="111">
        <f>G2702*H2702</f>
      </c>
      <c r="J2702" s="153" t="s">
        <v>4</v>
      </c>
      <c r="K2702" s="146"/>
      <c r="Z2702" s="111">
        <f>IF(AQ2702="5",BJ2702,0)</f>
      </c>
      <c r="AB2702" s="111">
        <f>IF(AQ2702="1",BH2702,0)</f>
      </c>
      <c r="AC2702" s="111">
        <f>IF(AQ2702="1",BI2702,0)</f>
      </c>
      <c r="AD2702" s="111">
        <f>IF(AQ2702="7",BH2702,0)</f>
      </c>
      <c r="AE2702" s="111">
        <f>IF(AQ2702="7",BI2702,0)</f>
      </c>
      <c r="AF2702" s="111">
        <f>IF(AQ2702="2",BH2702,0)</f>
      </c>
      <c r="AG2702" s="111">
        <f>IF(AQ2702="2",BI2702,0)</f>
      </c>
      <c r="AH2702" s="111">
        <f>IF(AQ2702="0",BJ2702,0)</f>
      </c>
      <c r="AI2702" s="132" t="s">
        <v>91</v>
      </c>
      <c r="AJ2702" s="111">
        <f>IF(AN2702=0,I2702,0)</f>
      </c>
      <c r="AK2702" s="111">
        <f>IF(AN2702=12,I2702,0)</f>
      </c>
      <c r="AL2702" s="111">
        <f>IF(AN2702=21,I2702,0)</f>
      </c>
      <c r="AN2702" s="111" t="n">
        <v>21</v>
      </c>
      <c r="AO2702" s="111">
        <f>H2702*0</f>
      </c>
      <c r="AP2702" s="111">
        <f>H2702*(1-0)</f>
      </c>
      <c r="AQ2702" s="153" t="s">
        <v>173</v>
      </c>
      <c r="AV2702" s="111">
        <f>AW2702+AX2702</f>
      </c>
      <c r="AW2702" s="111">
        <f>G2702*AO2702</f>
      </c>
      <c r="AX2702" s="111">
        <f>G2702*AP2702</f>
      </c>
      <c r="AY2702" s="153" t="s">
        <v>3728</v>
      </c>
      <c r="AZ2702" s="153" t="s">
        <v>4215</v>
      </c>
      <c r="BA2702" s="132" t="s">
        <v>4138</v>
      </c>
      <c r="BC2702" s="111">
        <f>AW2702+AX2702</f>
      </c>
      <c r="BD2702" s="111">
        <f>H2702/(100-BE2702)*100</f>
      </c>
      <c r="BE2702" s="111" t="n">
        <v>0</v>
      </c>
      <c r="BF2702" s="111">
        <f>2702</f>
      </c>
      <c r="BH2702" s="111">
        <f>G2702*AO2702</f>
      </c>
      <c r="BI2702" s="111">
        <f>G2702*AP2702</f>
      </c>
      <c r="BJ2702" s="111">
        <f>G2702*H2702</f>
      </c>
      <c r="BK2702" s="111"/>
      <c r="BL2702" s="111" t="n">
        <v>732</v>
      </c>
      <c r="BW2702" s="111" t="n">
        <v>21</v>
      </c>
      <c r="BX2702" s="14" t="s">
        <v>4245</v>
      </c>
    </row>
    <row r="2703">
      <c r="A2703" s="154"/>
      <c r="B2703" s="155"/>
      <c r="C2703" s="155"/>
      <c r="D2703" s="156" t="s">
        <v>3901</v>
      </c>
      <c r="E2703" s="156" t="s">
        <v>4246</v>
      </c>
      <c r="F2703" s="155"/>
      <c r="G2703" s="157" t="n">
        <v>2</v>
      </c>
      <c r="H2703" s="158"/>
      <c r="I2703" s="155"/>
      <c r="J2703" s="155"/>
      <c r="K2703" s="146"/>
    </row>
    <row r="2704">
      <c r="A2704" s="154"/>
      <c r="B2704" s="155"/>
      <c r="C2704" s="155"/>
      <c r="D2704" s="156" t="s">
        <v>4247</v>
      </c>
      <c r="E2704" s="156" t="s">
        <v>4248</v>
      </c>
      <c r="F2704" s="155"/>
      <c r="G2704" s="157" t="n">
        <v>3</v>
      </c>
      <c r="H2704" s="158"/>
      <c r="I2704" s="155"/>
      <c r="J2704" s="155"/>
      <c r="K2704" s="146"/>
    </row>
    <row r="2705">
      <c r="A2705" s="154"/>
      <c r="B2705" s="155"/>
      <c r="C2705" s="155"/>
      <c r="D2705" s="156" t="s">
        <v>3910</v>
      </c>
      <c r="E2705" s="156" t="s">
        <v>4249</v>
      </c>
      <c r="F2705" s="155"/>
      <c r="G2705" s="157" t="n">
        <v>1</v>
      </c>
      <c r="H2705" s="158"/>
      <c r="I2705" s="155"/>
      <c r="J2705" s="155"/>
      <c r="K2705" s="146"/>
    </row>
    <row r="2706">
      <c r="A2706" s="9" t="s">
        <v>4250</v>
      </c>
      <c r="B2706" s="10" t="s">
        <v>91</v>
      </c>
      <c r="C2706" s="10" t="s">
        <v>4251</v>
      </c>
      <c r="D2706" s="14" t="s">
        <v>4252</v>
      </c>
      <c r="E2706" s="10"/>
      <c r="F2706" s="10" t="s">
        <v>1962</v>
      </c>
      <c r="G2706" s="111" t="n">
        <v>2</v>
      </c>
      <c r="H2706" s="152" t="n">
        <v>0</v>
      </c>
      <c r="I2706" s="111">
        <f>G2706*H2706</f>
      </c>
      <c r="J2706" s="153" t="s">
        <v>4</v>
      </c>
      <c r="K2706" s="146"/>
      <c r="Z2706" s="111">
        <f>IF(AQ2706="5",BJ2706,0)</f>
      </c>
      <c r="AB2706" s="111">
        <f>IF(AQ2706="1",BH2706,0)</f>
      </c>
      <c r="AC2706" s="111">
        <f>IF(AQ2706="1",BI2706,0)</f>
      </c>
      <c r="AD2706" s="111">
        <f>IF(AQ2706="7",BH2706,0)</f>
      </c>
      <c r="AE2706" s="111">
        <f>IF(AQ2706="7",BI2706,0)</f>
      </c>
      <c r="AF2706" s="111">
        <f>IF(AQ2706="2",BH2706,0)</f>
      </c>
      <c r="AG2706" s="111">
        <f>IF(AQ2706="2",BI2706,0)</f>
      </c>
      <c r="AH2706" s="111">
        <f>IF(AQ2706="0",BJ2706,0)</f>
      </c>
      <c r="AI2706" s="132" t="s">
        <v>91</v>
      </c>
      <c r="AJ2706" s="111">
        <f>IF(AN2706=0,I2706,0)</f>
      </c>
      <c r="AK2706" s="111">
        <f>IF(AN2706=12,I2706,0)</f>
      </c>
      <c r="AL2706" s="111">
        <f>IF(AN2706=21,I2706,0)</f>
      </c>
      <c r="AN2706" s="111" t="n">
        <v>21</v>
      </c>
      <c r="AO2706" s="111">
        <f>H2706*0</f>
      </c>
      <c r="AP2706" s="111">
        <f>H2706*(1-0)</f>
      </c>
      <c r="AQ2706" s="153" t="s">
        <v>173</v>
      </c>
      <c r="AV2706" s="111">
        <f>AW2706+AX2706</f>
      </c>
      <c r="AW2706" s="111">
        <f>G2706*AO2706</f>
      </c>
      <c r="AX2706" s="111">
        <f>G2706*AP2706</f>
      </c>
      <c r="AY2706" s="153" t="s">
        <v>3728</v>
      </c>
      <c r="AZ2706" s="153" t="s">
        <v>4215</v>
      </c>
      <c r="BA2706" s="132" t="s">
        <v>4138</v>
      </c>
      <c r="BC2706" s="111">
        <f>AW2706+AX2706</f>
      </c>
      <c r="BD2706" s="111">
        <f>H2706/(100-BE2706)*100</f>
      </c>
      <c r="BE2706" s="111" t="n">
        <v>0</v>
      </c>
      <c r="BF2706" s="111">
        <f>2706</f>
      </c>
      <c r="BH2706" s="111">
        <f>G2706*AO2706</f>
      </c>
      <c r="BI2706" s="111">
        <f>G2706*AP2706</f>
      </c>
      <c r="BJ2706" s="111">
        <f>G2706*H2706</f>
      </c>
      <c r="BK2706" s="111"/>
      <c r="BL2706" s="111" t="n">
        <v>732</v>
      </c>
      <c r="BW2706" s="111" t="n">
        <v>21</v>
      </c>
      <c r="BX2706" s="14" t="s">
        <v>4252</v>
      </c>
    </row>
    <row r="2707">
      <c r="A2707" s="9" t="s">
        <v>4253</v>
      </c>
      <c r="B2707" s="10" t="s">
        <v>91</v>
      </c>
      <c r="C2707" s="10" t="s">
        <v>4254</v>
      </c>
      <c r="D2707" s="14" t="s">
        <v>4255</v>
      </c>
      <c r="E2707" s="10"/>
      <c r="F2707" s="10" t="s">
        <v>2277</v>
      </c>
      <c r="G2707" s="111" t="n">
        <v>2</v>
      </c>
      <c r="H2707" s="152" t="n">
        <v>0</v>
      </c>
      <c r="I2707" s="111">
        <f>G2707*H2707</f>
      </c>
      <c r="J2707" s="153" t="s">
        <v>4</v>
      </c>
      <c r="K2707" s="146"/>
      <c r="Z2707" s="111">
        <f>IF(AQ2707="5",BJ2707,0)</f>
      </c>
      <c r="AB2707" s="111">
        <f>IF(AQ2707="1",BH2707,0)</f>
      </c>
      <c r="AC2707" s="111">
        <f>IF(AQ2707="1",BI2707,0)</f>
      </c>
      <c r="AD2707" s="111">
        <f>IF(AQ2707="7",BH2707,0)</f>
      </c>
      <c r="AE2707" s="111">
        <f>IF(AQ2707="7",BI2707,0)</f>
      </c>
      <c r="AF2707" s="111">
        <f>IF(AQ2707="2",BH2707,0)</f>
      </c>
      <c r="AG2707" s="111">
        <f>IF(AQ2707="2",BI2707,0)</f>
      </c>
      <c r="AH2707" s="111">
        <f>IF(AQ2707="0",BJ2707,0)</f>
      </c>
      <c r="AI2707" s="132" t="s">
        <v>91</v>
      </c>
      <c r="AJ2707" s="111">
        <f>IF(AN2707=0,I2707,0)</f>
      </c>
      <c r="AK2707" s="111">
        <f>IF(AN2707=12,I2707,0)</f>
      </c>
      <c r="AL2707" s="111">
        <f>IF(AN2707=21,I2707,0)</f>
      </c>
      <c r="AN2707" s="111" t="n">
        <v>21</v>
      </c>
      <c r="AO2707" s="111">
        <f>H2707*0</f>
      </c>
      <c r="AP2707" s="111">
        <f>H2707*(1-0)</f>
      </c>
      <c r="AQ2707" s="153" t="s">
        <v>173</v>
      </c>
      <c r="AV2707" s="111">
        <f>AW2707+AX2707</f>
      </c>
      <c r="AW2707" s="111">
        <f>G2707*AO2707</f>
      </c>
      <c r="AX2707" s="111">
        <f>G2707*AP2707</f>
      </c>
      <c r="AY2707" s="153" t="s">
        <v>3728</v>
      </c>
      <c r="AZ2707" s="153" t="s">
        <v>4215</v>
      </c>
      <c r="BA2707" s="132" t="s">
        <v>4138</v>
      </c>
      <c r="BC2707" s="111">
        <f>AW2707+AX2707</f>
      </c>
      <c r="BD2707" s="111">
        <f>H2707/(100-BE2707)*100</f>
      </c>
      <c r="BE2707" s="111" t="n">
        <v>0</v>
      </c>
      <c r="BF2707" s="111">
        <f>2707</f>
      </c>
      <c r="BH2707" s="111">
        <f>G2707*AO2707</f>
      </c>
      <c r="BI2707" s="111">
        <f>G2707*AP2707</f>
      </c>
      <c r="BJ2707" s="111">
        <f>G2707*H2707</f>
      </c>
      <c r="BK2707" s="111"/>
      <c r="BL2707" s="111" t="n">
        <v>732</v>
      </c>
      <c r="BW2707" s="111" t="n">
        <v>21</v>
      </c>
      <c r="BX2707" s="14" t="s">
        <v>4255</v>
      </c>
    </row>
    <row r="2708">
      <c r="A2708" s="9" t="s">
        <v>4256</v>
      </c>
      <c r="B2708" s="10" t="s">
        <v>91</v>
      </c>
      <c r="C2708" s="10" t="s">
        <v>4257</v>
      </c>
      <c r="D2708" s="14" t="s">
        <v>4258</v>
      </c>
      <c r="E2708" s="10"/>
      <c r="F2708" s="10" t="s">
        <v>2277</v>
      </c>
      <c r="G2708" s="111" t="n">
        <v>1</v>
      </c>
      <c r="H2708" s="152" t="n">
        <v>0</v>
      </c>
      <c r="I2708" s="111">
        <f>G2708*H2708</f>
      </c>
      <c r="J2708" s="153" t="s">
        <v>4</v>
      </c>
      <c r="K2708" s="146"/>
      <c r="Z2708" s="111">
        <f>IF(AQ2708="5",BJ2708,0)</f>
      </c>
      <c r="AB2708" s="111">
        <f>IF(AQ2708="1",BH2708,0)</f>
      </c>
      <c r="AC2708" s="111">
        <f>IF(AQ2708="1",BI2708,0)</f>
      </c>
      <c r="AD2708" s="111">
        <f>IF(AQ2708="7",BH2708,0)</f>
      </c>
      <c r="AE2708" s="111">
        <f>IF(AQ2708="7",BI2708,0)</f>
      </c>
      <c r="AF2708" s="111">
        <f>IF(AQ2708="2",BH2708,0)</f>
      </c>
      <c r="AG2708" s="111">
        <f>IF(AQ2708="2",BI2708,0)</f>
      </c>
      <c r="AH2708" s="111">
        <f>IF(AQ2708="0",BJ2708,0)</f>
      </c>
      <c r="AI2708" s="132" t="s">
        <v>91</v>
      </c>
      <c r="AJ2708" s="111">
        <f>IF(AN2708=0,I2708,0)</f>
      </c>
      <c r="AK2708" s="111">
        <f>IF(AN2708=12,I2708,0)</f>
      </c>
      <c r="AL2708" s="111">
        <f>IF(AN2708=21,I2708,0)</f>
      </c>
      <c r="AN2708" s="111" t="n">
        <v>21</v>
      </c>
      <c r="AO2708" s="111">
        <f>H2708*0</f>
      </c>
      <c r="AP2708" s="111">
        <f>H2708*(1-0)</f>
      </c>
      <c r="AQ2708" s="153" t="s">
        <v>173</v>
      </c>
      <c r="AV2708" s="111">
        <f>AW2708+AX2708</f>
      </c>
      <c r="AW2708" s="111">
        <f>G2708*AO2708</f>
      </c>
      <c r="AX2708" s="111">
        <f>G2708*AP2708</f>
      </c>
      <c r="AY2708" s="153" t="s">
        <v>3728</v>
      </c>
      <c r="AZ2708" s="153" t="s">
        <v>4215</v>
      </c>
      <c r="BA2708" s="132" t="s">
        <v>4138</v>
      </c>
      <c r="BC2708" s="111">
        <f>AW2708+AX2708</f>
      </c>
      <c r="BD2708" s="111">
        <f>H2708/(100-BE2708)*100</f>
      </c>
      <c r="BE2708" s="111" t="n">
        <v>0</v>
      </c>
      <c r="BF2708" s="111">
        <f>2708</f>
      </c>
      <c r="BH2708" s="111">
        <f>G2708*AO2708</f>
      </c>
      <c r="BI2708" s="111">
        <f>G2708*AP2708</f>
      </c>
      <c r="BJ2708" s="111">
        <f>G2708*H2708</f>
      </c>
      <c r="BK2708" s="111"/>
      <c r="BL2708" s="111" t="n">
        <v>732</v>
      </c>
      <c r="BW2708" s="111" t="n">
        <v>21</v>
      </c>
      <c r="BX2708" s="14" t="s">
        <v>4258</v>
      </c>
    </row>
    <row r="2709">
      <c r="A2709" s="9" t="s">
        <v>4259</v>
      </c>
      <c r="B2709" s="10" t="s">
        <v>91</v>
      </c>
      <c r="C2709" s="10" t="s">
        <v>4260</v>
      </c>
      <c r="D2709" s="14" t="s">
        <v>4261</v>
      </c>
      <c r="E2709" s="10"/>
      <c r="F2709" s="10" t="s">
        <v>2277</v>
      </c>
      <c r="G2709" s="111" t="n">
        <v>1</v>
      </c>
      <c r="H2709" s="152" t="n">
        <v>0</v>
      </c>
      <c r="I2709" s="111">
        <f>G2709*H2709</f>
      </c>
      <c r="J2709" s="153" t="s">
        <v>4</v>
      </c>
      <c r="K2709" s="146"/>
      <c r="Z2709" s="111">
        <f>IF(AQ2709="5",BJ2709,0)</f>
      </c>
      <c r="AB2709" s="111">
        <f>IF(AQ2709="1",BH2709,0)</f>
      </c>
      <c r="AC2709" s="111">
        <f>IF(AQ2709="1",BI2709,0)</f>
      </c>
      <c r="AD2709" s="111">
        <f>IF(AQ2709="7",BH2709,0)</f>
      </c>
      <c r="AE2709" s="111">
        <f>IF(AQ2709="7",BI2709,0)</f>
      </c>
      <c r="AF2709" s="111">
        <f>IF(AQ2709="2",BH2709,0)</f>
      </c>
      <c r="AG2709" s="111">
        <f>IF(AQ2709="2",BI2709,0)</f>
      </c>
      <c r="AH2709" s="111">
        <f>IF(AQ2709="0",BJ2709,0)</f>
      </c>
      <c r="AI2709" s="132" t="s">
        <v>91</v>
      </c>
      <c r="AJ2709" s="111">
        <f>IF(AN2709=0,I2709,0)</f>
      </c>
      <c r="AK2709" s="111">
        <f>IF(AN2709=12,I2709,0)</f>
      </c>
      <c r="AL2709" s="111">
        <f>IF(AN2709=21,I2709,0)</f>
      </c>
      <c r="AN2709" s="111" t="n">
        <v>21</v>
      </c>
      <c r="AO2709" s="111">
        <f>H2709*0</f>
      </c>
      <c r="AP2709" s="111">
        <f>H2709*(1-0)</f>
      </c>
      <c r="AQ2709" s="153" t="s">
        <v>173</v>
      </c>
      <c r="AV2709" s="111">
        <f>AW2709+AX2709</f>
      </c>
      <c r="AW2709" s="111">
        <f>G2709*AO2709</f>
      </c>
      <c r="AX2709" s="111">
        <f>G2709*AP2709</f>
      </c>
      <c r="AY2709" s="153" t="s">
        <v>3728</v>
      </c>
      <c r="AZ2709" s="153" t="s">
        <v>4215</v>
      </c>
      <c r="BA2709" s="132" t="s">
        <v>4138</v>
      </c>
      <c r="BC2709" s="111">
        <f>AW2709+AX2709</f>
      </c>
      <c r="BD2709" s="111">
        <f>H2709/(100-BE2709)*100</f>
      </c>
      <c r="BE2709" s="111" t="n">
        <v>0</v>
      </c>
      <c r="BF2709" s="111">
        <f>2709</f>
      </c>
      <c r="BH2709" s="111">
        <f>G2709*AO2709</f>
      </c>
      <c r="BI2709" s="111">
        <f>G2709*AP2709</f>
      </c>
      <c r="BJ2709" s="111">
        <f>G2709*H2709</f>
      </c>
      <c r="BK2709" s="111"/>
      <c r="BL2709" s="111" t="n">
        <v>732</v>
      </c>
      <c r="BW2709" s="111" t="n">
        <v>21</v>
      </c>
      <c r="BX2709" s="14" t="s">
        <v>4261</v>
      </c>
    </row>
    <row r="2710">
      <c r="A2710" s="9" t="s">
        <v>4262</v>
      </c>
      <c r="B2710" s="10" t="s">
        <v>91</v>
      </c>
      <c r="C2710" s="10" t="s">
        <v>4263</v>
      </c>
      <c r="D2710" s="14" t="s">
        <v>4264</v>
      </c>
      <c r="E2710" s="10"/>
      <c r="F2710" s="10" t="s">
        <v>2277</v>
      </c>
      <c r="G2710" s="111" t="n">
        <v>1</v>
      </c>
      <c r="H2710" s="152" t="n">
        <v>0</v>
      </c>
      <c r="I2710" s="111">
        <f>G2710*H2710</f>
      </c>
      <c r="J2710" s="153" t="s">
        <v>4</v>
      </c>
      <c r="K2710" s="146"/>
      <c r="Z2710" s="111">
        <f>IF(AQ2710="5",BJ2710,0)</f>
      </c>
      <c r="AB2710" s="111">
        <f>IF(AQ2710="1",BH2710,0)</f>
      </c>
      <c r="AC2710" s="111">
        <f>IF(AQ2710="1",BI2710,0)</f>
      </c>
      <c r="AD2710" s="111">
        <f>IF(AQ2710="7",BH2710,0)</f>
      </c>
      <c r="AE2710" s="111">
        <f>IF(AQ2710="7",BI2710,0)</f>
      </c>
      <c r="AF2710" s="111">
        <f>IF(AQ2710="2",BH2710,0)</f>
      </c>
      <c r="AG2710" s="111">
        <f>IF(AQ2710="2",BI2710,0)</f>
      </c>
      <c r="AH2710" s="111">
        <f>IF(AQ2710="0",BJ2710,0)</f>
      </c>
      <c r="AI2710" s="132" t="s">
        <v>91</v>
      </c>
      <c r="AJ2710" s="111">
        <f>IF(AN2710=0,I2710,0)</f>
      </c>
      <c r="AK2710" s="111">
        <f>IF(AN2710=12,I2710,0)</f>
      </c>
      <c r="AL2710" s="111">
        <f>IF(AN2710=21,I2710,0)</f>
      </c>
      <c r="AN2710" s="111" t="n">
        <v>21</v>
      </c>
      <c r="AO2710" s="111">
        <f>H2710*0</f>
      </c>
      <c r="AP2710" s="111">
        <f>H2710*(1-0)</f>
      </c>
      <c r="AQ2710" s="153" t="s">
        <v>173</v>
      </c>
      <c r="AV2710" s="111">
        <f>AW2710+AX2710</f>
      </c>
      <c r="AW2710" s="111">
        <f>G2710*AO2710</f>
      </c>
      <c r="AX2710" s="111">
        <f>G2710*AP2710</f>
      </c>
      <c r="AY2710" s="153" t="s">
        <v>3728</v>
      </c>
      <c r="AZ2710" s="153" t="s">
        <v>4215</v>
      </c>
      <c r="BA2710" s="132" t="s">
        <v>4138</v>
      </c>
      <c r="BC2710" s="111">
        <f>AW2710+AX2710</f>
      </c>
      <c r="BD2710" s="111">
        <f>H2710/(100-BE2710)*100</f>
      </c>
      <c r="BE2710" s="111" t="n">
        <v>0</v>
      </c>
      <c r="BF2710" s="111">
        <f>2710</f>
      </c>
      <c r="BH2710" s="111">
        <f>G2710*AO2710</f>
      </c>
      <c r="BI2710" s="111">
        <f>G2710*AP2710</f>
      </c>
      <c r="BJ2710" s="111">
        <f>G2710*H2710</f>
      </c>
      <c r="BK2710" s="111"/>
      <c r="BL2710" s="111" t="n">
        <v>732</v>
      </c>
      <c r="BW2710" s="111" t="n">
        <v>21</v>
      </c>
      <c r="BX2710" s="14" t="s">
        <v>4264</v>
      </c>
    </row>
    <row r="2711">
      <c r="A2711" s="9" t="s">
        <v>4265</v>
      </c>
      <c r="B2711" s="10" t="s">
        <v>91</v>
      </c>
      <c r="C2711" s="10" t="s">
        <v>4266</v>
      </c>
      <c r="D2711" s="14" t="s">
        <v>4267</v>
      </c>
      <c r="E2711" s="10"/>
      <c r="F2711" s="10" t="s">
        <v>61</v>
      </c>
      <c r="G2711" s="111" t="n">
        <v>13254.55</v>
      </c>
      <c r="H2711" s="152" t="n">
        <v>0</v>
      </c>
      <c r="I2711" s="111">
        <f>G2711*H2711</f>
      </c>
      <c r="J2711" s="153" t="s">
        <v>4</v>
      </c>
      <c r="K2711" s="146"/>
      <c r="Z2711" s="111">
        <f>IF(AQ2711="5",BJ2711,0)</f>
      </c>
      <c r="AB2711" s="111">
        <f>IF(AQ2711="1",BH2711,0)</f>
      </c>
      <c r="AC2711" s="111">
        <f>IF(AQ2711="1",BI2711,0)</f>
      </c>
      <c r="AD2711" s="111">
        <f>IF(AQ2711="7",BH2711,0)</f>
      </c>
      <c r="AE2711" s="111">
        <f>IF(AQ2711="7",BI2711,0)</f>
      </c>
      <c r="AF2711" s="111">
        <f>IF(AQ2711="2",BH2711,0)</f>
      </c>
      <c r="AG2711" s="111">
        <f>IF(AQ2711="2",BI2711,0)</f>
      </c>
      <c r="AH2711" s="111">
        <f>IF(AQ2711="0",BJ2711,0)</f>
      </c>
      <c r="AI2711" s="132" t="s">
        <v>91</v>
      </c>
      <c r="AJ2711" s="111">
        <f>IF(AN2711=0,I2711,0)</f>
      </c>
      <c r="AK2711" s="111">
        <f>IF(AN2711=12,I2711,0)</f>
      </c>
      <c r="AL2711" s="111">
        <f>IF(AN2711=21,I2711,0)</f>
      </c>
      <c r="AN2711" s="111" t="n">
        <v>21</v>
      </c>
      <c r="AO2711" s="111">
        <f>H2711*0</f>
      </c>
      <c r="AP2711" s="111">
        <f>H2711*(1-0)</f>
      </c>
      <c r="AQ2711" s="153" t="s">
        <v>173</v>
      </c>
      <c r="AV2711" s="111">
        <f>AW2711+AX2711</f>
      </c>
      <c r="AW2711" s="111">
        <f>G2711*AO2711</f>
      </c>
      <c r="AX2711" s="111">
        <f>G2711*AP2711</f>
      </c>
      <c r="AY2711" s="153" t="s">
        <v>3728</v>
      </c>
      <c r="AZ2711" s="153" t="s">
        <v>4215</v>
      </c>
      <c r="BA2711" s="132" t="s">
        <v>4138</v>
      </c>
      <c r="BC2711" s="111">
        <f>AW2711+AX2711</f>
      </c>
      <c r="BD2711" s="111">
        <f>H2711/(100-BE2711)*100</f>
      </c>
      <c r="BE2711" s="111" t="n">
        <v>0</v>
      </c>
      <c r="BF2711" s="111">
        <f>2711</f>
      </c>
      <c r="BH2711" s="111">
        <f>G2711*AO2711</f>
      </c>
      <c r="BI2711" s="111">
        <f>G2711*AP2711</f>
      </c>
      <c r="BJ2711" s="111">
        <f>G2711*H2711</f>
      </c>
      <c r="BK2711" s="111"/>
      <c r="BL2711" s="111" t="n">
        <v>732</v>
      </c>
      <c r="BW2711" s="111" t="n">
        <v>21</v>
      </c>
      <c r="BX2711" s="14" t="s">
        <v>4267</v>
      </c>
    </row>
    <row r="2712">
      <c r="A2712" s="9" t="s">
        <v>4268</v>
      </c>
      <c r="B2712" s="10" t="s">
        <v>91</v>
      </c>
      <c r="C2712" s="10" t="s">
        <v>4269</v>
      </c>
      <c r="D2712" s="14" t="s">
        <v>4270</v>
      </c>
      <c r="E2712" s="10"/>
      <c r="F2712" s="10" t="s">
        <v>4271</v>
      </c>
      <c r="G2712" s="111" t="n">
        <v>8</v>
      </c>
      <c r="H2712" s="152" t="n">
        <v>0</v>
      </c>
      <c r="I2712" s="111">
        <f>G2712*H2712</f>
      </c>
      <c r="J2712" s="153" t="s">
        <v>4</v>
      </c>
      <c r="K2712" s="146"/>
      <c r="Z2712" s="111">
        <f>IF(AQ2712="5",BJ2712,0)</f>
      </c>
      <c r="AB2712" s="111">
        <f>IF(AQ2712="1",BH2712,0)</f>
      </c>
      <c r="AC2712" s="111">
        <f>IF(AQ2712="1",BI2712,0)</f>
      </c>
      <c r="AD2712" s="111">
        <f>IF(AQ2712="7",BH2712,0)</f>
      </c>
      <c r="AE2712" s="111">
        <f>IF(AQ2712="7",BI2712,0)</f>
      </c>
      <c r="AF2712" s="111">
        <f>IF(AQ2712="2",BH2712,0)</f>
      </c>
      <c r="AG2712" s="111">
        <f>IF(AQ2712="2",BI2712,0)</f>
      </c>
      <c r="AH2712" s="111">
        <f>IF(AQ2712="0",BJ2712,0)</f>
      </c>
      <c r="AI2712" s="132" t="s">
        <v>91</v>
      </c>
      <c r="AJ2712" s="111">
        <f>IF(AN2712=0,I2712,0)</f>
      </c>
      <c r="AK2712" s="111">
        <f>IF(AN2712=12,I2712,0)</f>
      </c>
      <c r="AL2712" s="111">
        <f>IF(AN2712=21,I2712,0)</f>
      </c>
      <c r="AN2712" s="111" t="n">
        <v>21</v>
      </c>
      <c r="AO2712" s="111">
        <f>H2712*0</f>
      </c>
      <c r="AP2712" s="111">
        <f>H2712*(1-0)</f>
      </c>
      <c r="AQ2712" s="153" t="s">
        <v>173</v>
      </c>
      <c r="AV2712" s="111">
        <f>AW2712+AX2712</f>
      </c>
      <c r="AW2712" s="111">
        <f>G2712*AO2712</f>
      </c>
      <c r="AX2712" s="111">
        <f>G2712*AP2712</f>
      </c>
      <c r="AY2712" s="153" t="s">
        <v>3728</v>
      </c>
      <c r="AZ2712" s="153" t="s">
        <v>4215</v>
      </c>
      <c r="BA2712" s="132" t="s">
        <v>4138</v>
      </c>
      <c r="BC2712" s="111">
        <f>AW2712+AX2712</f>
      </c>
      <c r="BD2712" s="111">
        <f>H2712/(100-BE2712)*100</f>
      </c>
      <c r="BE2712" s="111" t="n">
        <v>0</v>
      </c>
      <c r="BF2712" s="111">
        <f>2712</f>
      </c>
      <c r="BH2712" s="111">
        <f>G2712*AO2712</f>
      </c>
      <c r="BI2712" s="111">
        <f>G2712*AP2712</f>
      </c>
      <c r="BJ2712" s="111">
        <f>G2712*H2712</f>
      </c>
      <c r="BK2712" s="111"/>
      <c r="BL2712" s="111" t="n">
        <v>732</v>
      </c>
      <c r="BW2712" s="111" t="n">
        <v>21</v>
      </c>
      <c r="BX2712" s="14" t="s">
        <v>4270</v>
      </c>
    </row>
    <row r="2713">
      <c r="A2713" s="9" t="s">
        <v>4272</v>
      </c>
      <c r="B2713" s="10" t="s">
        <v>91</v>
      </c>
      <c r="C2713" s="10" t="s">
        <v>4273</v>
      </c>
      <c r="D2713" s="14" t="s">
        <v>4274</v>
      </c>
      <c r="E2713" s="10"/>
      <c r="F2713" s="10" t="s">
        <v>133</v>
      </c>
      <c r="G2713" s="111" t="n">
        <v>2</v>
      </c>
      <c r="H2713" s="152" t="n">
        <v>0</v>
      </c>
      <c r="I2713" s="111">
        <f>G2713*H2713</f>
      </c>
      <c r="J2713" s="153" t="s">
        <v>4</v>
      </c>
      <c r="K2713" s="146"/>
      <c r="Z2713" s="111">
        <f>IF(AQ2713="5",BJ2713,0)</f>
      </c>
      <c r="AB2713" s="111">
        <f>IF(AQ2713="1",BH2713,0)</f>
      </c>
      <c r="AC2713" s="111">
        <f>IF(AQ2713="1",BI2713,0)</f>
      </c>
      <c r="AD2713" s="111">
        <f>IF(AQ2713="7",BH2713,0)</f>
      </c>
      <c r="AE2713" s="111">
        <f>IF(AQ2713="7",BI2713,0)</f>
      </c>
      <c r="AF2713" s="111">
        <f>IF(AQ2713="2",BH2713,0)</f>
      </c>
      <c r="AG2713" s="111">
        <f>IF(AQ2713="2",BI2713,0)</f>
      </c>
      <c r="AH2713" s="111">
        <f>IF(AQ2713="0",BJ2713,0)</f>
      </c>
      <c r="AI2713" s="132" t="s">
        <v>91</v>
      </c>
      <c r="AJ2713" s="111">
        <f>IF(AN2713=0,I2713,0)</f>
      </c>
      <c r="AK2713" s="111">
        <f>IF(AN2713=12,I2713,0)</f>
      </c>
      <c r="AL2713" s="111">
        <f>IF(AN2713=21,I2713,0)</f>
      </c>
      <c r="AN2713" s="111" t="n">
        <v>21</v>
      </c>
      <c r="AO2713" s="111">
        <f>H2713*1</f>
      </c>
      <c r="AP2713" s="111">
        <f>H2713*(1-1)</f>
      </c>
      <c r="AQ2713" s="153" t="s">
        <v>173</v>
      </c>
      <c r="AV2713" s="111">
        <f>AW2713+AX2713</f>
      </c>
      <c r="AW2713" s="111">
        <f>G2713*AO2713</f>
      </c>
      <c r="AX2713" s="111">
        <f>G2713*AP2713</f>
      </c>
      <c r="AY2713" s="153" t="s">
        <v>3728</v>
      </c>
      <c r="AZ2713" s="153" t="s">
        <v>4215</v>
      </c>
      <c r="BA2713" s="132" t="s">
        <v>4138</v>
      </c>
      <c r="BC2713" s="111">
        <f>AW2713+AX2713</f>
      </c>
      <c r="BD2713" s="111">
        <f>H2713/(100-BE2713)*100</f>
      </c>
      <c r="BE2713" s="111" t="n">
        <v>0</v>
      </c>
      <c r="BF2713" s="111">
        <f>2713</f>
      </c>
      <c r="BH2713" s="111">
        <f>G2713*AO2713</f>
      </c>
      <c r="BI2713" s="111">
        <f>G2713*AP2713</f>
      </c>
      <c r="BJ2713" s="111">
        <f>G2713*H2713</f>
      </c>
      <c r="BK2713" s="111"/>
      <c r="BL2713" s="111" t="n">
        <v>732</v>
      </c>
      <c r="BW2713" s="111" t="n">
        <v>21</v>
      </c>
      <c r="BX2713" s="14" t="s">
        <v>4274</v>
      </c>
    </row>
    <row r="2714">
      <c r="A2714" s="9" t="s">
        <v>4275</v>
      </c>
      <c r="B2714" s="10" t="s">
        <v>91</v>
      </c>
      <c r="C2714" s="10" t="s">
        <v>4273</v>
      </c>
      <c r="D2714" s="14" t="s">
        <v>4274</v>
      </c>
      <c r="E2714" s="10"/>
      <c r="F2714" s="10" t="s">
        <v>133</v>
      </c>
      <c r="G2714" s="111" t="n">
        <v>2</v>
      </c>
      <c r="H2714" s="152" t="n">
        <v>0</v>
      </c>
      <c r="I2714" s="111">
        <f>G2714*H2714</f>
      </c>
      <c r="J2714" s="153" t="s">
        <v>4</v>
      </c>
      <c r="K2714" s="146"/>
      <c r="Z2714" s="111">
        <f>IF(AQ2714="5",BJ2714,0)</f>
      </c>
      <c r="AB2714" s="111">
        <f>IF(AQ2714="1",BH2714,0)</f>
      </c>
      <c r="AC2714" s="111">
        <f>IF(AQ2714="1",BI2714,0)</f>
      </c>
      <c r="AD2714" s="111">
        <f>IF(AQ2714="7",BH2714,0)</f>
      </c>
      <c r="AE2714" s="111">
        <f>IF(AQ2714="7",BI2714,0)</f>
      </c>
      <c r="AF2714" s="111">
        <f>IF(AQ2714="2",BH2714,0)</f>
      </c>
      <c r="AG2714" s="111">
        <f>IF(AQ2714="2",BI2714,0)</f>
      </c>
      <c r="AH2714" s="111">
        <f>IF(AQ2714="0",BJ2714,0)</f>
      </c>
      <c r="AI2714" s="132" t="s">
        <v>91</v>
      </c>
      <c r="AJ2714" s="111">
        <f>IF(AN2714=0,I2714,0)</f>
      </c>
      <c r="AK2714" s="111">
        <f>IF(AN2714=12,I2714,0)</f>
      </c>
      <c r="AL2714" s="111">
        <f>IF(AN2714=21,I2714,0)</f>
      </c>
      <c r="AN2714" s="111" t="n">
        <v>21</v>
      </c>
      <c r="AO2714" s="111">
        <f>H2714*1</f>
      </c>
      <c r="AP2714" s="111">
        <f>H2714*(1-1)</f>
      </c>
      <c r="AQ2714" s="153" t="s">
        <v>173</v>
      </c>
      <c r="AV2714" s="111">
        <f>AW2714+AX2714</f>
      </c>
      <c r="AW2714" s="111">
        <f>G2714*AO2714</f>
      </c>
      <c r="AX2714" s="111">
        <f>G2714*AP2714</f>
      </c>
      <c r="AY2714" s="153" t="s">
        <v>3728</v>
      </c>
      <c r="AZ2714" s="153" t="s">
        <v>4215</v>
      </c>
      <c r="BA2714" s="132" t="s">
        <v>4138</v>
      </c>
      <c r="BC2714" s="111">
        <f>AW2714+AX2714</f>
      </c>
      <c r="BD2714" s="111">
        <f>H2714/(100-BE2714)*100</f>
      </c>
      <c r="BE2714" s="111" t="n">
        <v>0</v>
      </c>
      <c r="BF2714" s="111">
        <f>2714</f>
      </c>
      <c r="BH2714" s="111">
        <f>G2714*AO2714</f>
      </c>
      <c r="BI2714" s="111">
        <f>G2714*AP2714</f>
      </c>
      <c r="BJ2714" s="111">
        <f>G2714*H2714</f>
      </c>
      <c r="BK2714" s="111"/>
      <c r="BL2714" s="111" t="n">
        <v>732</v>
      </c>
      <c r="BW2714" s="111" t="n">
        <v>21</v>
      </c>
      <c r="BX2714" s="14" t="s">
        <v>4274</v>
      </c>
    </row>
    <row r="2715">
      <c r="A2715" s="9" t="s">
        <v>4276</v>
      </c>
      <c r="B2715" s="10" t="s">
        <v>91</v>
      </c>
      <c r="C2715" s="10" t="s">
        <v>4277</v>
      </c>
      <c r="D2715" s="14" t="s">
        <v>4278</v>
      </c>
      <c r="E2715" s="10"/>
      <c r="F2715" s="10" t="s">
        <v>133</v>
      </c>
      <c r="G2715" s="111" t="n">
        <v>1</v>
      </c>
      <c r="H2715" s="152" t="n">
        <v>0</v>
      </c>
      <c r="I2715" s="111">
        <f>G2715*H2715</f>
      </c>
      <c r="J2715" s="153" t="s">
        <v>4</v>
      </c>
      <c r="K2715" s="146"/>
      <c r="Z2715" s="111">
        <f>IF(AQ2715="5",BJ2715,0)</f>
      </c>
      <c r="AB2715" s="111">
        <f>IF(AQ2715="1",BH2715,0)</f>
      </c>
      <c r="AC2715" s="111">
        <f>IF(AQ2715="1",BI2715,0)</f>
      </c>
      <c r="AD2715" s="111">
        <f>IF(AQ2715="7",BH2715,0)</f>
      </c>
      <c r="AE2715" s="111">
        <f>IF(AQ2715="7",BI2715,0)</f>
      </c>
      <c r="AF2715" s="111">
        <f>IF(AQ2715="2",BH2715,0)</f>
      </c>
      <c r="AG2715" s="111">
        <f>IF(AQ2715="2",BI2715,0)</f>
      </c>
      <c r="AH2715" s="111">
        <f>IF(AQ2715="0",BJ2715,0)</f>
      </c>
      <c r="AI2715" s="132" t="s">
        <v>91</v>
      </c>
      <c r="AJ2715" s="111">
        <f>IF(AN2715=0,I2715,0)</f>
      </c>
      <c r="AK2715" s="111">
        <f>IF(AN2715=12,I2715,0)</f>
      </c>
      <c r="AL2715" s="111">
        <f>IF(AN2715=21,I2715,0)</f>
      </c>
      <c r="AN2715" s="111" t="n">
        <v>21</v>
      </c>
      <c r="AO2715" s="111">
        <f>H2715*1</f>
      </c>
      <c r="AP2715" s="111">
        <f>H2715*(1-1)</f>
      </c>
      <c r="AQ2715" s="153" t="s">
        <v>173</v>
      </c>
      <c r="AV2715" s="111">
        <f>AW2715+AX2715</f>
      </c>
      <c r="AW2715" s="111">
        <f>G2715*AO2715</f>
      </c>
      <c r="AX2715" s="111">
        <f>G2715*AP2715</f>
      </c>
      <c r="AY2715" s="153" t="s">
        <v>3728</v>
      </c>
      <c r="AZ2715" s="153" t="s">
        <v>4215</v>
      </c>
      <c r="BA2715" s="132" t="s">
        <v>4138</v>
      </c>
      <c r="BC2715" s="111">
        <f>AW2715+AX2715</f>
      </c>
      <c r="BD2715" s="111">
        <f>H2715/(100-BE2715)*100</f>
      </c>
      <c r="BE2715" s="111" t="n">
        <v>0</v>
      </c>
      <c r="BF2715" s="111">
        <f>2715</f>
      </c>
      <c r="BH2715" s="111">
        <f>G2715*AO2715</f>
      </c>
      <c r="BI2715" s="111">
        <f>G2715*AP2715</f>
      </c>
      <c r="BJ2715" s="111">
        <f>G2715*H2715</f>
      </c>
      <c r="BK2715" s="111"/>
      <c r="BL2715" s="111" t="n">
        <v>732</v>
      </c>
      <c r="BW2715" s="111" t="n">
        <v>21</v>
      </c>
      <c r="BX2715" s="14" t="s">
        <v>4278</v>
      </c>
    </row>
    <row r="2716">
      <c r="A2716" s="9" t="s">
        <v>4279</v>
      </c>
      <c r="B2716" s="10" t="s">
        <v>91</v>
      </c>
      <c r="C2716" s="10" t="s">
        <v>4280</v>
      </c>
      <c r="D2716" s="14" t="s">
        <v>4281</v>
      </c>
      <c r="E2716" s="10"/>
      <c r="F2716" s="10" t="s">
        <v>133</v>
      </c>
      <c r="G2716" s="111" t="n">
        <v>1</v>
      </c>
      <c r="H2716" s="152" t="n">
        <v>0</v>
      </c>
      <c r="I2716" s="111">
        <f>G2716*H2716</f>
      </c>
      <c r="J2716" s="153" t="s">
        <v>4</v>
      </c>
      <c r="K2716" s="146"/>
      <c r="Z2716" s="111">
        <f>IF(AQ2716="5",BJ2716,0)</f>
      </c>
      <c r="AB2716" s="111">
        <f>IF(AQ2716="1",BH2716,0)</f>
      </c>
      <c r="AC2716" s="111">
        <f>IF(AQ2716="1",BI2716,0)</f>
      </c>
      <c r="AD2716" s="111">
        <f>IF(AQ2716="7",BH2716,0)</f>
      </c>
      <c r="AE2716" s="111">
        <f>IF(AQ2716="7",BI2716,0)</f>
      </c>
      <c r="AF2716" s="111">
        <f>IF(AQ2716="2",BH2716,0)</f>
      </c>
      <c r="AG2716" s="111">
        <f>IF(AQ2716="2",BI2716,0)</f>
      </c>
      <c r="AH2716" s="111">
        <f>IF(AQ2716="0",BJ2716,0)</f>
      </c>
      <c r="AI2716" s="132" t="s">
        <v>91</v>
      </c>
      <c r="AJ2716" s="111">
        <f>IF(AN2716=0,I2716,0)</f>
      </c>
      <c r="AK2716" s="111">
        <f>IF(AN2716=12,I2716,0)</f>
      </c>
      <c r="AL2716" s="111">
        <f>IF(AN2716=21,I2716,0)</f>
      </c>
      <c r="AN2716" s="111" t="n">
        <v>21</v>
      </c>
      <c r="AO2716" s="111">
        <f>H2716*1</f>
      </c>
      <c r="AP2716" s="111">
        <f>H2716*(1-1)</f>
      </c>
      <c r="AQ2716" s="153" t="s">
        <v>173</v>
      </c>
      <c r="AV2716" s="111">
        <f>AW2716+AX2716</f>
      </c>
      <c r="AW2716" s="111">
        <f>G2716*AO2716</f>
      </c>
      <c r="AX2716" s="111">
        <f>G2716*AP2716</f>
      </c>
      <c r="AY2716" s="153" t="s">
        <v>3728</v>
      </c>
      <c r="AZ2716" s="153" t="s">
        <v>4215</v>
      </c>
      <c r="BA2716" s="132" t="s">
        <v>4138</v>
      </c>
      <c r="BC2716" s="111">
        <f>AW2716+AX2716</f>
      </c>
      <c r="BD2716" s="111">
        <f>H2716/(100-BE2716)*100</f>
      </c>
      <c r="BE2716" s="111" t="n">
        <v>0</v>
      </c>
      <c r="BF2716" s="111">
        <f>2716</f>
      </c>
      <c r="BH2716" s="111">
        <f>G2716*AO2716</f>
      </c>
      <c r="BI2716" s="111">
        <f>G2716*AP2716</f>
      </c>
      <c r="BJ2716" s="111">
        <f>G2716*H2716</f>
      </c>
      <c r="BK2716" s="111"/>
      <c r="BL2716" s="111" t="n">
        <v>732</v>
      </c>
      <c r="BW2716" s="111" t="n">
        <v>21</v>
      </c>
      <c r="BX2716" s="14" t="s">
        <v>4281</v>
      </c>
    </row>
    <row r="2717">
      <c r="A2717" s="9" t="s">
        <v>4282</v>
      </c>
      <c r="B2717" s="10" t="s">
        <v>91</v>
      </c>
      <c r="C2717" s="10" t="s">
        <v>4283</v>
      </c>
      <c r="D2717" s="14" t="s">
        <v>4284</v>
      </c>
      <c r="E2717" s="10"/>
      <c r="F2717" s="10" t="s">
        <v>2277</v>
      </c>
      <c r="G2717" s="111" t="n">
        <v>1</v>
      </c>
      <c r="H2717" s="152" t="n">
        <v>0</v>
      </c>
      <c r="I2717" s="111">
        <f>G2717*H2717</f>
      </c>
      <c r="J2717" s="153" t="s">
        <v>4</v>
      </c>
      <c r="K2717" s="146"/>
      <c r="Z2717" s="111">
        <f>IF(AQ2717="5",BJ2717,0)</f>
      </c>
      <c r="AB2717" s="111">
        <f>IF(AQ2717="1",BH2717,0)</f>
      </c>
      <c r="AC2717" s="111">
        <f>IF(AQ2717="1",BI2717,0)</f>
      </c>
      <c r="AD2717" s="111">
        <f>IF(AQ2717="7",BH2717,0)</f>
      </c>
      <c r="AE2717" s="111">
        <f>IF(AQ2717="7",BI2717,0)</f>
      </c>
      <c r="AF2717" s="111">
        <f>IF(AQ2717="2",BH2717,0)</f>
      </c>
      <c r="AG2717" s="111">
        <f>IF(AQ2717="2",BI2717,0)</f>
      </c>
      <c r="AH2717" s="111">
        <f>IF(AQ2717="0",BJ2717,0)</f>
      </c>
      <c r="AI2717" s="132" t="s">
        <v>91</v>
      </c>
      <c r="AJ2717" s="111">
        <f>IF(AN2717=0,I2717,0)</f>
      </c>
      <c r="AK2717" s="111">
        <f>IF(AN2717=12,I2717,0)</f>
      </c>
      <c r="AL2717" s="111">
        <f>IF(AN2717=21,I2717,0)</f>
      </c>
      <c r="AN2717" s="111" t="n">
        <v>21</v>
      </c>
      <c r="AO2717" s="111">
        <f>H2717*1</f>
      </c>
      <c r="AP2717" s="111">
        <f>H2717*(1-1)</f>
      </c>
      <c r="AQ2717" s="153" t="s">
        <v>173</v>
      </c>
      <c r="AV2717" s="111">
        <f>AW2717+AX2717</f>
      </c>
      <c r="AW2717" s="111">
        <f>G2717*AO2717</f>
      </c>
      <c r="AX2717" s="111">
        <f>G2717*AP2717</f>
      </c>
      <c r="AY2717" s="153" t="s">
        <v>3728</v>
      </c>
      <c r="AZ2717" s="153" t="s">
        <v>4215</v>
      </c>
      <c r="BA2717" s="132" t="s">
        <v>4138</v>
      </c>
      <c r="BC2717" s="111">
        <f>AW2717+AX2717</f>
      </c>
      <c r="BD2717" s="111">
        <f>H2717/(100-BE2717)*100</f>
      </c>
      <c r="BE2717" s="111" t="n">
        <v>0</v>
      </c>
      <c r="BF2717" s="111">
        <f>2717</f>
      </c>
      <c r="BH2717" s="111">
        <f>G2717*AO2717</f>
      </c>
      <c r="BI2717" s="111">
        <f>G2717*AP2717</f>
      </c>
      <c r="BJ2717" s="111">
        <f>G2717*H2717</f>
      </c>
      <c r="BK2717" s="111"/>
      <c r="BL2717" s="111" t="n">
        <v>732</v>
      </c>
      <c r="BW2717" s="111" t="n">
        <v>21</v>
      </c>
      <c r="BX2717" s="14" t="s">
        <v>4284</v>
      </c>
    </row>
    <row r="2718">
      <c r="A2718" s="9" t="s">
        <v>4285</v>
      </c>
      <c r="B2718" s="10" t="s">
        <v>91</v>
      </c>
      <c r="C2718" s="10" t="s">
        <v>4286</v>
      </c>
      <c r="D2718" s="14" t="s">
        <v>4287</v>
      </c>
      <c r="E2718" s="10"/>
      <c r="F2718" s="10" t="s">
        <v>2277</v>
      </c>
      <c r="G2718" s="111" t="n">
        <v>1</v>
      </c>
      <c r="H2718" s="152" t="n">
        <v>0</v>
      </c>
      <c r="I2718" s="111">
        <f>G2718*H2718</f>
      </c>
      <c r="J2718" s="153" t="s">
        <v>4</v>
      </c>
      <c r="K2718" s="146"/>
      <c r="Z2718" s="111">
        <f>IF(AQ2718="5",BJ2718,0)</f>
      </c>
      <c r="AB2718" s="111">
        <f>IF(AQ2718="1",BH2718,0)</f>
      </c>
      <c r="AC2718" s="111">
        <f>IF(AQ2718="1",BI2718,0)</f>
      </c>
      <c r="AD2718" s="111">
        <f>IF(AQ2718="7",BH2718,0)</f>
      </c>
      <c r="AE2718" s="111">
        <f>IF(AQ2718="7",BI2718,0)</f>
      </c>
      <c r="AF2718" s="111">
        <f>IF(AQ2718="2",BH2718,0)</f>
      </c>
      <c r="AG2718" s="111">
        <f>IF(AQ2718="2",BI2718,0)</f>
      </c>
      <c r="AH2718" s="111">
        <f>IF(AQ2718="0",BJ2718,0)</f>
      </c>
      <c r="AI2718" s="132" t="s">
        <v>91</v>
      </c>
      <c r="AJ2718" s="111">
        <f>IF(AN2718=0,I2718,0)</f>
      </c>
      <c r="AK2718" s="111">
        <f>IF(AN2718=12,I2718,0)</f>
      </c>
      <c r="AL2718" s="111">
        <f>IF(AN2718=21,I2718,0)</f>
      </c>
      <c r="AN2718" s="111" t="n">
        <v>21</v>
      </c>
      <c r="AO2718" s="111">
        <f>H2718*1</f>
      </c>
      <c r="AP2718" s="111">
        <f>H2718*(1-1)</f>
      </c>
      <c r="AQ2718" s="153" t="s">
        <v>173</v>
      </c>
      <c r="AV2718" s="111">
        <f>AW2718+AX2718</f>
      </c>
      <c r="AW2718" s="111">
        <f>G2718*AO2718</f>
      </c>
      <c r="AX2718" s="111">
        <f>G2718*AP2718</f>
      </c>
      <c r="AY2718" s="153" t="s">
        <v>3728</v>
      </c>
      <c r="AZ2718" s="153" t="s">
        <v>4215</v>
      </c>
      <c r="BA2718" s="132" t="s">
        <v>4138</v>
      </c>
      <c r="BC2718" s="111">
        <f>AW2718+AX2718</f>
      </c>
      <c r="BD2718" s="111">
        <f>H2718/(100-BE2718)*100</f>
      </c>
      <c r="BE2718" s="111" t="n">
        <v>0</v>
      </c>
      <c r="BF2718" s="111">
        <f>2718</f>
      </c>
      <c r="BH2718" s="111">
        <f>G2718*AO2718</f>
      </c>
      <c r="BI2718" s="111">
        <f>G2718*AP2718</f>
      </c>
      <c r="BJ2718" s="111">
        <f>G2718*H2718</f>
      </c>
      <c r="BK2718" s="111"/>
      <c r="BL2718" s="111" t="n">
        <v>732</v>
      </c>
      <c r="BW2718" s="111" t="n">
        <v>21</v>
      </c>
      <c r="BX2718" s="14" t="s">
        <v>4287</v>
      </c>
    </row>
    <row r="2719" ht="24.75">
      <c r="A2719" s="9" t="s">
        <v>4288</v>
      </c>
      <c r="B2719" s="10" t="s">
        <v>91</v>
      </c>
      <c r="C2719" s="10" t="s">
        <v>4289</v>
      </c>
      <c r="D2719" s="14" t="s">
        <v>4290</v>
      </c>
      <c r="E2719" s="10"/>
      <c r="F2719" s="10" t="s">
        <v>2277</v>
      </c>
      <c r="G2719" s="111" t="n">
        <v>1</v>
      </c>
      <c r="H2719" s="152" t="n">
        <v>0</v>
      </c>
      <c r="I2719" s="111">
        <f>G2719*H2719</f>
      </c>
      <c r="J2719" s="153" t="s">
        <v>4</v>
      </c>
      <c r="K2719" s="146"/>
      <c r="Z2719" s="111">
        <f>IF(AQ2719="5",BJ2719,0)</f>
      </c>
      <c r="AB2719" s="111">
        <f>IF(AQ2719="1",BH2719,0)</f>
      </c>
      <c r="AC2719" s="111">
        <f>IF(AQ2719="1",BI2719,0)</f>
      </c>
      <c r="AD2719" s="111">
        <f>IF(AQ2719="7",BH2719,0)</f>
      </c>
      <c r="AE2719" s="111">
        <f>IF(AQ2719="7",BI2719,0)</f>
      </c>
      <c r="AF2719" s="111">
        <f>IF(AQ2719="2",BH2719,0)</f>
      </c>
      <c r="AG2719" s="111">
        <f>IF(AQ2719="2",BI2719,0)</f>
      </c>
      <c r="AH2719" s="111">
        <f>IF(AQ2719="0",BJ2719,0)</f>
      </c>
      <c r="AI2719" s="132" t="s">
        <v>91</v>
      </c>
      <c r="AJ2719" s="111">
        <f>IF(AN2719=0,I2719,0)</f>
      </c>
      <c r="AK2719" s="111">
        <f>IF(AN2719=12,I2719,0)</f>
      </c>
      <c r="AL2719" s="111">
        <f>IF(AN2719=21,I2719,0)</f>
      </c>
      <c r="AN2719" s="111" t="n">
        <v>21</v>
      </c>
      <c r="AO2719" s="111">
        <f>H2719*1</f>
      </c>
      <c r="AP2719" s="111">
        <f>H2719*(1-1)</f>
      </c>
      <c r="AQ2719" s="153" t="s">
        <v>173</v>
      </c>
      <c r="AV2719" s="111">
        <f>AW2719+AX2719</f>
      </c>
      <c r="AW2719" s="111">
        <f>G2719*AO2719</f>
      </c>
      <c r="AX2719" s="111">
        <f>G2719*AP2719</f>
      </c>
      <c r="AY2719" s="153" t="s">
        <v>3728</v>
      </c>
      <c r="AZ2719" s="153" t="s">
        <v>4215</v>
      </c>
      <c r="BA2719" s="132" t="s">
        <v>4138</v>
      </c>
      <c r="BC2719" s="111">
        <f>AW2719+AX2719</f>
      </c>
      <c r="BD2719" s="111">
        <f>H2719/(100-BE2719)*100</f>
      </c>
      <c r="BE2719" s="111" t="n">
        <v>0</v>
      </c>
      <c r="BF2719" s="111">
        <f>2719</f>
      </c>
      <c r="BH2719" s="111">
        <f>G2719*AO2719</f>
      </c>
      <c r="BI2719" s="111">
        <f>G2719*AP2719</f>
      </c>
      <c r="BJ2719" s="111">
        <f>G2719*H2719</f>
      </c>
      <c r="BK2719" s="111"/>
      <c r="BL2719" s="111" t="n">
        <v>732</v>
      </c>
      <c r="BW2719" s="111" t="n">
        <v>21</v>
      </c>
      <c r="BX2719" s="14" t="s">
        <v>4290</v>
      </c>
    </row>
    <row r="2720" ht="24.75">
      <c r="A2720" s="9" t="s">
        <v>4291</v>
      </c>
      <c r="B2720" s="10" t="s">
        <v>91</v>
      </c>
      <c r="C2720" s="10" t="s">
        <v>4292</v>
      </c>
      <c r="D2720" s="14" t="s">
        <v>4293</v>
      </c>
      <c r="E2720" s="10"/>
      <c r="F2720" s="10" t="s">
        <v>2277</v>
      </c>
      <c r="G2720" s="111" t="n">
        <v>2</v>
      </c>
      <c r="H2720" s="152" t="n">
        <v>0</v>
      </c>
      <c r="I2720" s="111">
        <f>G2720*H2720</f>
      </c>
      <c r="J2720" s="153" t="s">
        <v>4</v>
      </c>
      <c r="K2720" s="146"/>
      <c r="Z2720" s="111">
        <f>IF(AQ2720="5",BJ2720,0)</f>
      </c>
      <c r="AB2720" s="111">
        <f>IF(AQ2720="1",BH2720,0)</f>
      </c>
      <c r="AC2720" s="111">
        <f>IF(AQ2720="1",BI2720,0)</f>
      </c>
      <c r="AD2720" s="111">
        <f>IF(AQ2720="7",BH2720,0)</f>
      </c>
      <c r="AE2720" s="111">
        <f>IF(AQ2720="7",BI2720,0)</f>
      </c>
      <c r="AF2720" s="111">
        <f>IF(AQ2720="2",BH2720,0)</f>
      </c>
      <c r="AG2720" s="111">
        <f>IF(AQ2720="2",BI2720,0)</f>
      </c>
      <c r="AH2720" s="111">
        <f>IF(AQ2720="0",BJ2720,0)</f>
      </c>
      <c r="AI2720" s="132" t="s">
        <v>91</v>
      </c>
      <c r="AJ2720" s="111">
        <f>IF(AN2720=0,I2720,0)</f>
      </c>
      <c r="AK2720" s="111">
        <f>IF(AN2720=12,I2720,0)</f>
      </c>
      <c r="AL2720" s="111">
        <f>IF(AN2720=21,I2720,0)</f>
      </c>
      <c r="AN2720" s="111" t="n">
        <v>21</v>
      </c>
      <c r="AO2720" s="111">
        <f>H2720*1</f>
      </c>
      <c r="AP2720" s="111">
        <f>H2720*(1-1)</f>
      </c>
      <c r="AQ2720" s="153" t="s">
        <v>173</v>
      </c>
      <c r="AV2720" s="111">
        <f>AW2720+AX2720</f>
      </c>
      <c r="AW2720" s="111">
        <f>G2720*AO2720</f>
      </c>
      <c r="AX2720" s="111">
        <f>G2720*AP2720</f>
      </c>
      <c r="AY2720" s="153" t="s">
        <v>3728</v>
      </c>
      <c r="AZ2720" s="153" t="s">
        <v>4215</v>
      </c>
      <c r="BA2720" s="132" t="s">
        <v>4138</v>
      </c>
      <c r="BC2720" s="111">
        <f>AW2720+AX2720</f>
      </c>
      <c r="BD2720" s="111">
        <f>H2720/(100-BE2720)*100</f>
      </c>
      <c r="BE2720" s="111" t="n">
        <v>0</v>
      </c>
      <c r="BF2720" s="111">
        <f>2720</f>
      </c>
      <c r="BH2720" s="111">
        <f>G2720*AO2720</f>
      </c>
      <c r="BI2720" s="111">
        <f>G2720*AP2720</f>
      </c>
      <c r="BJ2720" s="111">
        <f>G2720*H2720</f>
      </c>
      <c r="BK2720" s="111"/>
      <c r="BL2720" s="111" t="n">
        <v>732</v>
      </c>
      <c r="BW2720" s="111" t="n">
        <v>21</v>
      </c>
      <c r="BX2720" s="14" t="s">
        <v>4293</v>
      </c>
    </row>
    <row r="2721">
      <c r="A2721" s="9" t="s">
        <v>4294</v>
      </c>
      <c r="B2721" s="10" t="s">
        <v>91</v>
      </c>
      <c r="C2721" s="10" t="s">
        <v>4295</v>
      </c>
      <c r="D2721" s="14" t="s">
        <v>4296</v>
      </c>
      <c r="E2721" s="10"/>
      <c r="F2721" s="10" t="s">
        <v>3860</v>
      </c>
      <c r="G2721" s="111" t="n">
        <v>2</v>
      </c>
      <c r="H2721" s="152" t="n">
        <v>0</v>
      </c>
      <c r="I2721" s="111">
        <f>G2721*H2721</f>
      </c>
      <c r="J2721" s="153" t="s">
        <v>4</v>
      </c>
      <c r="K2721" s="146"/>
      <c r="Z2721" s="111">
        <f>IF(AQ2721="5",BJ2721,0)</f>
      </c>
      <c r="AB2721" s="111">
        <f>IF(AQ2721="1",BH2721,0)</f>
      </c>
      <c r="AC2721" s="111">
        <f>IF(AQ2721="1",BI2721,0)</f>
      </c>
      <c r="AD2721" s="111">
        <f>IF(AQ2721="7",BH2721,0)</f>
      </c>
      <c r="AE2721" s="111">
        <f>IF(AQ2721="7",BI2721,0)</f>
      </c>
      <c r="AF2721" s="111">
        <f>IF(AQ2721="2",BH2721,0)</f>
      </c>
      <c r="AG2721" s="111">
        <f>IF(AQ2721="2",BI2721,0)</f>
      </c>
      <c r="AH2721" s="111">
        <f>IF(AQ2721="0",BJ2721,0)</f>
      </c>
      <c r="AI2721" s="132" t="s">
        <v>91</v>
      </c>
      <c r="AJ2721" s="111">
        <f>IF(AN2721=0,I2721,0)</f>
      </c>
      <c r="AK2721" s="111">
        <f>IF(AN2721=12,I2721,0)</f>
      </c>
      <c r="AL2721" s="111">
        <f>IF(AN2721=21,I2721,0)</f>
      </c>
      <c r="AN2721" s="111" t="n">
        <v>21</v>
      </c>
      <c r="AO2721" s="111">
        <f>H2721*1</f>
      </c>
      <c r="AP2721" s="111">
        <f>H2721*(1-1)</f>
      </c>
      <c r="AQ2721" s="153" t="s">
        <v>173</v>
      </c>
      <c r="AV2721" s="111">
        <f>AW2721+AX2721</f>
      </c>
      <c r="AW2721" s="111">
        <f>G2721*AO2721</f>
      </c>
      <c r="AX2721" s="111">
        <f>G2721*AP2721</f>
      </c>
      <c r="AY2721" s="153" t="s">
        <v>3728</v>
      </c>
      <c r="AZ2721" s="153" t="s">
        <v>4215</v>
      </c>
      <c r="BA2721" s="132" t="s">
        <v>4138</v>
      </c>
      <c r="BC2721" s="111">
        <f>AW2721+AX2721</f>
      </c>
      <c r="BD2721" s="111">
        <f>H2721/(100-BE2721)*100</f>
      </c>
      <c r="BE2721" s="111" t="n">
        <v>0</v>
      </c>
      <c r="BF2721" s="111">
        <f>2721</f>
      </c>
      <c r="BH2721" s="111">
        <f>G2721*AO2721</f>
      </c>
      <c r="BI2721" s="111">
        <f>G2721*AP2721</f>
      </c>
      <c r="BJ2721" s="111">
        <f>G2721*H2721</f>
      </c>
      <c r="BK2721" s="111"/>
      <c r="BL2721" s="111" t="n">
        <v>732</v>
      </c>
      <c r="BW2721" s="111" t="n">
        <v>21</v>
      </c>
      <c r="BX2721" s="14" t="s">
        <v>4296</v>
      </c>
    </row>
    <row r="2722">
      <c r="A2722" s="9" t="s">
        <v>4297</v>
      </c>
      <c r="B2722" s="10" t="s">
        <v>91</v>
      </c>
      <c r="C2722" s="10" t="s">
        <v>4298</v>
      </c>
      <c r="D2722" s="14" t="s">
        <v>4299</v>
      </c>
      <c r="E2722" s="10"/>
      <c r="F2722" s="10" t="s">
        <v>1421</v>
      </c>
      <c r="G2722" s="111" t="n">
        <v>2</v>
      </c>
      <c r="H2722" s="152" t="n">
        <v>0</v>
      </c>
      <c r="I2722" s="111">
        <f>G2722*H2722</f>
      </c>
      <c r="J2722" s="153" t="s">
        <v>4</v>
      </c>
      <c r="K2722" s="146"/>
      <c r="Z2722" s="111">
        <f>IF(AQ2722="5",BJ2722,0)</f>
      </c>
      <c r="AB2722" s="111">
        <f>IF(AQ2722="1",BH2722,0)</f>
      </c>
      <c r="AC2722" s="111">
        <f>IF(AQ2722="1",BI2722,0)</f>
      </c>
      <c r="AD2722" s="111">
        <f>IF(AQ2722="7",BH2722,0)</f>
      </c>
      <c r="AE2722" s="111">
        <f>IF(AQ2722="7",BI2722,0)</f>
      </c>
      <c r="AF2722" s="111">
        <f>IF(AQ2722="2",BH2722,0)</f>
      </c>
      <c r="AG2722" s="111">
        <f>IF(AQ2722="2",BI2722,0)</f>
      </c>
      <c r="AH2722" s="111">
        <f>IF(AQ2722="0",BJ2722,0)</f>
      </c>
      <c r="AI2722" s="132" t="s">
        <v>91</v>
      </c>
      <c r="AJ2722" s="111">
        <f>IF(AN2722=0,I2722,0)</f>
      </c>
      <c r="AK2722" s="111">
        <f>IF(AN2722=12,I2722,0)</f>
      </c>
      <c r="AL2722" s="111">
        <f>IF(AN2722=21,I2722,0)</f>
      </c>
      <c r="AN2722" s="111" t="n">
        <v>21</v>
      </c>
      <c r="AO2722" s="111">
        <f>H2722*1</f>
      </c>
      <c r="AP2722" s="111">
        <f>H2722*(1-1)</f>
      </c>
      <c r="AQ2722" s="153" t="s">
        <v>173</v>
      </c>
      <c r="AV2722" s="111">
        <f>AW2722+AX2722</f>
      </c>
      <c r="AW2722" s="111">
        <f>G2722*AO2722</f>
      </c>
      <c r="AX2722" s="111">
        <f>G2722*AP2722</f>
      </c>
      <c r="AY2722" s="153" t="s">
        <v>3728</v>
      </c>
      <c r="AZ2722" s="153" t="s">
        <v>4215</v>
      </c>
      <c r="BA2722" s="132" t="s">
        <v>4138</v>
      </c>
      <c r="BC2722" s="111">
        <f>AW2722+AX2722</f>
      </c>
      <c r="BD2722" s="111">
        <f>H2722/(100-BE2722)*100</f>
      </c>
      <c r="BE2722" s="111" t="n">
        <v>0</v>
      </c>
      <c r="BF2722" s="111">
        <f>2722</f>
      </c>
      <c r="BH2722" s="111">
        <f>G2722*AO2722</f>
      </c>
      <c r="BI2722" s="111">
        <f>G2722*AP2722</f>
      </c>
      <c r="BJ2722" s="111">
        <f>G2722*H2722</f>
      </c>
      <c r="BK2722" s="111"/>
      <c r="BL2722" s="111" t="n">
        <v>732</v>
      </c>
      <c r="BW2722" s="111" t="n">
        <v>21</v>
      </c>
      <c r="BX2722" s="14" t="s">
        <v>4299</v>
      </c>
    </row>
    <row r="2723">
      <c r="A2723" s="9" t="s">
        <v>4300</v>
      </c>
      <c r="B2723" s="10" t="s">
        <v>91</v>
      </c>
      <c r="C2723" s="10" t="s">
        <v>4301</v>
      </c>
      <c r="D2723" s="14" t="s">
        <v>4302</v>
      </c>
      <c r="E2723" s="10"/>
      <c r="F2723" s="10" t="s">
        <v>2277</v>
      </c>
      <c r="G2723" s="111" t="n">
        <v>2</v>
      </c>
      <c r="H2723" s="152" t="n">
        <v>0</v>
      </c>
      <c r="I2723" s="111">
        <f>G2723*H2723</f>
      </c>
      <c r="J2723" s="153" t="s">
        <v>4</v>
      </c>
      <c r="K2723" s="146"/>
      <c r="Z2723" s="111">
        <f>IF(AQ2723="5",BJ2723,0)</f>
      </c>
      <c r="AB2723" s="111">
        <f>IF(AQ2723="1",BH2723,0)</f>
      </c>
      <c r="AC2723" s="111">
        <f>IF(AQ2723="1",BI2723,0)</f>
      </c>
      <c r="AD2723" s="111">
        <f>IF(AQ2723="7",BH2723,0)</f>
      </c>
      <c r="AE2723" s="111">
        <f>IF(AQ2723="7",BI2723,0)</f>
      </c>
      <c r="AF2723" s="111">
        <f>IF(AQ2723="2",BH2723,0)</f>
      </c>
      <c r="AG2723" s="111">
        <f>IF(AQ2723="2",BI2723,0)</f>
      </c>
      <c r="AH2723" s="111">
        <f>IF(AQ2723="0",BJ2723,0)</f>
      </c>
      <c r="AI2723" s="132" t="s">
        <v>91</v>
      </c>
      <c r="AJ2723" s="111">
        <f>IF(AN2723=0,I2723,0)</f>
      </c>
      <c r="AK2723" s="111">
        <f>IF(AN2723=12,I2723,0)</f>
      </c>
      <c r="AL2723" s="111">
        <f>IF(AN2723=21,I2723,0)</f>
      </c>
      <c r="AN2723" s="111" t="n">
        <v>21</v>
      </c>
      <c r="AO2723" s="111">
        <f>H2723*1</f>
      </c>
      <c r="AP2723" s="111">
        <f>H2723*(1-1)</f>
      </c>
      <c r="AQ2723" s="153" t="s">
        <v>173</v>
      </c>
      <c r="AV2723" s="111">
        <f>AW2723+AX2723</f>
      </c>
      <c r="AW2723" s="111">
        <f>G2723*AO2723</f>
      </c>
      <c r="AX2723" s="111">
        <f>G2723*AP2723</f>
      </c>
      <c r="AY2723" s="153" t="s">
        <v>3728</v>
      </c>
      <c r="AZ2723" s="153" t="s">
        <v>4215</v>
      </c>
      <c r="BA2723" s="132" t="s">
        <v>4138</v>
      </c>
      <c r="BC2723" s="111">
        <f>AW2723+AX2723</f>
      </c>
      <c r="BD2723" s="111">
        <f>H2723/(100-BE2723)*100</f>
      </c>
      <c r="BE2723" s="111" t="n">
        <v>0</v>
      </c>
      <c r="BF2723" s="111">
        <f>2723</f>
      </c>
      <c r="BH2723" s="111">
        <f>G2723*AO2723</f>
      </c>
      <c r="BI2723" s="111">
        <f>G2723*AP2723</f>
      </c>
      <c r="BJ2723" s="111">
        <f>G2723*H2723</f>
      </c>
      <c r="BK2723" s="111"/>
      <c r="BL2723" s="111" t="n">
        <v>732</v>
      </c>
      <c r="BW2723" s="111" t="n">
        <v>21</v>
      </c>
      <c r="BX2723" s="14" t="s">
        <v>4302</v>
      </c>
    </row>
    <row r="2724">
      <c r="A2724" s="9" t="s">
        <v>4303</v>
      </c>
      <c r="B2724" s="10" t="s">
        <v>91</v>
      </c>
      <c r="C2724" s="10" t="s">
        <v>4304</v>
      </c>
      <c r="D2724" s="14" t="s">
        <v>4305</v>
      </c>
      <c r="E2724" s="10"/>
      <c r="F2724" s="10" t="s">
        <v>2277</v>
      </c>
      <c r="G2724" s="111" t="n">
        <v>1</v>
      </c>
      <c r="H2724" s="152" t="n">
        <v>0</v>
      </c>
      <c r="I2724" s="111">
        <f>G2724*H2724</f>
      </c>
      <c r="J2724" s="153" t="s">
        <v>4</v>
      </c>
      <c r="K2724" s="146"/>
      <c r="Z2724" s="111">
        <f>IF(AQ2724="5",BJ2724,0)</f>
      </c>
      <c r="AB2724" s="111">
        <f>IF(AQ2724="1",BH2724,0)</f>
      </c>
      <c r="AC2724" s="111">
        <f>IF(AQ2724="1",BI2724,0)</f>
      </c>
      <c r="AD2724" s="111">
        <f>IF(AQ2724="7",BH2724,0)</f>
      </c>
      <c r="AE2724" s="111">
        <f>IF(AQ2724="7",BI2724,0)</f>
      </c>
      <c r="AF2724" s="111">
        <f>IF(AQ2724="2",BH2724,0)</f>
      </c>
      <c r="AG2724" s="111">
        <f>IF(AQ2724="2",BI2724,0)</f>
      </c>
      <c r="AH2724" s="111">
        <f>IF(AQ2724="0",BJ2724,0)</f>
      </c>
      <c r="AI2724" s="132" t="s">
        <v>91</v>
      </c>
      <c r="AJ2724" s="111">
        <f>IF(AN2724=0,I2724,0)</f>
      </c>
      <c r="AK2724" s="111">
        <f>IF(AN2724=12,I2724,0)</f>
      </c>
      <c r="AL2724" s="111">
        <f>IF(AN2724=21,I2724,0)</f>
      </c>
      <c r="AN2724" s="111" t="n">
        <v>21</v>
      </c>
      <c r="AO2724" s="111">
        <f>H2724*1</f>
      </c>
      <c r="AP2724" s="111">
        <f>H2724*(1-1)</f>
      </c>
      <c r="AQ2724" s="153" t="s">
        <v>173</v>
      </c>
      <c r="AV2724" s="111">
        <f>AW2724+AX2724</f>
      </c>
      <c r="AW2724" s="111">
        <f>G2724*AO2724</f>
      </c>
      <c r="AX2724" s="111">
        <f>G2724*AP2724</f>
      </c>
      <c r="AY2724" s="153" t="s">
        <v>3728</v>
      </c>
      <c r="AZ2724" s="153" t="s">
        <v>4215</v>
      </c>
      <c r="BA2724" s="132" t="s">
        <v>4138</v>
      </c>
      <c r="BC2724" s="111">
        <f>AW2724+AX2724</f>
      </c>
      <c r="BD2724" s="111">
        <f>H2724/(100-BE2724)*100</f>
      </c>
      <c r="BE2724" s="111" t="n">
        <v>0</v>
      </c>
      <c r="BF2724" s="111">
        <f>2724</f>
      </c>
      <c r="BH2724" s="111">
        <f>G2724*AO2724</f>
      </c>
      <c r="BI2724" s="111">
        <f>G2724*AP2724</f>
      </c>
      <c r="BJ2724" s="111">
        <f>G2724*H2724</f>
      </c>
      <c r="BK2724" s="111"/>
      <c r="BL2724" s="111" t="n">
        <v>732</v>
      </c>
      <c r="BW2724" s="111" t="n">
        <v>21</v>
      </c>
      <c r="BX2724" s="14" t="s">
        <v>4305</v>
      </c>
    </row>
    <row r="2725" ht="24.75">
      <c r="A2725" s="9" t="s">
        <v>4306</v>
      </c>
      <c r="B2725" s="10" t="s">
        <v>91</v>
      </c>
      <c r="C2725" s="10" t="s">
        <v>4307</v>
      </c>
      <c r="D2725" s="14" t="s">
        <v>4308</v>
      </c>
      <c r="E2725" s="10"/>
      <c r="F2725" s="10" t="s">
        <v>2277</v>
      </c>
      <c r="G2725" s="111" t="n">
        <v>1</v>
      </c>
      <c r="H2725" s="152" t="n">
        <v>0</v>
      </c>
      <c r="I2725" s="111">
        <f>G2725*H2725</f>
      </c>
      <c r="J2725" s="153" t="s">
        <v>4</v>
      </c>
      <c r="K2725" s="146"/>
      <c r="Z2725" s="111">
        <f>IF(AQ2725="5",BJ2725,0)</f>
      </c>
      <c r="AB2725" s="111">
        <f>IF(AQ2725="1",BH2725,0)</f>
      </c>
      <c r="AC2725" s="111">
        <f>IF(AQ2725="1",BI2725,0)</f>
      </c>
      <c r="AD2725" s="111">
        <f>IF(AQ2725="7",BH2725,0)</f>
      </c>
      <c r="AE2725" s="111">
        <f>IF(AQ2725="7",BI2725,0)</f>
      </c>
      <c r="AF2725" s="111">
        <f>IF(AQ2725="2",BH2725,0)</f>
      </c>
      <c r="AG2725" s="111">
        <f>IF(AQ2725="2",BI2725,0)</f>
      </c>
      <c r="AH2725" s="111">
        <f>IF(AQ2725="0",BJ2725,0)</f>
      </c>
      <c r="AI2725" s="132" t="s">
        <v>91</v>
      </c>
      <c r="AJ2725" s="111">
        <f>IF(AN2725=0,I2725,0)</f>
      </c>
      <c r="AK2725" s="111">
        <f>IF(AN2725=12,I2725,0)</f>
      </c>
      <c r="AL2725" s="111">
        <f>IF(AN2725=21,I2725,0)</f>
      </c>
      <c r="AN2725" s="111" t="n">
        <v>21</v>
      </c>
      <c r="AO2725" s="111">
        <f>H2725*1</f>
      </c>
      <c r="AP2725" s="111">
        <f>H2725*(1-1)</f>
      </c>
      <c r="AQ2725" s="153" t="s">
        <v>173</v>
      </c>
      <c r="AV2725" s="111">
        <f>AW2725+AX2725</f>
      </c>
      <c r="AW2725" s="111">
        <f>G2725*AO2725</f>
      </c>
      <c r="AX2725" s="111">
        <f>G2725*AP2725</f>
      </c>
      <c r="AY2725" s="153" t="s">
        <v>3728</v>
      </c>
      <c r="AZ2725" s="153" t="s">
        <v>4215</v>
      </c>
      <c r="BA2725" s="132" t="s">
        <v>4138</v>
      </c>
      <c r="BC2725" s="111">
        <f>AW2725+AX2725</f>
      </c>
      <c r="BD2725" s="111">
        <f>H2725/(100-BE2725)*100</f>
      </c>
      <c r="BE2725" s="111" t="n">
        <v>0</v>
      </c>
      <c r="BF2725" s="111">
        <f>2725</f>
      </c>
      <c r="BH2725" s="111">
        <f>G2725*AO2725</f>
      </c>
      <c r="BI2725" s="111">
        <f>G2725*AP2725</f>
      </c>
      <c r="BJ2725" s="111">
        <f>G2725*H2725</f>
      </c>
      <c r="BK2725" s="111"/>
      <c r="BL2725" s="111" t="n">
        <v>732</v>
      </c>
      <c r="BW2725" s="111" t="n">
        <v>21</v>
      </c>
      <c r="BX2725" s="14" t="s">
        <v>4308</v>
      </c>
    </row>
    <row r="2726" ht="24.75">
      <c r="A2726" s="9" t="s">
        <v>4309</v>
      </c>
      <c r="B2726" s="10" t="s">
        <v>91</v>
      </c>
      <c r="C2726" s="10" t="s">
        <v>4310</v>
      </c>
      <c r="D2726" s="14" t="s">
        <v>4311</v>
      </c>
      <c r="E2726" s="10"/>
      <c r="F2726" s="10" t="s">
        <v>2277</v>
      </c>
      <c r="G2726" s="111" t="n">
        <v>1</v>
      </c>
      <c r="H2726" s="152" t="n">
        <v>0</v>
      </c>
      <c r="I2726" s="111">
        <f>G2726*H2726</f>
      </c>
      <c r="J2726" s="153" t="s">
        <v>4</v>
      </c>
      <c r="K2726" s="146"/>
      <c r="Z2726" s="111">
        <f>IF(AQ2726="5",BJ2726,0)</f>
      </c>
      <c r="AB2726" s="111">
        <f>IF(AQ2726="1",BH2726,0)</f>
      </c>
      <c r="AC2726" s="111">
        <f>IF(AQ2726="1",BI2726,0)</f>
      </c>
      <c r="AD2726" s="111">
        <f>IF(AQ2726="7",BH2726,0)</f>
      </c>
      <c r="AE2726" s="111">
        <f>IF(AQ2726="7",BI2726,0)</f>
      </c>
      <c r="AF2726" s="111">
        <f>IF(AQ2726="2",BH2726,0)</f>
      </c>
      <c r="AG2726" s="111">
        <f>IF(AQ2726="2",BI2726,0)</f>
      </c>
      <c r="AH2726" s="111">
        <f>IF(AQ2726="0",BJ2726,0)</f>
      </c>
      <c r="AI2726" s="132" t="s">
        <v>91</v>
      </c>
      <c r="AJ2726" s="111">
        <f>IF(AN2726=0,I2726,0)</f>
      </c>
      <c r="AK2726" s="111">
        <f>IF(AN2726=12,I2726,0)</f>
      </c>
      <c r="AL2726" s="111">
        <f>IF(AN2726=21,I2726,0)</f>
      </c>
      <c r="AN2726" s="111" t="n">
        <v>21</v>
      </c>
      <c r="AO2726" s="111">
        <f>H2726*1</f>
      </c>
      <c r="AP2726" s="111">
        <f>H2726*(1-1)</f>
      </c>
      <c r="AQ2726" s="153" t="s">
        <v>173</v>
      </c>
      <c r="AV2726" s="111">
        <f>AW2726+AX2726</f>
      </c>
      <c r="AW2726" s="111">
        <f>G2726*AO2726</f>
      </c>
      <c r="AX2726" s="111">
        <f>G2726*AP2726</f>
      </c>
      <c r="AY2726" s="153" t="s">
        <v>3728</v>
      </c>
      <c r="AZ2726" s="153" t="s">
        <v>4215</v>
      </c>
      <c r="BA2726" s="132" t="s">
        <v>4138</v>
      </c>
      <c r="BC2726" s="111">
        <f>AW2726+AX2726</f>
      </c>
      <c r="BD2726" s="111">
        <f>H2726/(100-BE2726)*100</f>
      </c>
      <c r="BE2726" s="111" t="n">
        <v>0</v>
      </c>
      <c r="BF2726" s="111">
        <f>2726</f>
      </c>
      <c r="BH2726" s="111">
        <f>G2726*AO2726</f>
      </c>
      <c r="BI2726" s="111">
        <f>G2726*AP2726</f>
      </c>
      <c r="BJ2726" s="111">
        <f>G2726*H2726</f>
      </c>
      <c r="BK2726" s="111"/>
      <c r="BL2726" s="111" t="n">
        <v>732</v>
      </c>
      <c r="BW2726" s="111" t="n">
        <v>21</v>
      </c>
      <c r="BX2726" s="14" t="s">
        <v>4311</v>
      </c>
    </row>
    <row r="2727" ht="24.75">
      <c r="A2727" s="9" t="s">
        <v>4312</v>
      </c>
      <c r="B2727" s="10" t="s">
        <v>91</v>
      </c>
      <c r="C2727" s="10" t="s">
        <v>4313</v>
      </c>
      <c r="D2727" s="14" t="s">
        <v>4314</v>
      </c>
      <c r="E2727" s="10"/>
      <c r="F2727" s="10" t="s">
        <v>2277</v>
      </c>
      <c r="G2727" s="111" t="n">
        <v>1</v>
      </c>
      <c r="H2727" s="152" t="n">
        <v>0</v>
      </c>
      <c r="I2727" s="111">
        <f>G2727*H2727</f>
      </c>
      <c r="J2727" s="153" t="s">
        <v>4</v>
      </c>
      <c r="K2727" s="146"/>
      <c r="Z2727" s="111">
        <f>IF(AQ2727="5",BJ2727,0)</f>
      </c>
      <c r="AB2727" s="111">
        <f>IF(AQ2727="1",BH2727,0)</f>
      </c>
      <c r="AC2727" s="111">
        <f>IF(AQ2727="1",BI2727,0)</f>
      </c>
      <c r="AD2727" s="111">
        <f>IF(AQ2727="7",BH2727,0)</f>
      </c>
      <c r="AE2727" s="111">
        <f>IF(AQ2727="7",BI2727,0)</f>
      </c>
      <c r="AF2727" s="111">
        <f>IF(AQ2727="2",BH2727,0)</f>
      </c>
      <c r="AG2727" s="111">
        <f>IF(AQ2727="2",BI2727,0)</f>
      </c>
      <c r="AH2727" s="111">
        <f>IF(AQ2727="0",BJ2727,0)</f>
      </c>
      <c r="AI2727" s="132" t="s">
        <v>91</v>
      </c>
      <c r="AJ2727" s="111">
        <f>IF(AN2727=0,I2727,0)</f>
      </c>
      <c r="AK2727" s="111">
        <f>IF(AN2727=12,I2727,0)</f>
      </c>
      <c r="AL2727" s="111">
        <f>IF(AN2727=21,I2727,0)</f>
      </c>
      <c r="AN2727" s="111" t="n">
        <v>21</v>
      </c>
      <c r="AO2727" s="111">
        <f>H2727*1</f>
      </c>
      <c r="AP2727" s="111">
        <f>H2727*(1-1)</f>
      </c>
      <c r="AQ2727" s="153" t="s">
        <v>173</v>
      </c>
      <c r="AV2727" s="111">
        <f>AW2727+AX2727</f>
      </c>
      <c r="AW2727" s="111">
        <f>G2727*AO2727</f>
      </c>
      <c r="AX2727" s="111">
        <f>G2727*AP2727</f>
      </c>
      <c r="AY2727" s="153" t="s">
        <v>3728</v>
      </c>
      <c r="AZ2727" s="153" t="s">
        <v>4215</v>
      </c>
      <c r="BA2727" s="132" t="s">
        <v>4138</v>
      </c>
      <c r="BC2727" s="111">
        <f>AW2727+AX2727</f>
      </c>
      <c r="BD2727" s="111">
        <f>H2727/(100-BE2727)*100</f>
      </c>
      <c r="BE2727" s="111" t="n">
        <v>0</v>
      </c>
      <c r="BF2727" s="111">
        <f>2727</f>
      </c>
      <c r="BH2727" s="111">
        <f>G2727*AO2727</f>
      </c>
      <c r="BI2727" s="111">
        <f>G2727*AP2727</f>
      </c>
      <c r="BJ2727" s="111">
        <f>G2727*H2727</f>
      </c>
      <c r="BK2727" s="111"/>
      <c r="BL2727" s="111" t="n">
        <v>732</v>
      </c>
      <c r="BW2727" s="111" t="n">
        <v>21</v>
      </c>
      <c r="BX2727" s="14" t="s">
        <v>4314</v>
      </c>
    </row>
    <row r="2728">
      <c r="A2728" s="147" t="s">
        <v>4</v>
      </c>
      <c r="B2728" s="148" t="s">
        <v>91</v>
      </c>
      <c r="C2728" s="148" t="s">
        <v>3907</v>
      </c>
      <c r="D2728" s="149" t="s">
        <v>4078</v>
      </c>
      <c r="E2728" s="148"/>
      <c r="F2728" s="150" t="s">
        <v>79</v>
      </c>
      <c r="G2728" s="150" t="s">
        <v>79</v>
      </c>
      <c r="H2728" s="151" t="s">
        <v>79</v>
      </c>
      <c r="I2728" s="117">
        <f>SUM(I2729:I2746)</f>
      </c>
      <c r="J2728" s="132" t="s">
        <v>4</v>
      </c>
      <c r="K2728" s="146"/>
      <c r="AI2728" s="132" t="s">
        <v>91</v>
      </c>
      <c r="AS2728" s="117">
        <f>SUM(AJ2729:AJ2746)</f>
      </c>
      <c r="AT2728" s="117">
        <f>SUM(AK2729:AK2746)</f>
      </c>
      <c r="AU2728" s="117">
        <f>SUM(AL2729:AL2746)</f>
      </c>
    </row>
    <row r="2729" ht="24.75">
      <c r="A2729" s="9" t="s">
        <v>4315</v>
      </c>
      <c r="B2729" s="10" t="s">
        <v>91</v>
      </c>
      <c r="C2729" s="10" t="s">
        <v>4316</v>
      </c>
      <c r="D2729" s="14" t="s">
        <v>4317</v>
      </c>
      <c r="E2729" s="10"/>
      <c r="F2729" s="10" t="s">
        <v>133</v>
      </c>
      <c r="G2729" s="111" t="n">
        <v>16</v>
      </c>
      <c r="H2729" s="152" t="n">
        <v>0</v>
      </c>
      <c r="I2729" s="111">
        <f>G2729*H2729</f>
      </c>
      <c r="J2729" s="153" t="s">
        <v>4</v>
      </c>
      <c r="K2729" s="146"/>
      <c r="Z2729" s="111">
        <f>IF(AQ2729="5",BJ2729,0)</f>
      </c>
      <c r="AB2729" s="111">
        <f>IF(AQ2729="1",BH2729,0)</f>
      </c>
      <c r="AC2729" s="111">
        <f>IF(AQ2729="1",BI2729,0)</f>
      </c>
      <c r="AD2729" s="111">
        <f>IF(AQ2729="7",BH2729,0)</f>
      </c>
      <c r="AE2729" s="111">
        <f>IF(AQ2729="7",BI2729,0)</f>
      </c>
      <c r="AF2729" s="111">
        <f>IF(AQ2729="2",BH2729,0)</f>
      </c>
      <c r="AG2729" s="111">
        <f>IF(AQ2729="2",BI2729,0)</f>
      </c>
      <c r="AH2729" s="111">
        <f>IF(AQ2729="0",BJ2729,0)</f>
      </c>
      <c r="AI2729" s="132" t="s">
        <v>91</v>
      </c>
      <c r="AJ2729" s="111">
        <f>IF(AN2729=0,I2729,0)</f>
      </c>
      <c r="AK2729" s="111">
        <f>IF(AN2729=12,I2729,0)</f>
      </c>
      <c r="AL2729" s="111">
        <f>IF(AN2729=21,I2729,0)</f>
      </c>
      <c r="AN2729" s="111" t="n">
        <v>21</v>
      </c>
      <c r="AO2729" s="111">
        <f>H2729*0</f>
      </c>
      <c r="AP2729" s="111">
        <f>H2729*(1-0)</f>
      </c>
      <c r="AQ2729" s="153" t="s">
        <v>173</v>
      </c>
      <c r="AV2729" s="111">
        <f>AW2729+AX2729</f>
      </c>
      <c r="AW2729" s="111">
        <f>G2729*AO2729</f>
      </c>
      <c r="AX2729" s="111">
        <f>G2729*AP2729</f>
      </c>
      <c r="AY2729" s="153" t="s">
        <v>4082</v>
      </c>
      <c r="AZ2729" s="153" t="s">
        <v>4215</v>
      </c>
      <c r="BA2729" s="132" t="s">
        <v>4138</v>
      </c>
      <c r="BC2729" s="111">
        <f>AW2729+AX2729</f>
      </c>
      <c r="BD2729" s="111">
        <f>H2729/(100-BE2729)*100</f>
      </c>
      <c r="BE2729" s="111" t="n">
        <v>0</v>
      </c>
      <c r="BF2729" s="111">
        <f>2729</f>
      </c>
      <c r="BH2729" s="111">
        <f>G2729*AO2729</f>
      </c>
      <c r="BI2729" s="111">
        <f>G2729*AP2729</f>
      </c>
      <c r="BJ2729" s="111">
        <f>G2729*H2729</f>
      </c>
      <c r="BK2729" s="111"/>
      <c r="BL2729" s="111" t="n">
        <v>733</v>
      </c>
      <c r="BW2729" s="111" t="n">
        <v>21</v>
      </c>
      <c r="BX2729" s="14" t="s">
        <v>4317</v>
      </c>
    </row>
    <row r="2730" ht="24.75">
      <c r="A2730" s="9" t="s">
        <v>4318</v>
      </c>
      <c r="B2730" s="10" t="s">
        <v>91</v>
      </c>
      <c r="C2730" s="10" t="s">
        <v>4319</v>
      </c>
      <c r="D2730" s="14" t="s">
        <v>4320</v>
      </c>
      <c r="E2730" s="10"/>
      <c r="F2730" s="10" t="s">
        <v>133</v>
      </c>
      <c r="G2730" s="111" t="n">
        <v>2</v>
      </c>
      <c r="H2730" s="152" t="n">
        <v>0</v>
      </c>
      <c r="I2730" s="111">
        <f>G2730*H2730</f>
      </c>
      <c r="J2730" s="153" t="s">
        <v>4</v>
      </c>
      <c r="K2730" s="146"/>
      <c r="Z2730" s="111">
        <f>IF(AQ2730="5",BJ2730,0)</f>
      </c>
      <c r="AB2730" s="111">
        <f>IF(AQ2730="1",BH2730,0)</f>
      </c>
      <c r="AC2730" s="111">
        <f>IF(AQ2730="1",BI2730,0)</f>
      </c>
      <c r="AD2730" s="111">
        <f>IF(AQ2730="7",BH2730,0)</f>
      </c>
      <c r="AE2730" s="111">
        <f>IF(AQ2730="7",BI2730,0)</f>
      </c>
      <c r="AF2730" s="111">
        <f>IF(AQ2730="2",BH2730,0)</f>
      </c>
      <c r="AG2730" s="111">
        <f>IF(AQ2730="2",BI2730,0)</f>
      </c>
      <c r="AH2730" s="111">
        <f>IF(AQ2730="0",BJ2730,0)</f>
      </c>
      <c r="AI2730" s="132" t="s">
        <v>91</v>
      </c>
      <c r="AJ2730" s="111">
        <f>IF(AN2730=0,I2730,0)</f>
      </c>
      <c r="AK2730" s="111">
        <f>IF(AN2730=12,I2730,0)</f>
      </c>
      <c r="AL2730" s="111">
        <f>IF(AN2730=21,I2730,0)</f>
      </c>
      <c r="AN2730" s="111" t="n">
        <v>21</v>
      </c>
      <c r="AO2730" s="111">
        <f>H2730*0</f>
      </c>
      <c r="AP2730" s="111">
        <f>H2730*(1-0)</f>
      </c>
      <c r="AQ2730" s="153" t="s">
        <v>173</v>
      </c>
      <c r="AV2730" s="111">
        <f>AW2730+AX2730</f>
      </c>
      <c r="AW2730" s="111">
        <f>G2730*AO2730</f>
      </c>
      <c r="AX2730" s="111">
        <f>G2730*AP2730</f>
      </c>
      <c r="AY2730" s="153" t="s">
        <v>4082</v>
      </c>
      <c r="AZ2730" s="153" t="s">
        <v>4215</v>
      </c>
      <c r="BA2730" s="132" t="s">
        <v>4138</v>
      </c>
      <c r="BC2730" s="111">
        <f>AW2730+AX2730</f>
      </c>
      <c r="BD2730" s="111">
        <f>H2730/(100-BE2730)*100</f>
      </c>
      <c r="BE2730" s="111" t="n">
        <v>0</v>
      </c>
      <c r="BF2730" s="111">
        <f>2730</f>
      </c>
      <c r="BH2730" s="111">
        <f>G2730*AO2730</f>
      </c>
      <c r="BI2730" s="111">
        <f>G2730*AP2730</f>
      </c>
      <c r="BJ2730" s="111">
        <f>G2730*H2730</f>
      </c>
      <c r="BK2730" s="111"/>
      <c r="BL2730" s="111" t="n">
        <v>733</v>
      </c>
      <c r="BW2730" s="111" t="n">
        <v>21</v>
      </c>
      <c r="BX2730" s="14" t="s">
        <v>4320</v>
      </c>
    </row>
    <row r="2731" ht="24.75">
      <c r="A2731" s="9" t="s">
        <v>4321</v>
      </c>
      <c r="B2731" s="10" t="s">
        <v>91</v>
      </c>
      <c r="C2731" s="10" t="s">
        <v>4322</v>
      </c>
      <c r="D2731" s="14" t="s">
        <v>4323</v>
      </c>
      <c r="E2731" s="10"/>
      <c r="F2731" s="10" t="s">
        <v>133</v>
      </c>
      <c r="G2731" s="111" t="n">
        <v>2</v>
      </c>
      <c r="H2731" s="152" t="n">
        <v>0</v>
      </c>
      <c r="I2731" s="111">
        <f>G2731*H2731</f>
      </c>
      <c r="J2731" s="153" t="s">
        <v>4</v>
      </c>
      <c r="K2731" s="146"/>
      <c r="Z2731" s="111">
        <f>IF(AQ2731="5",BJ2731,0)</f>
      </c>
      <c r="AB2731" s="111">
        <f>IF(AQ2731="1",BH2731,0)</f>
      </c>
      <c r="AC2731" s="111">
        <f>IF(AQ2731="1",BI2731,0)</f>
      </c>
      <c r="AD2731" s="111">
        <f>IF(AQ2731="7",BH2731,0)</f>
      </c>
      <c r="AE2731" s="111">
        <f>IF(AQ2731="7",BI2731,0)</f>
      </c>
      <c r="AF2731" s="111">
        <f>IF(AQ2731="2",BH2731,0)</f>
      </c>
      <c r="AG2731" s="111">
        <f>IF(AQ2731="2",BI2731,0)</f>
      </c>
      <c r="AH2731" s="111">
        <f>IF(AQ2731="0",BJ2731,0)</f>
      </c>
      <c r="AI2731" s="132" t="s">
        <v>91</v>
      </c>
      <c r="AJ2731" s="111">
        <f>IF(AN2731=0,I2731,0)</f>
      </c>
      <c r="AK2731" s="111">
        <f>IF(AN2731=12,I2731,0)</f>
      </c>
      <c r="AL2731" s="111">
        <f>IF(AN2731=21,I2731,0)</f>
      </c>
      <c r="AN2731" s="111" t="n">
        <v>21</v>
      </c>
      <c r="AO2731" s="111">
        <f>H2731*0</f>
      </c>
      <c r="AP2731" s="111">
        <f>H2731*(1-0)</f>
      </c>
      <c r="AQ2731" s="153" t="s">
        <v>173</v>
      </c>
      <c r="AV2731" s="111">
        <f>AW2731+AX2731</f>
      </c>
      <c r="AW2731" s="111">
        <f>G2731*AO2731</f>
      </c>
      <c r="AX2731" s="111">
        <f>G2731*AP2731</f>
      </c>
      <c r="AY2731" s="153" t="s">
        <v>4082</v>
      </c>
      <c r="AZ2731" s="153" t="s">
        <v>4215</v>
      </c>
      <c r="BA2731" s="132" t="s">
        <v>4138</v>
      </c>
      <c r="BC2731" s="111">
        <f>AW2731+AX2731</f>
      </c>
      <c r="BD2731" s="111">
        <f>H2731/(100-BE2731)*100</f>
      </c>
      <c r="BE2731" s="111" t="n">
        <v>0</v>
      </c>
      <c r="BF2731" s="111">
        <f>2731</f>
      </c>
      <c r="BH2731" s="111">
        <f>G2731*AO2731</f>
      </c>
      <c r="BI2731" s="111">
        <f>G2731*AP2731</f>
      </c>
      <c r="BJ2731" s="111">
        <f>G2731*H2731</f>
      </c>
      <c r="BK2731" s="111"/>
      <c r="BL2731" s="111" t="n">
        <v>733</v>
      </c>
      <c r="BW2731" s="111" t="n">
        <v>21</v>
      </c>
      <c r="BX2731" s="14" t="s">
        <v>4323</v>
      </c>
    </row>
    <row r="2732">
      <c r="A2732" s="9" t="s">
        <v>4324</v>
      </c>
      <c r="B2732" s="10" t="s">
        <v>91</v>
      </c>
      <c r="C2732" s="10" t="s">
        <v>4325</v>
      </c>
      <c r="D2732" s="14" t="s">
        <v>4326</v>
      </c>
      <c r="E2732" s="10"/>
      <c r="F2732" s="10" t="s">
        <v>133</v>
      </c>
      <c r="G2732" s="111" t="n">
        <v>4</v>
      </c>
      <c r="H2732" s="152" t="n">
        <v>0</v>
      </c>
      <c r="I2732" s="111">
        <f>G2732*H2732</f>
      </c>
      <c r="J2732" s="153" t="s">
        <v>4</v>
      </c>
      <c r="K2732" s="146"/>
      <c r="Z2732" s="111">
        <f>IF(AQ2732="5",BJ2732,0)</f>
      </c>
      <c r="AB2732" s="111">
        <f>IF(AQ2732="1",BH2732,0)</f>
      </c>
      <c r="AC2732" s="111">
        <f>IF(AQ2732="1",BI2732,0)</f>
      </c>
      <c r="AD2732" s="111">
        <f>IF(AQ2732="7",BH2732,0)</f>
      </c>
      <c r="AE2732" s="111">
        <f>IF(AQ2732="7",BI2732,0)</f>
      </c>
      <c r="AF2732" s="111">
        <f>IF(AQ2732="2",BH2732,0)</f>
      </c>
      <c r="AG2732" s="111">
        <f>IF(AQ2732="2",BI2732,0)</f>
      </c>
      <c r="AH2732" s="111">
        <f>IF(AQ2732="0",BJ2732,0)</f>
      </c>
      <c r="AI2732" s="132" t="s">
        <v>91</v>
      </c>
      <c r="AJ2732" s="111">
        <f>IF(AN2732=0,I2732,0)</f>
      </c>
      <c r="AK2732" s="111">
        <f>IF(AN2732=12,I2732,0)</f>
      </c>
      <c r="AL2732" s="111">
        <f>IF(AN2732=21,I2732,0)</f>
      </c>
      <c r="AN2732" s="111" t="n">
        <v>21</v>
      </c>
      <c r="AO2732" s="111">
        <f>H2732*0</f>
      </c>
      <c r="AP2732" s="111">
        <f>H2732*(1-0)</f>
      </c>
      <c r="AQ2732" s="153" t="s">
        <v>173</v>
      </c>
      <c r="AV2732" s="111">
        <f>AW2732+AX2732</f>
      </c>
      <c r="AW2732" s="111">
        <f>G2732*AO2732</f>
      </c>
      <c r="AX2732" s="111">
        <f>G2732*AP2732</f>
      </c>
      <c r="AY2732" s="153" t="s">
        <v>4082</v>
      </c>
      <c r="AZ2732" s="153" t="s">
        <v>4215</v>
      </c>
      <c r="BA2732" s="132" t="s">
        <v>4138</v>
      </c>
      <c r="BC2732" s="111">
        <f>AW2732+AX2732</f>
      </c>
      <c r="BD2732" s="111">
        <f>H2732/(100-BE2732)*100</f>
      </c>
      <c r="BE2732" s="111" t="n">
        <v>0</v>
      </c>
      <c r="BF2732" s="111">
        <f>2732</f>
      </c>
      <c r="BH2732" s="111">
        <f>G2732*AO2732</f>
      </c>
      <c r="BI2732" s="111">
        <f>G2732*AP2732</f>
      </c>
      <c r="BJ2732" s="111">
        <f>G2732*H2732</f>
      </c>
      <c r="BK2732" s="111"/>
      <c r="BL2732" s="111" t="n">
        <v>733</v>
      </c>
      <c r="BW2732" s="111" t="n">
        <v>21</v>
      </c>
      <c r="BX2732" s="14" t="s">
        <v>4326</v>
      </c>
    </row>
    <row r="2733" ht="24.75">
      <c r="A2733" s="9" t="s">
        <v>4327</v>
      </c>
      <c r="B2733" s="10" t="s">
        <v>91</v>
      </c>
      <c r="C2733" s="10" t="s">
        <v>4328</v>
      </c>
      <c r="D2733" s="14" t="s">
        <v>4329</v>
      </c>
      <c r="E2733" s="10"/>
      <c r="F2733" s="10" t="s">
        <v>282</v>
      </c>
      <c r="G2733" s="111" t="n">
        <v>54</v>
      </c>
      <c r="H2733" s="152" t="n">
        <v>0</v>
      </c>
      <c r="I2733" s="111">
        <f>G2733*H2733</f>
      </c>
      <c r="J2733" s="153" t="s">
        <v>4</v>
      </c>
      <c r="K2733" s="146"/>
      <c r="Z2733" s="111">
        <f>IF(AQ2733="5",BJ2733,0)</f>
      </c>
      <c r="AB2733" s="111">
        <f>IF(AQ2733="1",BH2733,0)</f>
      </c>
      <c r="AC2733" s="111">
        <f>IF(AQ2733="1",BI2733,0)</f>
      </c>
      <c r="AD2733" s="111">
        <f>IF(AQ2733="7",BH2733,0)</f>
      </c>
      <c r="AE2733" s="111">
        <f>IF(AQ2733="7",BI2733,0)</f>
      </c>
      <c r="AF2733" s="111">
        <f>IF(AQ2733="2",BH2733,0)</f>
      </c>
      <c r="AG2733" s="111">
        <f>IF(AQ2733="2",BI2733,0)</f>
      </c>
      <c r="AH2733" s="111">
        <f>IF(AQ2733="0",BJ2733,0)</f>
      </c>
      <c r="AI2733" s="132" t="s">
        <v>91</v>
      </c>
      <c r="AJ2733" s="111">
        <f>IF(AN2733=0,I2733,0)</f>
      </c>
      <c r="AK2733" s="111">
        <f>IF(AN2733=12,I2733,0)</f>
      </c>
      <c r="AL2733" s="111">
        <f>IF(AN2733=21,I2733,0)</f>
      </c>
      <c r="AN2733" s="111" t="n">
        <v>21</v>
      </c>
      <c r="AO2733" s="111">
        <f>H2733*0</f>
      </c>
      <c r="AP2733" s="111">
        <f>H2733*(1-0)</f>
      </c>
      <c r="AQ2733" s="153" t="s">
        <v>173</v>
      </c>
      <c r="AV2733" s="111">
        <f>AW2733+AX2733</f>
      </c>
      <c r="AW2733" s="111">
        <f>G2733*AO2733</f>
      </c>
      <c r="AX2733" s="111">
        <f>G2733*AP2733</f>
      </c>
      <c r="AY2733" s="153" t="s">
        <v>4082</v>
      </c>
      <c r="AZ2733" s="153" t="s">
        <v>4215</v>
      </c>
      <c r="BA2733" s="132" t="s">
        <v>4138</v>
      </c>
      <c r="BC2733" s="111">
        <f>AW2733+AX2733</f>
      </c>
      <c r="BD2733" s="111">
        <f>H2733/(100-BE2733)*100</f>
      </c>
      <c r="BE2733" s="111" t="n">
        <v>0</v>
      </c>
      <c r="BF2733" s="111">
        <f>2733</f>
      </c>
      <c r="BH2733" s="111">
        <f>G2733*AO2733</f>
      </c>
      <c r="BI2733" s="111">
        <f>G2733*AP2733</f>
      </c>
      <c r="BJ2733" s="111">
        <f>G2733*H2733</f>
      </c>
      <c r="BK2733" s="111"/>
      <c r="BL2733" s="111" t="n">
        <v>733</v>
      </c>
      <c r="BW2733" s="111" t="n">
        <v>21</v>
      </c>
      <c r="BX2733" s="14" t="s">
        <v>4329</v>
      </c>
    </row>
    <row r="2734" ht="24.75">
      <c r="A2734" s="9" t="s">
        <v>4330</v>
      </c>
      <c r="B2734" s="10" t="s">
        <v>91</v>
      </c>
      <c r="C2734" s="10" t="s">
        <v>4331</v>
      </c>
      <c r="D2734" s="14" t="s">
        <v>4332</v>
      </c>
      <c r="E2734" s="10"/>
      <c r="F2734" s="10" t="s">
        <v>282</v>
      </c>
      <c r="G2734" s="111" t="n">
        <v>10</v>
      </c>
      <c r="H2734" s="152" t="n">
        <v>0</v>
      </c>
      <c r="I2734" s="111">
        <f>G2734*H2734</f>
      </c>
      <c r="J2734" s="153" t="s">
        <v>4</v>
      </c>
      <c r="K2734" s="146"/>
      <c r="Z2734" s="111">
        <f>IF(AQ2734="5",BJ2734,0)</f>
      </c>
      <c r="AB2734" s="111">
        <f>IF(AQ2734="1",BH2734,0)</f>
      </c>
      <c r="AC2734" s="111">
        <f>IF(AQ2734="1",BI2734,0)</f>
      </c>
      <c r="AD2734" s="111">
        <f>IF(AQ2734="7",BH2734,0)</f>
      </c>
      <c r="AE2734" s="111">
        <f>IF(AQ2734="7",BI2734,0)</f>
      </c>
      <c r="AF2734" s="111">
        <f>IF(AQ2734="2",BH2734,0)</f>
      </c>
      <c r="AG2734" s="111">
        <f>IF(AQ2734="2",BI2734,0)</f>
      </c>
      <c r="AH2734" s="111">
        <f>IF(AQ2734="0",BJ2734,0)</f>
      </c>
      <c r="AI2734" s="132" t="s">
        <v>91</v>
      </c>
      <c r="AJ2734" s="111">
        <f>IF(AN2734=0,I2734,0)</f>
      </c>
      <c r="AK2734" s="111">
        <f>IF(AN2734=12,I2734,0)</f>
      </c>
      <c r="AL2734" s="111">
        <f>IF(AN2734=21,I2734,0)</f>
      </c>
      <c r="AN2734" s="111" t="n">
        <v>21</v>
      </c>
      <c r="AO2734" s="111">
        <f>H2734*0</f>
      </c>
      <c r="AP2734" s="111">
        <f>H2734*(1-0)</f>
      </c>
      <c r="AQ2734" s="153" t="s">
        <v>173</v>
      </c>
      <c r="AV2734" s="111">
        <f>AW2734+AX2734</f>
      </c>
      <c r="AW2734" s="111">
        <f>G2734*AO2734</f>
      </c>
      <c r="AX2734" s="111">
        <f>G2734*AP2734</f>
      </c>
      <c r="AY2734" s="153" t="s">
        <v>4082</v>
      </c>
      <c r="AZ2734" s="153" t="s">
        <v>4215</v>
      </c>
      <c r="BA2734" s="132" t="s">
        <v>4138</v>
      </c>
      <c r="BC2734" s="111">
        <f>AW2734+AX2734</f>
      </c>
      <c r="BD2734" s="111">
        <f>H2734/(100-BE2734)*100</f>
      </c>
      <c r="BE2734" s="111" t="n">
        <v>0</v>
      </c>
      <c r="BF2734" s="111">
        <f>2734</f>
      </c>
      <c r="BH2734" s="111">
        <f>G2734*AO2734</f>
      </c>
      <c r="BI2734" s="111">
        <f>G2734*AP2734</f>
      </c>
      <c r="BJ2734" s="111">
        <f>G2734*H2734</f>
      </c>
      <c r="BK2734" s="111"/>
      <c r="BL2734" s="111" t="n">
        <v>733</v>
      </c>
      <c r="BW2734" s="111" t="n">
        <v>21</v>
      </c>
      <c r="BX2734" s="14" t="s">
        <v>4332</v>
      </c>
    </row>
    <row r="2735" ht="24.75">
      <c r="A2735" s="9" t="s">
        <v>4333</v>
      </c>
      <c r="B2735" s="10" t="s">
        <v>91</v>
      </c>
      <c r="C2735" s="10" t="s">
        <v>4334</v>
      </c>
      <c r="D2735" s="14" t="s">
        <v>4335</v>
      </c>
      <c r="E2735" s="10"/>
      <c r="F2735" s="10" t="s">
        <v>282</v>
      </c>
      <c r="G2735" s="111" t="n">
        <v>74</v>
      </c>
      <c r="H2735" s="152" t="n">
        <v>0</v>
      </c>
      <c r="I2735" s="111">
        <f>G2735*H2735</f>
      </c>
      <c r="J2735" s="153" t="s">
        <v>4</v>
      </c>
      <c r="K2735" s="146"/>
      <c r="Z2735" s="111">
        <f>IF(AQ2735="5",BJ2735,0)</f>
      </c>
      <c r="AB2735" s="111">
        <f>IF(AQ2735="1",BH2735,0)</f>
      </c>
      <c r="AC2735" s="111">
        <f>IF(AQ2735="1",BI2735,0)</f>
      </c>
      <c r="AD2735" s="111">
        <f>IF(AQ2735="7",BH2735,0)</f>
      </c>
      <c r="AE2735" s="111">
        <f>IF(AQ2735="7",BI2735,0)</f>
      </c>
      <c r="AF2735" s="111">
        <f>IF(AQ2735="2",BH2735,0)</f>
      </c>
      <c r="AG2735" s="111">
        <f>IF(AQ2735="2",BI2735,0)</f>
      </c>
      <c r="AH2735" s="111">
        <f>IF(AQ2735="0",BJ2735,0)</f>
      </c>
      <c r="AI2735" s="132" t="s">
        <v>91</v>
      </c>
      <c r="AJ2735" s="111">
        <f>IF(AN2735=0,I2735,0)</f>
      </c>
      <c r="AK2735" s="111">
        <f>IF(AN2735=12,I2735,0)</f>
      </c>
      <c r="AL2735" s="111">
        <f>IF(AN2735=21,I2735,0)</f>
      </c>
      <c r="AN2735" s="111" t="n">
        <v>21</v>
      </c>
      <c r="AO2735" s="111">
        <f>H2735*0</f>
      </c>
      <c r="AP2735" s="111">
        <f>H2735*(1-0)</f>
      </c>
      <c r="AQ2735" s="153" t="s">
        <v>173</v>
      </c>
      <c r="AV2735" s="111">
        <f>AW2735+AX2735</f>
      </c>
      <c r="AW2735" s="111">
        <f>G2735*AO2735</f>
      </c>
      <c r="AX2735" s="111">
        <f>G2735*AP2735</f>
      </c>
      <c r="AY2735" s="153" t="s">
        <v>4082</v>
      </c>
      <c r="AZ2735" s="153" t="s">
        <v>4215</v>
      </c>
      <c r="BA2735" s="132" t="s">
        <v>4138</v>
      </c>
      <c r="BC2735" s="111">
        <f>AW2735+AX2735</f>
      </c>
      <c r="BD2735" s="111">
        <f>H2735/(100-BE2735)*100</f>
      </c>
      <c r="BE2735" s="111" t="n">
        <v>0</v>
      </c>
      <c r="BF2735" s="111">
        <f>2735</f>
      </c>
      <c r="BH2735" s="111">
        <f>G2735*AO2735</f>
      </c>
      <c r="BI2735" s="111">
        <f>G2735*AP2735</f>
      </c>
      <c r="BJ2735" s="111">
        <f>G2735*H2735</f>
      </c>
      <c r="BK2735" s="111"/>
      <c r="BL2735" s="111" t="n">
        <v>733</v>
      </c>
      <c r="BW2735" s="111" t="n">
        <v>21</v>
      </c>
      <c r="BX2735" s="14" t="s">
        <v>4335</v>
      </c>
    </row>
    <row r="2736">
      <c r="A2736" s="9" t="s">
        <v>4336</v>
      </c>
      <c r="B2736" s="10" t="s">
        <v>91</v>
      </c>
      <c r="C2736" s="10" t="s">
        <v>4337</v>
      </c>
      <c r="D2736" s="14" t="s">
        <v>4338</v>
      </c>
      <c r="E2736" s="10"/>
      <c r="F2736" s="10" t="s">
        <v>133</v>
      </c>
      <c r="G2736" s="111" t="n">
        <v>2</v>
      </c>
      <c r="H2736" s="152" t="n">
        <v>0</v>
      </c>
      <c r="I2736" s="111">
        <f>G2736*H2736</f>
      </c>
      <c r="J2736" s="153" t="s">
        <v>4</v>
      </c>
      <c r="K2736" s="146"/>
      <c r="Z2736" s="111">
        <f>IF(AQ2736="5",BJ2736,0)</f>
      </c>
      <c r="AB2736" s="111">
        <f>IF(AQ2736="1",BH2736,0)</f>
      </c>
      <c r="AC2736" s="111">
        <f>IF(AQ2736="1",BI2736,0)</f>
      </c>
      <c r="AD2736" s="111">
        <f>IF(AQ2736="7",BH2736,0)</f>
      </c>
      <c r="AE2736" s="111">
        <f>IF(AQ2736="7",BI2736,0)</f>
      </c>
      <c r="AF2736" s="111">
        <f>IF(AQ2736="2",BH2736,0)</f>
      </c>
      <c r="AG2736" s="111">
        <f>IF(AQ2736="2",BI2736,0)</f>
      </c>
      <c r="AH2736" s="111">
        <f>IF(AQ2736="0",BJ2736,0)</f>
      </c>
      <c r="AI2736" s="132" t="s">
        <v>91</v>
      </c>
      <c r="AJ2736" s="111">
        <f>IF(AN2736=0,I2736,0)</f>
      </c>
      <c r="AK2736" s="111">
        <f>IF(AN2736=12,I2736,0)</f>
      </c>
      <c r="AL2736" s="111">
        <f>IF(AN2736=21,I2736,0)</f>
      </c>
      <c r="AN2736" s="111" t="n">
        <v>21</v>
      </c>
      <c r="AO2736" s="111">
        <f>H2736*0</f>
      </c>
      <c r="AP2736" s="111">
        <f>H2736*(1-0)</f>
      </c>
      <c r="AQ2736" s="153" t="s">
        <v>173</v>
      </c>
      <c r="AV2736" s="111">
        <f>AW2736+AX2736</f>
      </c>
      <c r="AW2736" s="111">
        <f>G2736*AO2736</f>
      </c>
      <c r="AX2736" s="111">
        <f>G2736*AP2736</f>
      </c>
      <c r="AY2736" s="153" t="s">
        <v>4082</v>
      </c>
      <c r="AZ2736" s="153" t="s">
        <v>4215</v>
      </c>
      <c r="BA2736" s="132" t="s">
        <v>4138</v>
      </c>
      <c r="BC2736" s="111">
        <f>AW2736+AX2736</f>
      </c>
      <c r="BD2736" s="111">
        <f>H2736/(100-BE2736)*100</f>
      </c>
      <c r="BE2736" s="111" t="n">
        <v>0</v>
      </c>
      <c r="BF2736" s="111">
        <f>2736</f>
      </c>
      <c r="BH2736" s="111">
        <f>G2736*AO2736</f>
      </c>
      <c r="BI2736" s="111">
        <f>G2736*AP2736</f>
      </c>
      <c r="BJ2736" s="111">
        <f>G2736*H2736</f>
      </c>
      <c r="BK2736" s="111"/>
      <c r="BL2736" s="111" t="n">
        <v>733</v>
      </c>
      <c r="BW2736" s="111" t="n">
        <v>21</v>
      </c>
      <c r="BX2736" s="14" t="s">
        <v>4338</v>
      </c>
    </row>
    <row r="2737">
      <c r="A2737" s="9" t="s">
        <v>4339</v>
      </c>
      <c r="B2737" s="10" t="s">
        <v>91</v>
      </c>
      <c r="C2737" s="10" t="s">
        <v>4340</v>
      </c>
      <c r="D2737" s="14" t="s">
        <v>4341</v>
      </c>
      <c r="E2737" s="10"/>
      <c r="F2737" s="10" t="s">
        <v>133</v>
      </c>
      <c r="G2737" s="111" t="n">
        <v>4</v>
      </c>
      <c r="H2737" s="152" t="n">
        <v>0</v>
      </c>
      <c r="I2737" s="111">
        <f>G2737*H2737</f>
      </c>
      <c r="J2737" s="153" t="s">
        <v>4</v>
      </c>
      <c r="K2737" s="146"/>
      <c r="Z2737" s="111">
        <f>IF(AQ2737="5",BJ2737,0)</f>
      </c>
      <c r="AB2737" s="111">
        <f>IF(AQ2737="1",BH2737,0)</f>
      </c>
      <c r="AC2737" s="111">
        <f>IF(AQ2737="1",BI2737,0)</f>
      </c>
      <c r="AD2737" s="111">
        <f>IF(AQ2737="7",BH2737,0)</f>
      </c>
      <c r="AE2737" s="111">
        <f>IF(AQ2737="7",BI2737,0)</f>
      </c>
      <c r="AF2737" s="111">
        <f>IF(AQ2737="2",BH2737,0)</f>
      </c>
      <c r="AG2737" s="111">
        <f>IF(AQ2737="2",BI2737,0)</f>
      </c>
      <c r="AH2737" s="111">
        <f>IF(AQ2737="0",BJ2737,0)</f>
      </c>
      <c r="AI2737" s="132" t="s">
        <v>91</v>
      </c>
      <c r="AJ2737" s="111">
        <f>IF(AN2737=0,I2737,0)</f>
      </c>
      <c r="AK2737" s="111">
        <f>IF(AN2737=12,I2737,0)</f>
      </c>
      <c r="AL2737" s="111">
        <f>IF(AN2737=21,I2737,0)</f>
      </c>
      <c r="AN2737" s="111" t="n">
        <v>21</v>
      </c>
      <c r="AO2737" s="111">
        <f>H2737*0</f>
      </c>
      <c r="AP2737" s="111">
        <f>H2737*(1-0)</f>
      </c>
      <c r="AQ2737" s="153" t="s">
        <v>173</v>
      </c>
      <c r="AV2737" s="111">
        <f>AW2737+AX2737</f>
      </c>
      <c r="AW2737" s="111">
        <f>G2737*AO2737</f>
      </c>
      <c r="AX2737" s="111">
        <f>G2737*AP2737</f>
      </c>
      <c r="AY2737" s="153" t="s">
        <v>4082</v>
      </c>
      <c r="AZ2737" s="153" t="s">
        <v>4215</v>
      </c>
      <c r="BA2737" s="132" t="s">
        <v>4138</v>
      </c>
      <c r="BC2737" s="111">
        <f>AW2737+AX2737</f>
      </c>
      <c r="BD2737" s="111">
        <f>H2737/(100-BE2737)*100</f>
      </c>
      <c r="BE2737" s="111" t="n">
        <v>0</v>
      </c>
      <c r="BF2737" s="111">
        <f>2737</f>
      </c>
      <c r="BH2737" s="111">
        <f>G2737*AO2737</f>
      </c>
      <c r="BI2737" s="111">
        <f>G2737*AP2737</f>
      </c>
      <c r="BJ2737" s="111">
        <f>G2737*H2737</f>
      </c>
      <c r="BK2737" s="111"/>
      <c r="BL2737" s="111" t="n">
        <v>733</v>
      </c>
      <c r="BW2737" s="111" t="n">
        <v>21</v>
      </c>
      <c r="BX2737" s="14" t="s">
        <v>4341</v>
      </c>
    </row>
    <row r="2738">
      <c r="A2738" s="9" t="s">
        <v>4342</v>
      </c>
      <c r="B2738" s="10" t="s">
        <v>91</v>
      </c>
      <c r="C2738" s="10" t="s">
        <v>4343</v>
      </c>
      <c r="D2738" s="14" t="s">
        <v>4344</v>
      </c>
      <c r="E2738" s="10"/>
      <c r="F2738" s="10" t="s">
        <v>282</v>
      </c>
      <c r="G2738" s="111" t="n">
        <v>24</v>
      </c>
      <c r="H2738" s="152" t="n">
        <v>0</v>
      </c>
      <c r="I2738" s="111">
        <f>G2738*H2738</f>
      </c>
      <c r="J2738" s="153" t="s">
        <v>4</v>
      </c>
      <c r="K2738" s="146"/>
      <c r="Z2738" s="111">
        <f>IF(AQ2738="5",BJ2738,0)</f>
      </c>
      <c r="AB2738" s="111">
        <f>IF(AQ2738="1",BH2738,0)</f>
      </c>
      <c r="AC2738" s="111">
        <f>IF(AQ2738="1",BI2738,0)</f>
      </c>
      <c r="AD2738" s="111">
        <f>IF(AQ2738="7",BH2738,0)</f>
      </c>
      <c r="AE2738" s="111">
        <f>IF(AQ2738="7",BI2738,0)</f>
      </c>
      <c r="AF2738" s="111">
        <f>IF(AQ2738="2",BH2738,0)</f>
      </c>
      <c r="AG2738" s="111">
        <f>IF(AQ2738="2",BI2738,0)</f>
      </c>
      <c r="AH2738" s="111">
        <f>IF(AQ2738="0",BJ2738,0)</f>
      </c>
      <c r="AI2738" s="132" t="s">
        <v>91</v>
      </c>
      <c r="AJ2738" s="111">
        <f>IF(AN2738=0,I2738,0)</f>
      </c>
      <c r="AK2738" s="111">
        <f>IF(AN2738=12,I2738,0)</f>
      </c>
      <c r="AL2738" s="111">
        <f>IF(AN2738=21,I2738,0)</f>
      </c>
      <c r="AN2738" s="111" t="n">
        <v>21</v>
      </c>
      <c r="AO2738" s="111">
        <f>H2738*0</f>
      </c>
      <c r="AP2738" s="111">
        <f>H2738*(1-0)</f>
      </c>
      <c r="AQ2738" s="153" t="s">
        <v>173</v>
      </c>
      <c r="AV2738" s="111">
        <f>AW2738+AX2738</f>
      </c>
      <c r="AW2738" s="111">
        <f>G2738*AO2738</f>
      </c>
      <c r="AX2738" s="111">
        <f>G2738*AP2738</f>
      </c>
      <c r="AY2738" s="153" t="s">
        <v>4082</v>
      </c>
      <c r="AZ2738" s="153" t="s">
        <v>4215</v>
      </c>
      <c r="BA2738" s="132" t="s">
        <v>4138</v>
      </c>
      <c r="BC2738" s="111">
        <f>AW2738+AX2738</f>
      </c>
      <c r="BD2738" s="111">
        <f>H2738/(100-BE2738)*100</f>
      </c>
      <c r="BE2738" s="111" t="n">
        <v>0</v>
      </c>
      <c r="BF2738" s="111">
        <f>2738</f>
      </c>
      <c r="BH2738" s="111">
        <f>G2738*AO2738</f>
      </c>
      <c r="BI2738" s="111">
        <f>G2738*AP2738</f>
      </c>
      <c r="BJ2738" s="111">
        <f>G2738*H2738</f>
      </c>
      <c r="BK2738" s="111"/>
      <c r="BL2738" s="111" t="n">
        <v>733</v>
      </c>
      <c r="BW2738" s="111" t="n">
        <v>21</v>
      </c>
      <c r="BX2738" s="14" t="s">
        <v>4344</v>
      </c>
    </row>
    <row r="2739">
      <c r="A2739" s="9" t="s">
        <v>4345</v>
      </c>
      <c r="B2739" s="10" t="s">
        <v>91</v>
      </c>
      <c r="C2739" s="10" t="s">
        <v>4346</v>
      </c>
      <c r="D2739" s="14" t="s">
        <v>4347</v>
      </c>
      <c r="E2739" s="10"/>
      <c r="F2739" s="10" t="s">
        <v>282</v>
      </c>
      <c r="G2739" s="111" t="n">
        <v>122</v>
      </c>
      <c r="H2739" s="152" t="n">
        <v>0</v>
      </c>
      <c r="I2739" s="111">
        <f>G2739*H2739</f>
      </c>
      <c r="J2739" s="153" t="s">
        <v>4</v>
      </c>
      <c r="K2739" s="146"/>
      <c r="Z2739" s="111">
        <f>IF(AQ2739="5",BJ2739,0)</f>
      </c>
      <c r="AB2739" s="111">
        <f>IF(AQ2739="1",BH2739,0)</f>
      </c>
      <c r="AC2739" s="111">
        <f>IF(AQ2739="1",BI2739,0)</f>
      </c>
      <c r="AD2739" s="111">
        <f>IF(AQ2739="7",BH2739,0)</f>
      </c>
      <c r="AE2739" s="111">
        <f>IF(AQ2739="7",BI2739,0)</f>
      </c>
      <c r="AF2739" s="111">
        <f>IF(AQ2739="2",BH2739,0)</f>
      </c>
      <c r="AG2739" s="111">
        <f>IF(AQ2739="2",BI2739,0)</f>
      </c>
      <c r="AH2739" s="111">
        <f>IF(AQ2739="0",BJ2739,0)</f>
      </c>
      <c r="AI2739" s="132" t="s">
        <v>91</v>
      </c>
      <c r="AJ2739" s="111">
        <f>IF(AN2739=0,I2739,0)</f>
      </c>
      <c r="AK2739" s="111">
        <f>IF(AN2739=12,I2739,0)</f>
      </c>
      <c r="AL2739" s="111">
        <f>IF(AN2739=21,I2739,0)</f>
      </c>
      <c r="AN2739" s="111" t="n">
        <v>21</v>
      </c>
      <c r="AO2739" s="111">
        <f>H2739*0</f>
      </c>
      <c r="AP2739" s="111">
        <f>H2739*(1-0)</f>
      </c>
      <c r="AQ2739" s="153" t="s">
        <v>173</v>
      </c>
      <c r="AV2739" s="111">
        <f>AW2739+AX2739</f>
      </c>
      <c r="AW2739" s="111">
        <f>G2739*AO2739</f>
      </c>
      <c r="AX2739" s="111">
        <f>G2739*AP2739</f>
      </c>
      <c r="AY2739" s="153" t="s">
        <v>4082</v>
      </c>
      <c r="AZ2739" s="153" t="s">
        <v>4215</v>
      </c>
      <c r="BA2739" s="132" t="s">
        <v>4138</v>
      </c>
      <c r="BC2739" s="111">
        <f>AW2739+AX2739</f>
      </c>
      <c r="BD2739" s="111">
        <f>H2739/(100-BE2739)*100</f>
      </c>
      <c r="BE2739" s="111" t="n">
        <v>0</v>
      </c>
      <c r="BF2739" s="111">
        <f>2739</f>
      </c>
      <c r="BH2739" s="111">
        <f>G2739*AO2739</f>
      </c>
      <c r="BI2739" s="111">
        <f>G2739*AP2739</f>
      </c>
      <c r="BJ2739" s="111">
        <f>G2739*H2739</f>
      </c>
      <c r="BK2739" s="111"/>
      <c r="BL2739" s="111" t="n">
        <v>733</v>
      </c>
      <c r="BW2739" s="111" t="n">
        <v>21</v>
      </c>
      <c r="BX2739" s="14" t="s">
        <v>4347</v>
      </c>
    </row>
    <row r="2740">
      <c r="A2740" s="9" t="s">
        <v>4348</v>
      </c>
      <c r="B2740" s="10" t="s">
        <v>91</v>
      </c>
      <c r="C2740" s="10" t="s">
        <v>4349</v>
      </c>
      <c r="D2740" s="14" t="s">
        <v>4350</v>
      </c>
      <c r="E2740" s="10"/>
      <c r="F2740" s="10" t="s">
        <v>282</v>
      </c>
      <c r="G2740" s="111" t="n">
        <v>260</v>
      </c>
      <c r="H2740" s="152" t="n">
        <v>0</v>
      </c>
      <c r="I2740" s="111">
        <f>G2740*H2740</f>
      </c>
      <c r="J2740" s="153" t="s">
        <v>4</v>
      </c>
      <c r="K2740" s="146"/>
      <c r="Z2740" s="111">
        <f>IF(AQ2740="5",BJ2740,0)</f>
      </c>
      <c r="AB2740" s="111">
        <f>IF(AQ2740="1",BH2740,0)</f>
      </c>
      <c r="AC2740" s="111">
        <f>IF(AQ2740="1",BI2740,0)</f>
      </c>
      <c r="AD2740" s="111">
        <f>IF(AQ2740="7",BH2740,0)</f>
      </c>
      <c r="AE2740" s="111">
        <f>IF(AQ2740="7",BI2740,0)</f>
      </c>
      <c r="AF2740" s="111">
        <f>IF(AQ2740="2",BH2740,0)</f>
      </c>
      <c r="AG2740" s="111">
        <f>IF(AQ2740="2",BI2740,0)</f>
      </c>
      <c r="AH2740" s="111">
        <f>IF(AQ2740="0",BJ2740,0)</f>
      </c>
      <c r="AI2740" s="132" t="s">
        <v>91</v>
      </c>
      <c r="AJ2740" s="111">
        <f>IF(AN2740=0,I2740,0)</f>
      </c>
      <c r="AK2740" s="111">
        <f>IF(AN2740=12,I2740,0)</f>
      </c>
      <c r="AL2740" s="111">
        <f>IF(AN2740=21,I2740,0)</f>
      </c>
      <c r="AN2740" s="111" t="n">
        <v>21</v>
      </c>
      <c r="AO2740" s="111">
        <f>H2740*0</f>
      </c>
      <c r="AP2740" s="111">
        <f>H2740*(1-0)</f>
      </c>
      <c r="AQ2740" s="153" t="s">
        <v>173</v>
      </c>
      <c r="AV2740" s="111">
        <f>AW2740+AX2740</f>
      </c>
      <c r="AW2740" s="111">
        <f>G2740*AO2740</f>
      </c>
      <c r="AX2740" s="111">
        <f>G2740*AP2740</f>
      </c>
      <c r="AY2740" s="153" t="s">
        <v>4082</v>
      </c>
      <c r="AZ2740" s="153" t="s">
        <v>4215</v>
      </c>
      <c r="BA2740" s="132" t="s">
        <v>4138</v>
      </c>
      <c r="BC2740" s="111">
        <f>AW2740+AX2740</f>
      </c>
      <c r="BD2740" s="111">
        <f>H2740/(100-BE2740)*100</f>
      </c>
      <c r="BE2740" s="111" t="n">
        <v>0</v>
      </c>
      <c r="BF2740" s="111">
        <f>2740</f>
      </c>
      <c r="BH2740" s="111">
        <f>G2740*AO2740</f>
      </c>
      <c r="BI2740" s="111">
        <f>G2740*AP2740</f>
      </c>
      <c r="BJ2740" s="111">
        <f>G2740*H2740</f>
      </c>
      <c r="BK2740" s="111"/>
      <c r="BL2740" s="111" t="n">
        <v>733</v>
      </c>
      <c r="BW2740" s="111" t="n">
        <v>21</v>
      </c>
      <c r="BX2740" s="14" t="s">
        <v>4350</v>
      </c>
    </row>
    <row r="2741">
      <c r="A2741" s="154"/>
      <c r="B2741" s="155"/>
      <c r="C2741" s="155"/>
      <c r="D2741" s="156" t="s">
        <v>4198</v>
      </c>
      <c r="E2741" s="156" t="s">
        <v>4</v>
      </c>
      <c r="F2741" s="155"/>
      <c r="G2741" s="157" t="n">
        <v>74</v>
      </c>
      <c r="H2741" s="158"/>
      <c r="I2741" s="155"/>
      <c r="J2741" s="155"/>
      <c r="K2741" s="146"/>
    </row>
    <row r="2742">
      <c r="A2742" s="154"/>
      <c r="B2742" s="155"/>
      <c r="C2742" s="155"/>
      <c r="D2742" s="156" t="s">
        <v>4194</v>
      </c>
      <c r="E2742" s="156" t="s">
        <v>4</v>
      </c>
      <c r="F2742" s="155"/>
      <c r="G2742" s="157" t="n">
        <v>10</v>
      </c>
      <c r="H2742" s="158"/>
      <c r="I2742" s="155"/>
      <c r="J2742" s="155"/>
      <c r="K2742" s="146"/>
    </row>
    <row r="2743">
      <c r="A2743" s="154"/>
      <c r="B2743" s="155"/>
      <c r="C2743" s="155"/>
      <c r="D2743" s="156" t="s">
        <v>4189</v>
      </c>
      <c r="E2743" s="156" t="s">
        <v>4</v>
      </c>
      <c r="F2743" s="155"/>
      <c r="G2743" s="157" t="n">
        <v>54</v>
      </c>
      <c r="H2743" s="158"/>
      <c r="I2743" s="155"/>
      <c r="J2743" s="155"/>
      <c r="K2743" s="146"/>
    </row>
    <row r="2744">
      <c r="A2744" s="154"/>
      <c r="B2744" s="155"/>
      <c r="C2744" s="155"/>
      <c r="D2744" s="156" t="s">
        <v>4351</v>
      </c>
      <c r="E2744" s="156" t="s">
        <v>4</v>
      </c>
      <c r="F2744" s="155"/>
      <c r="G2744" s="157" t="n">
        <v>122</v>
      </c>
      <c r="H2744" s="158"/>
      <c r="I2744" s="155"/>
      <c r="J2744" s="155"/>
      <c r="K2744" s="146"/>
    </row>
    <row r="2745">
      <c r="A2745" s="9" t="s">
        <v>4352</v>
      </c>
      <c r="B2745" s="10" t="s">
        <v>91</v>
      </c>
      <c r="C2745" s="10" t="s">
        <v>4353</v>
      </c>
      <c r="D2745" s="14" t="s">
        <v>4354</v>
      </c>
      <c r="E2745" s="10"/>
      <c r="F2745" s="10" t="s">
        <v>61</v>
      </c>
      <c r="G2745" s="111" t="n">
        <v>2776.56</v>
      </c>
      <c r="H2745" s="152" t="n">
        <v>0</v>
      </c>
      <c r="I2745" s="111">
        <f>G2745*H2745</f>
      </c>
      <c r="J2745" s="153" t="s">
        <v>4</v>
      </c>
      <c r="K2745" s="146"/>
      <c r="Z2745" s="111">
        <f>IF(AQ2745="5",BJ2745,0)</f>
      </c>
      <c r="AB2745" s="111">
        <f>IF(AQ2745="1",BH2745,0)</f>
      </c>
      <c r="AC2745" s="111">
        <f>IF(AQ2745="1",BI2745,0)</f>
      </c>
      <c r="AD2745" s="111">
        <f>IF(AQ2745="7",BH2745,0)</f>
      </c>
      <c r="AE2745" s="111">
        <f>IF(AQ2745="7",BI2745,0)</f>
      </c>
      <c r="AF2745" s="111">
        <f>IF(AQ2745="2",BH2745,0)</f>
      </c>
      <c r="AG2745" s="111">
        <f>IF(AQ2745="2",BI2745,0)</f>
      </c>
      <c r="AH2745" s="111">
        <f>IF(AQ2745="0",BJ2745,0)</f>
      </c>
      <c r="AI2745" s="132" t="s">
        <v>91</v>
      </c>
      <c r="AJ2745" s="111">
        <f>IF(AN2745=0,I2745,0)</f>
      </c>
      <c r="AK2745" s="111">
        <f>IF(AN2745=12,I2745,0)</f>
      </c>
      <c r="AL2745" s="111">
        <f>IF(AN2745=21,I2745,0)</f>
      </c>
      <c r="AN2745" s="111" t="n">
        <v>21</v>
      </c>
      <c r="AO2745" s="111">
        <f>H2745*0</f>
      </c>
      <c r="AP2745" s="111">
        <f>H2745*(1-0)</f>
      </c>
      <c r="AQ2745" s="153" t="s">
        <v>173</v>
      </c>
      <c r="AV2745" s="111">
        <f>AW2745+AX2745</f>
      </c>
      <c r="AW2745" s="111">
        <f>G2745*AO2745</f>
      </c>
      <c r="AX2745" s="111">
        <f>G2745*AP2745</f>
      </c>
      <c r="AY2745" s="153" t="s">
        <v>4082</v>
      </c>
      <c r="AZ2745" s="153" t="s">
        <v>4215</v>
      </c>
      <c r="BA2745" s="132" t="s">
        <v>4138</v>
      </c>
      <c r="BC2745" s="111">
        <f>AW2745+AX2745</f>
      </c>
      <c r="BD2745" s="111">
        <f>H2745/(100-BE2745)*100</f>
      </c>
      <c r="BE2745" s="111" t="n">
        <v>0</v>
      </c>
      <c r="BF2745" s="111">
        <f>2745</f>
      </c>
      <c r="BH2745" s="111">
        <f>G2745*AO2745</f>
      </c>
      <c r="BI2745" s="111">
        <f>G2745*AP2745</f>
      </c>
      <c r="BJ2745" s="111">
        <f>G2745*H2745</f>
      </c>
      <c r="BK2745" s="111"/>
      <c r="BL2745" s="111" t="n">
        <v>733</v>
      </c>
      <c r="BW2745" s="111" t="n">
        <v>21</v>
      </c>
      <c r="BX2745" s="14" t="s">
        <v>4354</v>
      </c>
    </row>
    <row r="2746" ht="24.75">
      <c r="A2746" s="9" t="s">
        <v>4355</v>
      </c>
      <c r="B2746" s="10" t="s">
        <v>91</v>
      </c>
      <c r="C2746" s="10" t="s">
        <v>4356</v>
      </c>
      <c r="D2746" s="14" t="s">
        <v>4357</v>
      </c>
      <c r="E2746" s="10"/>
      <c r="F2746" s="10" t="s">
        <v>282</v>
      </c>
      <c r="G2746" s="111" t="n">
        <v>24</v>
      </c>
      <c r="H2746" s="152" t="n">
        <v>0</v>
      </c>
      <c r="I2746" s="111">
        <f>G2746*H2746</f>
      </c>
      <c r="J2746" s="153" t="s">
        <v>4</v>
      </c>
      <c r="K2746" s="146"/>
      <c r="Z2746" s="111">
        <f>IF(AQ2746="5",BJ2746,0)</f>
      </c>
      <c r="AB2746" s="111">
        <f>IF(AQ2746="1",BH2746,0)</f>
      </c>
      <c r="AC2746" s="111">
        <f>IF(AQ2746="1",BI2746,0)</f>
      </c>
      <c r="AD2746" s="111">
        <f>IF(AQ2746="7",BH2746,0)</f>
      </c>
      <c r="AE2746" s="111">
        <f>IF(AQ2746="7",BI2746,0)</f>
      </c>
      <c r="AF2746" s="111">
        <f>IF(AQ2746="2",BH2746,0)</f>
      </c>
      <c r="AG2746" s="111">
        <f>IF(AQ2746="2",BI2746,0)</f>
      </c>
      <c r="AH2746" s="111">
        <f>IF(AQ2746="0",BJ2746,0)</f>
      </c>
      <c r="AI2746" s="132" t="s">
        <v>91</v>
      </c>
      <c r="AJ2746" s="111">
        <f>IF(AN2746=0,I2746,0)</f>
      </c>
      <c r="AK2746" s="111">
        <f>IF(AN2746=12,I2746,0)</f>
      </c>
      <c r="AL2746" s="111">
        <f>IF(AN2746=21,I2746,0)</f>
      </c>
      <c r="AN2746" s="111" t="n">
        <v>21</v>
      </c>
      <c r="AO2746" s="111">
        <f>H2746*1</f>
      </c>
      <c r="AP2746" s="111">
        <f>H2746*(1-1)</f>
      </c>
      <c r="AQ2746" s="153" t="s">
        <v>173</v>
      </c>
      <c r="AV2746" s="111">
        <f>AW2746+AX2746</f>
      </c>
      <c r="AW2746" s="111">
        <f>G2746*AO2746</f>
      </c>
      <c r="AX2746" s="111">
        <f>G2746*AP2746</f>
      </c>
      <c r="AY2746" s="153" t="s">
        <v>4082</v>
      </c>
      <c r="AZ2746" s="153" t="s">
        <v>4215</v>
      </c>
      <c r="BA2746" s="132" t="s">
        <v>4138</v>
      </c>
      <c r="BC2746" s="111">
        <f>AW2746+AX2746</f>
      </c>
      <c r="BD2746" s="111">
        <f>H2746/(100-BE2746)*100</f>
      </c>
      <c r="BE2746" s="111" t="n">
        <v>0</v>
      </c>
      <c r="BF2746" s="111">
        <f>2746</f>
      </c>
      <c r="BH2746" s="111">
        <f>G2746*AO2746</f>
      </c>
      <c r="BI2746" s="111">
        <f>G2746*AP2746</f>
      </c>
      <c r="BJ2746" s="111">
        <f>G2746*H2746</f>
      </c>
      <c r="BK2746" s="111"/>
      <c r="BL2746" s="111" t="n">
        <v>733</v>
      </c>
      <c r="BW2746" s="111" t="n">
        <v>21</v>
      </c>
      <c r="BX2746" s="14" t="s">
        <v>4357</v>
      </c>
    </row>
    <row r="2747">
      <c r="A2747" s="147" t="s">
        <v>4</v>
      </c>
      <c r="B2747" s="148" t="s">
        <v>91</v>
      </c>
      <c r="C2747" s="148" t="s">
        <v>3912</v>
      </c>
      <c r="D2747" s="149" t="s">
        <v>4089</v>
      </c>
      <c r="E2747" s="148"/>
      <c r="F2747" s="150" t="s">
        <v>79</v>
      </c>
      <c r="G2747" s="150" t="s">
        <v>79</v>
      </c>
      <c r="H2747" s="151" t="s">
        <v>79</v>
      </c>
      <c r="I2747" s="117">
        <f>SUM(I2748:I2778)</f>
      </c>
      <c r="J2747" s="132" t="s">
        <v>4</v>
      </c>
      <c r="K2747" s="146"/>
      <c r="AI2747" s="132" t="s">
        <v>91</v>
      </c>
      <c r="AS2747" s="117">
        <f>SUM(AJ2748:AJ2778)</f>
      </c>
      <c r="AT2747" s="117">
        <f>SUM(AK2748:AK2778)</f>
      </c>
      <c r="AU2747" s="117">
        <f>SUM(AL2748:AL2778)</f>
      </c>
    </row>
    <row r="2748">
      <c r="A2748" s="9" t="s">
        <v>4358</v>
      </c>
      <c r="B2748" s="10" t="s">
        <v>91</v>
      </c>
      <c r="C2748" s="10" t="s">
        <v>4359</v>
      </c>
      <c r="D2748" s="14" t="s">
        <v>4360</v>
      </c>
      <c r="E2748" s="10"/>
      <c r="F2748" s="10" t="s">
        <v>133</v>
      </c>
      <c r="G2748" s="111" t="n">
        <v>3</v>
      </c>
      <c r="H2748" s="152" t="n">
        <v>0</v>
      </c>
      <c r="I2748" s="111">
        <f>G2748*H2748</f>
      </c>
      <c r="J2748" s="153" t="s">
        <v>4</v>
      </c>
      <c r="K2748" s="146"/>
      <c r="Z2748" s="111">
        <f>IF(AQ2748="5",BJ2748,0)</f>
      </c>
      <c r="AB2748" s="111">
        <f>IF(AQ2748="1",BH2748,0)</f>
      </c>
      <c r="AC2748" s="111">
        <f>IF(AQ2748="1",BI2748,0)</f>
      </c>
      <c r="AD2748" s="111">
        <f>IF(AQ2748="7",BH2748,0)</f>
      </c>
      <c r="AE2748" s="111">
        <f>IF(AQ2748="7",BI2748,0)</f>
      </c>
      <c r="AF2748" s="111">
        <f>IF(AQ2748="2",BH2748,0)</f>
      </c>
      <c r="AG2748" s="111">
        <f>IF(AQ2748="2",BI2748,0)</f>
      </c>
      <c r="AH2748" s="111">
        <f>IF(AQ2748="0",BJ2748,0)</f>
      </c>
      <c r="AI2748" s="132" t="s">
        <v>91</v>
      </c>
      <c r="AJ2748" s="111">
        <f>IF(AN2748=0,I2748,0)</f>
      </c>
      <c r="AK2748" s="111">
        <f>IF(AN2748=12,I2748,0)</f>
      </c>
      <c r="AL2748" s="111">
        <f>IF(AN2748=21,I2748,0)</f>
      </c>
      <c r="AN2748" s="111" t="n">
        <v>21</v>
      </c>
      <c r="AO2748" s="111">
        <f>H2748*0</f>
      </c>
      <c r="AP2748" s="111">
        <f>H2748*(1-0)</f>
      </c>
      <c r="AQ2748" s="153" t="s">
        <v>173</v>
      </c>
      <c r="AV2748" s="111">
        <f>AW2748+AX2748</f>
      </c>
      <c r="AW2748" s="111">
        <f>G2748*AO2748</f>
      </c>
      <c r="AX2748" s="111">
        <f>G2748*AP2748</f>
      </c>
      <c r="AY2748" s="153" t="s">
        <v>4092</v>
      </c>
      <c r="AZ2748" s="153" t="s">
        <v>4215</v>
      </c>
      <c r="BA2748" s="132" t="s">
        <v>4138</v>
      </c>
      <c r="BC2748" s="111">
        <f>AW2748+AX2748</f>
      </c>
      <c r="BD2748" s="111">
        <f>H2748/(100-BE2748)*100</f>
      </c>
      <c r="BE2748" s="111" t="n">
        <v>0</v>
      </c>
      <c r="BF2748" s="111">
        <f>2748</f>
      </c>
      <c r="BH2748" s="111">
        <f>G2748*AO2748</f>
      </c>
      <c r="BI2748" s="111">
        <f>G2748*AP2748</f>
      </c>
      <c r="BJ2748" s="111">
        <f>G2748*H2748</f>
      </c>
      <c r="BK2748" s="111"/>
      <c r="BL2748" s="111" t="n">
        <v>734</v>
      </c>
      <c r="BW2748" s="111" t="n">
        <v>21</v>
      </c>
      <c r="BX2748" s="14" t="s">
        <v>4360</v>
      </c>
    </row>
    <row r="2749">
      <c r="A2749" s="9" t="s">
        <v>4361</v>
      </c>
      <c r="B2749" s="10" t="s">
        <v>91</v>
      </c>
      <c r="C2749" s="10" t="s">
        <v>4362</v>
      </c>
      <c r="D2749" s="14" t="s">
        <v>4363</v>
      </c>
      <c r="E2749" s="10"/>
      <c r="F2749" s="10" t="s">
        <v>133</v>
      </c>
      <c r="G2749" s="111" t="n">
        <v>15</v>
      </c>
      <c r="H2749" s="152" t="n">
        <v>0</v>
      </c>
      <c r="I2749" s="111">
        <f>G2749*H2749</f>
      </c>
      <c r="J2749" s="153" t="s">
        <v>4</v>
      </c>
      <c r="K2749" s="146"/>
      <c r="Z2749" s="111">
        <f>IF(AQ2749="5",BJ2749,0)</f>
      </c>
      <c r="AB2749" s="111">
        <f>IF(AQ2749="1",BH2749,0)</f>
      </c>
      <c r="AC2749" s="111">
        <f>IF(AQ2749="1",BI2749,0)</f>
      </c>
      <c r="AD2749" s="111">
        <f>IF(AQ2749="7",BH2749,0)</f>
      </c>
      <c r="AE2749" s="111">
        <f>IF(AQ2749="7",BI2749,0)</f>
      </c>
      <c r="AF2749" s="111">
        <f>IF(AQ2749="2",BH2749,0)</f>
      </c>
      <c r="AG2749" s="111">
        <f>IF(AQ2749="2",BI2749,0)</f>
      </c>
      <c r="AH2749" s="111">
        <f>IF(AQ2749="0",BJ2749,0)</f>
      </c>
      <c r="AI2749" s="132" t="s">
        <v>91</v>
      </c>
      <c r="AJ2749" s="111">
        <f>IF(AN2749=0,I2749,0)</f>
      </c>
      <c r="AK2749" s="111">
        <f>IF(AN2749=12,I2749,0)</f>
      </c>
      <c r="AL2749" s="111">
        <f>IF(AN2749=21,I2749,0)</f>
      </c>
      <c r="AN2749" s="111" t="n">
        <v>21</v>
      </c>
      <c r="AO2749" s="111">
        <f>H2749*0</f>
      </c>
      <c r="AP2749" s="111">
        <f>H2749*(1-0)</f>
      </c>
      <c r="AQ2749" s="153" t="s">
        <v>173</v>
      </c>
      <c r="AV2749" s="111">
        <f>AW2749+AX2749</f>
      </c>
      <c r="AW2749" s="111">
        <f>G2749*AO2749</f>
      </c>
      <c r="AX2749" s="111">
        <f>G2749*AP2749</f>
      </c>
      <c r="AY2749" s="153" t="s">
        <v>4092</v>
      </c>
      <c r="AZ2749" s="153" t="s">
        <v>4215</v>
      </c>
      <c r="BA2749" s="132" t="s">
        <v>4138</v>
      </c>
      <c r="BC2749" s="111">
        <f>AW2749+AX2749</f>
      </c>
      <c r="BD2749" s="111">
        <f>H2749/(100-BE2749)*100</f>
      </c>
      <c r="BE2749" s="111" t="n">
        <v>0</v>
      </c>
      <c r="BF2749" s="111">
        <f>2749</f>
      </c>
      <c r="BH2749" s="111">
        <f>G2749*AO2749</f>
      </c>
      <c r="BI2749" s="111">
        <f>G2749*AP2749</f>
      </c>
      <c r="BJ2749" s="111">
        <f>G2749*H2749</f>
      </c>
      <c r="BK2749" s="111"/>
      <c r="BL2749" s="111" t="n">
        <v>734</v>
      </c>
      <c r="BW2749" s="111" t="n">
        <v>21</v>
      </c>
      <c r="BX2749" s="14" t="s">
        <v>4363</v>
      </c>
    </row>
    <row r="2750">
      <c r="A2750" s="9" t="s">
        <v>4364</v>
      </c>
      <c r="B2750" s="10" t="s">
        <v>91</v>
      </c>
      <c r="C2750" s="10" t="s">
        <v>4365</v>
      </c>
      <c r="D2750" s="14" t="s">
        <v>4366</v>
      </c>
      <c r="E2750" s="10"/>
      <c r="F2750" s="10" t="s">
        <v>133</v>
      </c>
      <c r="G2750" s="111" t="n">
        <v>4</v>
      </c>
      <c r="H2750" s="152" t="n">
        <v>0</v>
      </c>
      <c r="I2750" s="111">
        <f>G2750*H2750</f>
      </c>
      <c r="J2750" s="153" t="s">
        <v>4</v>
      </c>
      <c r="K2750" s="146"/>
      <c r="Z2750" s="111">
        <f>IF(AQ2750="5",BJ2750,0)</f>
      </c>
      <c r="AB2750" s="111">
        <f>IF(AQ2750="1",BH2750,0)</f>
      </c>
      <c r="AC2750" s="111">
        <f>IF(AQ2750="1",BI2750,0)</f>
      </c>
      <c r="AD2750" s="111">
        <f>IF(AQ2750="7",BH2750,0)</f>
      </c>
      <c r="AE2750" s="111">
        <f>IF(AQ2750="7",BI2750,0)</f>
      </c>
      <c r="AF2750" s="111">
        <f>IF(AQ2750="2",BH2750,0)</f>
      </c>
      <c r="AG2750" s="111">
        <f>IF(AQ2750="2",BI2750,0)</f>
      </c>
      <c r="AH2750" s="111">
        <f>IF(AQ2750="0",BJ2750,0)</f>
      </c>
      <c r="AI2750" s="132" t="s">
        <v>91</v>
      </c>
      <c r="AJ2750" s="111">
        <f>IF(AN2750=0,I2750,0)</f>
      </c>
      <c r="AK2750" s="111">
        <f>IF(AN2750=12,I2750,0)</f>
      </c>
      <c r="AL2750" s="111">
        <f>IF(AN2750=21,I2750,0)</f>
      </c>
      <c r="AN2750" s="111" t="n">
        <v>21</v>
      </c>
      <c r="AO2750" s="111">
        <f>H2750*0</f>
      </c>
      <c r="AP2750" s="111">
        <f>H2750*(1-0)</f>
      </c>
      <c r="AQ2750" s="153" t="s">
        <v>173</v>
      </c>
      <c r="AV2750" s="111">
        <f>AW2750+AX2750</f>
      </c>
      <c r="AW2750" s="111">
        <f>G2750*AO2750</f>
      </c>
      <c r="AX2750" s="111">
        <f>G2750*AP2750</f>
      </c>
      <c r="AY2750" s="153" t="s">
        <v>4092</v>
      </c>
      <c r="AZ2750" s="153" t="s">
        <v>4215</v>
      </c>
      <c r="BA2750" s="132" t="s">
        <v>4138</v>
      </c>
      <c r="BC2750" s="111">
        <f>AW2750+AX2750</f>
      </c>
      <c r="BD2750" s="111">
        <f>H2750/(100-BE2750)*100</f>
      </c>
      <c r="BE2750" s="111" t="n">
        <v>0</v>
      </c>
      <c r="BF2750" s="111">
        <f>2750</f>
      </c>
      <c r="BH2750" s="111">
        <f>G2750*AO2750</f>
      </c>
      <c r="BI2750" s="111">
        <f>G2750*AP2750</f>
      </c>
      <c r="BJ2750" s="111">
        <f>G2750*H2750</f>
      </c>
      <c r="BK2750" s="111"/>
      <c r="BL2750" s="111" t="n">
        <v>734</v>
      </c>
      <c r="BW2750" s="111" t="n">
        <v>21</v>
      </c>
      <c r="BX2750" s="14" t="s">
        <v>4366</v>
      </c>
    </row>
    <row r="2751">
      <c r="A2751" s="9" t="s">
        <v>4367</v>
      </c>
      <c r="B2751" s="10" t="s">
        <v>91</v>
      </c>
      <c r="C2751" s="10" t="s">
        <v>4368</v>
      </c>
      <c r="D2751" s="14" t="s">
        <v>4369</v>
      </c>
      <c r="E2751" s="10"/>
      <c r="F2751" s="10" t="s">
        <v>133</v>
      </c>
      <c r="G2751" s="111" t="n">
        <v>1</v>
      </c>
      <c r="H2751" s="152" t="n">
        <v>0</v>
      </c>
      <c r="I2751" s="111">
        <f>G2751*H2751</f>
      </c>
      <c r="J2751" s="153" t="s">
        <v>4</v>
      </c>
      <c r="K2751" s="146"/>
      <c r="Z2751" s="111">
        <f>IF(AQ2751="5",BJ2751,0)</f>
      </c>
      <c r="AB2751" s="111">
        <f>IF(AQ2751="1",BH2751,0)</f>
      </c>
      <c r="AC2751" s="111">
        <f>IF(AQ2751="1",BI2751,0)</f>
      </c>
      <c r="AD2751" s="111">
        <f>IF(AQ2751="7",BH2751,0)</f>
      </c>
      <c r="AE2751" s="111">
        <f>IF(AQ2751="7",BI2751,0)</f>
      </c>
      <c r="AF2751" s="111">
        <f>IF(AQ2751="2",BH2751,0)</f>
      </c>
      <c r="AG2751" s="111">
        <f>IF(AQ2751="2",BI2751,0)</f>
      </c>
      <c r="AH2751" s="111">
        <f>IF(AQ2751="0",BJ2751,0)</f>
      </c>
      <c r="AI2751" s="132" t="s">
        <v>91</v>
      </c>
      <c r="AJ2751" s="111">
        <f>IF(AN2751=0,I2751,0)</f>
      </c>
      <c r="AK2751" s="111">
        <f>IF(AN2751=12,I2751,0)</f>
      </c>
      <c r="AL2751" s="111">
        <f>IF(AN2751=21,I2751,0)</f>
      </c>
      <c r="AN2751" s="111" t="n">
        <v>21</v>
      </c>
      <c r="AO2751" s="111">
        <f>H2751*0</f>
      </c>
      <c r="AP2751" s="111">
        <f>H2751*(1-0)</f>
      </c>
      <c r="AQ2751" s="153" t="s">
        <v>173</v>
      </c>
      <c r="AV2751" s="111">
        <f>AW2751+AX2751</f>
      </c>
      <c r="AW2751" s="111">
        <f>G2751*AO2751</f>
      </c>
      <c r="AX2751" s="111">
        <f>G2751*AP2751</f>
      </c>
      <c r="AY2751" s="153" t="s">
        <v>4092</v>
      </c>
      <c r="AZ2751" s="153" t="s">
        <v>4215</v>
      </c>
      <c r="BA2751" s="132" t="s">
        <v>4138</v>
      </c>
      <c r="BC2751" s="111">
        <f>AW2751+AX2751</f>
      </c>
      <c r="BD2751" s="111">
        <f>H2751/(100-BE2751)*100</f>
      </c>
      <c r="BE2751" s="111" t="n">
        <v>0</v>
      </c>
      <c r="BF2751" s="111">
        <f>2751</f>
      </c>
      <c r="BH2751" s="111">
        <f>G2751*AO2751</f>
      </c>
      <c r="BI2751" s="111">
        <f>G2751*AP2751</f>
      </c>
      <c r="BJ2751" s="111">
        <f>G2751*H2751</f>
      </c>
      <c r="BK2751" s="111"/>
      <c r="BL2751" s="111" t="n">
        <v>734</v>
      </c>
      <c r="BW2751" s="111" t="n">
        <v>21</v>
      </c>
      <c r="BX2751" s="14" t="s">
        <v>4369</v>
      </c>
    </row>
    <row r="2752">
      <c r="A2752" s="9" t="s">
        <v>4370</v>
      </c>
      <c r="B2752" s="10" t="s">
        <v>91</v>
      </c>
      <c r="C2752" s="10" t="s">
        <v>4371</v>
      </c>
      <c r="D2752" s="14" t="s">
        <v>4372</v>
      </c>
      <c r="E2752" s="10"/>
      <c r="F2752" s="10" t="s">
        <v>133</v>
      </c>
      <c r="G2752" s="111" t="n">
        <v>4</v>
      </c>
      <c r="H2752" s="152" t="n">
        <v>0</v>
      </c>
      <c r="I2752" s="111">
        <f>G2752*H2752</f>
      </c>
      <c r="J2752" s="153" t="s">
        <v>4</v>
      </c>
      <c r="K2752" s="146"/>
      <c r="Z2752" s="111">
        <f>IF(AQ2752="5",BJ2752,0)</f>
      </c>
      <c r="AB2752" s="111">
        <f>IF(AQ2752="1",BH2752,0)</f>
      </c>
      <c r="AC2752" s="111">
        <f>IF(AQ2752="1",BI2752,0)</f>
      </c>
      <c r="AD2752" s="111">
        <f>IF(AQ2752="7",BH2752,0)</f>
      </c>
      <c r="AE2752" s="111">
        <f>IF(AQ2752="7",BI2752,0)</f>
      </c>
      <c r="AF2752" s="111">
        <f>IF(AQ2752="2",BH2752,0)</f>
      </c>
      <c r="AG2752" s="111">
        <f>IF(AQ2752="2",BI2752,0)</f>
      </c>
      <c r="AH2752" s="111">
        <f>IF(AQ2752="0",BJ2752,0)</f>
      </c>
      <c r="AI2752" s="132" t="s">
        <v>91</v>
      </c>
      <c r="AJ2752" s="111">
        <f>IF(AN2752=0,I2752,0)</f>
      </c>
      <c r="AK2752" s="111">
        <f>IF(AN2752=12,I2752,0)</f>
      </c>
      <c r="AL2752" s="111">
        <f>IF(AN2752=21,I2752,0)</f>
      </c>
      <c r="AN2752" s="111" t="n">
        <v>21</v>
      </c>
      <c r="AO2752" s="111">
        <f>H2752*0</f>
      </c>
      <c r="AP2752" s="111">
        <f>H2752*(1-0)</f>
      </c>
      <c r="AQ2752" s="153" t="s">
        <v>173</v>
      </c>
      <c r="AV2752" s="111">
        <f>AW2752+AX2752</f>
      </c>
      <c r="AW2752" s="111">
        <f>G2752*AO2752</f>
      </c>
      <c r="AX2752" s="111">
        <f>G2752*AP2752</f>
      </c>
      <c r="AY2752" s="153" t="s">
        <v>4092</v>
      </c>
      <c r="AZ2752" s="153" t="s">
        <v>4215</v>
      </c>
      <c r="BA2752" s="132" t="s">
        <v>4138</v>
      </c>
      <c r="BC2752" s="111">
        <f>AW2752+AX2752</f>
      </c>
      <c r="BD2752" s="111">
        <f>H2752/(100-BE2752)*100</f>
      </c>
      <c r="BE2752" s="111" t="n">
        <v>0</v>
      </c>
      <c r="BF2752" s="111">
        <f>2752</f>
      </c>
      <c r="BH2752" s="111">
        <f>G2752*AO2752</f>
      </c>
      <c r="BI2752" s="111">
        <f>G2752*AP2752</f>
      </c>
      <c r="BJ2752" s="111">
        <f>G2752*H2752</f>
      </c>
      <c r="BK2752" s="111"/>
      <c r="BL2752" s="111" t="n">
        <v>734</v>
      </c>
      <c r="BW2752" s="111" t="n">
        <v>21</v>
      </c>
      <c r="BX2752" s="14" t="s">
        <v>4372</v>
      </c>
    </row>
    <row r="2753">
      <c r="A2753" s="9" t="s">
        <v>4373</v>
      </c>
      <c r="B2753" s="10" t="s">
        <v>91</v>
      </c>
      <c r="C2753" s="10" t="s">
        <v>4374</v>
      </c>
      <c r="D2753" s="14" t="s">
        <v>4375</v>
      </c>
      <c r="E2753" s="10"/>
      <c r="F2753" s="10" t="s">
        <v>133</v>
      </c>
      <c r="G2753" s="111" t="n">
        <v>1</v>
      </c>
      <c r="H2753" s="152" t="n">
        <v>0</v>
      </c>
      <c r="I2753" s="111">
        <f>G2753*H2753</f>
      </c>
      <c r="J2753" s="153" t="s">
        <v>4</v>
      </c>
      <c r="K2753" s="146"/>
      <c r="Z2753" s="111">
        <f>IF(AQ2753="5",BJ2753,0)</f>
      </c>
      <c r="AB2753" s="111">
        <f>IF(AQ2753="1",BH2753,0)</f>
      </c>
      <c r="AC2753" s="111">
        <f>IF(AQ2753="1",BI2753,0)</f>
      </c>
      <c r="AD2753" s="111">
        <f>IF(AQ2753="7",BH2753,0)</f>
      </c>
      <c r="AE2753" s="111">
        <f>IF(AQ2753="7",BI2753,0)</f>
      </c>
      <c r="AF2753" s="111">
        <f>IF(AQ2753="2",BH2753,0)</f>
      </c>
      <c r="AG2753" s="111">
        <f>IF(AQ2753="2",BI2753,0)</f>
      </c>
      <c r="AH2753" s="111">
        <f>IF(AQ2753="0",BJ2753,0)</f>
      </c>
      <c r="AI2753" s="132" t="s">
        <v>91</v>
      </c>
      <c r="AJ2753" s="111">
        <f>IF(AN2753=0,I2753,0)</f>
      </c>
      <c r="AK2753" s="111">
        <f>IF(AN2753=12,I2753,0)</f>
      </c>
      <c r="AL2753" s="111">
        <f>IF(AN2753=21,I2753,0)</f>
      </c>
      <c r="AN2753" s="111" t="n">
        <v>21</v>
      </c>
      <c r="AO2753" s="111">
        <f>H2753*0</f>
      </c>
      <c r="AP2753" s="111">
        <f>H2753*(1-0)</f>
      </c>
      <c r="AQ2753" s="153" t="s">
        <v>173</v>
      </c>
      <c r="AV2753" s="111">
        <f>AW2753+AX2753</f>
      </c>
      <c r="AW2753" s="111">
        <f>G2753*AO2753</f>
      </c>
      <c r="AX2753" s="111">
        <f>G2753*AP2753</f>
      </c>
      <c r="AY2753" s="153" t="s">
        <v>4092</v>
      </c>
      <c r="AZ2753" s="153" t="s">
        <v>4215</v>
      </c>
      <c r="BA2753" s="132" t="s">
        <v>4138</v>
      </c>
      <c r="BC2753" s="111">
        <f>AW2753+AX2753</f>
      </c>
      <c r="BD2753" s="111">
        <f>H2753/(100-BE2753)*100</f>
      </c>
      <c r="BE2753" s="111" t="n">
        <v>0</v>
      </c>
      <c r="BF2753" s="111">
        <f>2753</f>
      </c>
      <c r="BH2753" s="111">
        <f>G2753*AO2753</f>
      </c>
      <c r="BI2753" s="111">
        <f>G2753*AP2753</f>
      </c>
      <c r="BJ2753" s="111">
        <f>G2753*H2753</f>
      </c>
      <c r="BK2753" s="111"/>
      <c r="BL2753" s="111" t="n">
        <v>734</v>
      </c>
      <c r="BW2753" s="111" t="n">
        <v>21</v>
      </c>
      <c r="BX2753" s="14" t="s">
        <v>4375</v>
      </c>
    </row>
    <row r="2754">
      <c r="A2754" s="9" t="s">
        <v>4376</v>
      </c>
      <c r="B2754" s="10" t="s">
        <v>91</v>
      </c>
      <c r="C2754" s="10" t="s">
        <v>4377</v>
      </c>
      <c r="D2754" s="14" t="s">
        <v>4378</v>
      </c>
      <c r="E2754" s="10"/>
      <c r="F2754" s="10" t="s">
        <v>133</v>
      </c>
      <c r="G2754" s="111" t="n">
        <v>2</v>
      </c>
      <c r="H2754" s="152" t="n">
        <v>0</v>
      </c>
      <c r="I2754" s="111">
        <f>G2754*H2754</f>
      </c>
      <c r="J2754" s="153" t="s">
        <v>4</v>
      </c>
      <c r="K2754" s="146"/>
      <c r="Z2754" s="111">
        <f>IF(AQ2754="5",BJ2754,0)</f>
      </c>
      <c r="AB2754" s="111">
        <f>IF(AQ2754="1",BH2754,0)</f>
      </c>
      <c r="AC2754" s="111">
        <f>IF(AQ2754="1",BI2754,0)</f>
      </c>
      <c r="AD2754" s="111">
        <f>IF(AQ2754="7",BH2754,0)</f>
      </c>
      <c r="AE2754" s="111">
        <f>IF(AQ2754="7",BI2754,0)</f>
      </c>
      <c r="AF2754" s="111">
        <f>IF(AQ2754="2",BH2754,0)</f>
      </c>
      <c r="AG2754" s="111">
        <f>IF(AQ2754="2",BI2754,0)</f>
      </c>
      <c r="AH2754" s="111">
        <f>IF(AQ2754="0",BJ2754,0)</f>
      </c>
      <c r="AI2754" s="132" t="s">
        <v>91</v>
      </c>
      <c r="AJ2754" s="111">
        <f>IF(AN2754=0,I2754,0)</f>
      </c>
      <c r="AK2754" s="111">
        <f>IF(AN2754=12,I2754,0)</f>
      </c>
      <c r="AL2754" s="111">
        <f>IF(AN2754=21,I2754,0)</f>
      </c>
      <c r="AN2754" s="111" t="n">
        <v>21</v>
      </c>
      <c r="AO2754" s="111">
        <f>H2754*0</f>
      </c>
      <c r="AP2754" s="111">
        <f>H2754*(1-0)</f>
      </c>
      <c r="AQ2754" s="153" t="s">
        <v>173</v>
      </c>
      <c r="AV2754" s="111">
        <f>AW2754+AX2754</f>
      </c>
      <c r="AW2754" s="111">
        <f>G2754*AO2754</f>
      </c>
      <c r="AX2754" s="111">
        <f>G2754*AP2754</f>
      </c>
      <c r="AY2754" s="153" t="s">
        <v>4092</v>
      </c>
      <c r="AZ2754" s="153" t="s">
        <v>4215</v>
      </c>
      <c r="BA2754" s="132" t="s">
        <v>4138</v>
      </c>
      <c r="BC2754" s="111">
        <f>AW2754+AX2754</f>
      </c>
      <c r="BD2754" s="111">
        <f>H2754/(100-BE2754)*100</f>
      </c>
      <c r="BE2754" s="111" t="n">
        <v>0</v>
      </c>
      <c r="BF2754" s="111">
        <f>2754</f>
      </c>
      <c r="BH2754" s="111">
        <f>G2754*AO2754</f>
      </c>
      <c r="BI2754" s="111">
        <f>G2754*AP2754</f>
      </c>
      <c r="BJ2754" s="111">
        <f>G2754*H2754</f>
      </c>
      <c r="BK2754" s="111"/>
      <c r="BL2754" s="111" t="n">
        <v>734</v>
      </c>
      <c r="BW2754" s="111" t="n">
        <v>21</v>
      </c>
      <c r="BX2754" s="14" t="s">
        <v>4378</v>
      </c>
    </row>
    <row r="2755">
      <c r="A2755" s="9" t="s">
        <v>4379</v>
      </c>
      <c r="B2755" s="10" t="s">
        <v>91</v>
      </c>
      <c r="C2755" s="10" t="s">
        <v>4380</v>
      </c>
      <c r="D2755" s="14" t="s">
        <v>4381</v>
      </c>
      <c r="E2755" s="10"/>
      <c r="F2755" s="10" t="s">
        <v>133</v>
      </c>
      <c r="G2755" s="111" t="n">
        <v>1</v>
      </c>
      <c r="H2755" s="152" t="n">
        <v>0</v>
      </c>
      <c r="I2755" s="111">
        <f>G2755*H2755</f>
      </c>
      <c r="J2755" s="153" t="s">
        <v>4</v>
      </c>
      <c r="K2755" s="146"/>
      <c r="Z2755" s="111">
        <f>IF(AQ2755="5",BJ2755,0)</f>
      </c>
      <c r="AB2755" s="111">
        <f>IF(AQ2755="1",BH2755,0)</f>
      </c>
      <c r="AC2755" s="111">
        <f>IF(AQ2755="1",BI2755,0)</f>
      </c>
      <c r="AD2755" s="111">
        <f>IF(AQ2755="7",BH2755,0)</f>
      </c>
      <c r="AE2755" s="111">
        <f>IF(AQ2755="7",BI2755,0)</f>
      </c>
      <c r="AF2755" s="111">
        <f>IF(AQ2755="2",BH2755,0)</f>
      </c>
      <c r="AG2755" s="111">
        <f>IF(AQ2755="2",BI2755,0)</f>
      </c>
      <c r="AH2755" s="111">
        <f>IF(AQ2755="0",BJ2755,0)</f>
      </c>
      <c r="AI2755" s="132" t="s">
        <v>91</v>
      </c>
      <c r="AJ2755" s="111">
        <f>IF(AN2755=0,I2755,0)</f>
      </c>
      <c r="AK2755" s="111">
        <f>IF(AN2755=12,I2755,0)</f>
      </c>
      <c r="AL2755" s="111">
        <f>IF(AN2755=21,I2755,0)</f>
      </c>
      <c r="AN2755" s="111" t="n">
        <v>21</v>
      </c>
      <c r="AO2755" s="111">
        <f>H2755*0</f>
      </c>
      <c r="AP2755" s="111">
        <f>H2755*(1-0)</f>
      </c>
      <c r="AQ2755" s="153" t="s">
        <v>173</v>
      </c>
      <c r="AV2755" s="111">
        <f>AW2755+AX2755</f>
      </c>
      <c r="AW2755" s="111">
        <f>G2755*AO2755</f>
      </c>
      <c r="AX2755" s="111">
        <f>G2755*AP2755</f>
      </c>
      <c r="AY2755" s="153" t="s">
        <v>4092</v>
      </c>
      <c r="AZ2755" s="153" t="s">
        <v>4215</v>
      </c>
      <c r="BA2755" s="132" t="s">
        <v>4138</v>
      </c>
      <c r="BC2755" s="111">
        <f>AW2755+AX2755</f>
      </c>
      <c r="BD2755" s="111">
        <f>H2755/(100-BE2755)*100</f>
      </c>
      <c r="BE2755" s="111" t="n">
        <v>0</v>
      </c>
      <c r="BF2755" s="111">
        <f>2755</f>
      </c>
      <c r="BH2755" s="111">
        <f>G2755*AO2755</f>
      </c>
      <c r="BI2755" s="111">
        <f>G2755*AP2755</f>
      </c>
      <c r="BJ2755" s="111">
        <f>G2755*H2755</f>
      </c>
      <c r="BK2755" s="111"/>
      <c r="BL2755" s="111" t="n">
        <v>734</v>
      </c>
      <c r="BW2755" s="111" t="n">
        <v>21</v>
      </c>
      <c r="BX2755" s="14" t="s">
        <v>4381</v>
      </c>
    </row>
    <row r="2756">
      <c r="A2756" s="9" t="s">
        <v>4382</v>
      </c>
      <c r="B2756" s="10" t="s">
        <v>91</v>
      </c>
      <c r="C2756" s="10" t="s">
        <v>4383</v>
      </c>
      <c r="D2756" s="14" t="s">
        <v>4384</v>
      </c>
      <c r="E2756" s="10"/>
      <c r="F2756" s="10" t="s">
        <v>133</v>
      </c>
      <c r="G2756" s="111" t="n">
        <v>10</v>
      </c>
      <c r="H2756" s="152" t="n">
        <v>0</v>
      </c>
      <c r="I2756" s="111">
        <f>G2756*H2756</f>
      </c>
      <c r="J2756" s="153" t="s">
        <v>4</v>
      </c>
      <c r="K2756" s="146"/>
      <c r="Z2756" s="111">
        <f>IF(AQ2756="5",BJ2756,0)</f>
      </c>
      <c r="AB2756" s="111">
        <f>IF(AQ2756="1",BH2756,0)</f>
      </c>
      <c r="AC2756" s="111">
        <f>IF(AQ2756="1",BI2756,0)</f>
      </c>
      <c r="AD2756" s="111">
        <f>IF(AQ2756="7",BH2756,0)</f>
      </c>
      <c r="AE2756" s="111">
        <f>IF(AQ2756="7",BI2756,0)</f>
      </c>
      <c r="AF2756" s="111">
        <f>IF(AQ2756="2",BH2756,0)</f>
      </c>
      <c r="AG2756" s="111">
        <f>IF(AQ2756="2",BI2756,0)</f>
      </c>
      <c r="AH2756" s="111">
        <f>IF(AQ2756="0",BJ2756,0)</f>
      </c>
      <c r="AI2756" s="132" t="s">
        <v>91</v>
      </c>
      <c r="AJ2756" s="111">
        <f>IF(AN2756=0,I2756,0)</f>
      </c>
      <c r="AK2756" s="111">
        <f>IF(AN2756=12,I2756,0)</f>
      </c>
      <c r="AL2756" s="111">
        <f>IF(AN2756=21,I2756,0)</f>
      </c>
      <c r="AN2756" s="111" t="n">
        <v>21</v>
      </c>
      <c r="AO2756" s="111">
        <f>H2756*0</f>
      </c>
      <c r="AP2756" s="111">
        <f>H2756*(1-0)</f>
      </c>
      <c r="AQ2756" s="153" t="s">
        <v>173</v>
      </c>
      <c r="AV2756" s="111">
        <f>AW2756+AX2756</f>
      </c>
      <c r="AW2756" s="111">
        <f>G2756*AO2756</f>
      </c>
      <c r="AX2756" s="111">
        <f>G2756*AP2756</f>
      </c>
      <c r="AY2756" s="153" t="s">
        <v>4092</v>
      </c>
      <c r="AZ2756" s="153" t="s">
        <v>4215</v>
      </c>
      <c r="BA2756" s="132" t="s">
        <v>4138</v>
      </c>
      <c r="BC2756" s="111">
        <f>AW2756+AX2756</f>
      </c>
      <c r="BD2756" s="111">
        <f>H2756/(100-BE2756)*100</f>
      </c>
      <c r="BE2756" s="111" t="n">
        <v>0</v>
      </c>
      <c r="BF2756" s="111">
        <f>2756</f>
      </c>
      <c r="BH2756" s="111">
        <f>G2756*AO2756</f>
      </c>
      <c r="BI2756" s="111">
        <f>G2756*AP2756</f>
      </c>
      <c r="BJ2756" s="111">
        <f>G2756*H2756</f>
      </c>
      <c r="BK2756" s="111"/>
      <c r="BL2756" s="111" t="n">
        <v>734</v>
      </c>
      <c r="BW2756" s="111" t="n">
        <v>21</v>
      </c>
      <c r="BX2756" s="14" t="s">
        <v>4384</v>
      </c>
    </row>
    <row r="2757">
      <c r="A2757" s="9" t="s">
        <v>4385</v>
      </c>
      <c r="B2757" s="10" t="s">
        <v>91</v>
      </c>
      <c r="C2757" s="10" t="s">
        <v>4386</v>
      </c>
      <c r="D2757" s="14" t="s">
        <v>4387</v>
      </c>
      <c r="E2757" s="10"/>
      <c r="F2757" s="10" t="s">
        <v>133</v>
      </c>
      <c r="G2757" s="111" t="n">
        <v>2</v>
      </c>
      <c r="H2757" s="152" t="n">
        <v>0</v>
      </c>
      <c r="I2757" s="111">
        <f>G2757*H2757</f>
      </c>
      <c r="J2757" s="153" t="s">
        <v>4</v>
      </c>
      <c r="K2757" s="146"/>
      <c r="Z2757" s="111">
        <f>IF(AQ2757="5",BJ2757,0)</f>
      </c>
      <c r="AB2757" s="111">
        <f>IF(AQ2757="1",BH2757,0)</f>
      </c>
      <c r="AC2757" s="111">
        <f>IF(AQ2757="1",BI2757,0)</f>
      </c>
      <c r="AD2757" s="111">
        <f>IF(AQ2757="7",BH2757,0)</f>
      </c>
      <c r="AE2757" s="111">
        <f>IF(AQ2757="7",BI2757,0)</f>
      </c>
      <c r="AF2757" s="111">
        <f>IF(AQ2757="2",BH2757,0)</f>
      </c>
      <c r="AG2757" s="111">
        <f>IF(AQ2757="2",BI2757,0)</f>
      </c>
      <c r="AH2757" s="111">
        <f>IF(AQ2757="0",BJ2757,0)</f>
      </c>
      <c r="AI2757" s="132" t="s">
        <v>91</v>
      </c>
      <c r="AJ2757" s="111">
        <f>IF(AN2757=0,I2757,0)</f>
      </c>
      <c r="AK2757" s="111">
        <f>IF(AN2757=12,I2757,0)</f>
      </c>
      <c r="AL2757" s="111">
        <f>IF(AN2757=21,I2757,0)</f>
      </c>
      <c r="AN2757" s="111" t="n">
        <v>21</v>
      </c>
      <c r="AO2757" s="111">
        <f>H2757*0</f>
      </c>
      <c r="AP2757" s="111">
        <f>H2757*(1-0)</f>
      </c>
      <c r="AQ2757" s="153" t="s">
        <v>173</v>
      </c>
      <c r="AV2757" s="111">
        <f>AW2757+AX2757</f>
      </c>
      <c r="AW2757" s="111">
        <f>G2757*AO2757</f>
      </c>
      <c r="AX2757" s="111">
        <f>G2757*AP2757</f>
      </c>
      <c r="AY2757" s="153" t="s">
        <v>4092</v>
      </c>
      <c r="AZ2757" s="153" t="s">
        <v>4215</v>
      </c>
      <c r="BA2757" s="132" t="s">
        <v>4138</v>
      </c>
      <c r="BC2757" s="111">
        <f>AW2757+AX2757</f>
      </c>
      <c r="BD2757" s="111">
        <f>H2757/(100-BE2757)*100</f>
      </c>
      <c r="BE2757" s="111" t="n">
        <v>0</v>
      </c>
      <c r="BF2757" s="111">
        <f>2757</f>
      </c>
      <c r="BH2757" s="111">
        <f>G2757*AO2757</f>
      </c>
      <c r="BI2757" s="111">
        <f>G2757*AP2757</f>
      </c>
      <c r="BJ2757" s="111">
        <f>G2757*H2757</f>
      </c>
      <c r="BK2757" s="111"/>
      <c r="BL2757" s="111" t="n">
        <v>734</v>
      </c>
      <c r="BW2757" s="111" t="n">
        <v>21</v>
      </c>
      <c r="BX2757" s="14" t="s">
        <v>4387</v>
      </c>
    </row>
    <row r="2758">
      <c r="A2758" s="9" t="s">
        <v>4388</v>
      </c>
      <c r="B2758" s="10" t="s">
        <v>91</v>
      </c>
      <c r="C2758" s="10" t="s">
        <v>4389</v>
      </c>
      <c r="D2758" s="14" t="s">
        <v>4390</v>
      </c>
      <c r="E2758" s="10"/>
      <c r="F2758" s="10" t="s">
        <v>133</v>
      </c>
      <c r="G2758" s="111" t="n">
        <v>6</v>
      </c>
      <c r="H2758" s="152" t="n">
        <v>0</v>
      </c>
      <c r="I2758" s="111">
        <f>G2758*H2758</f>
      </c>
      <c r="J2758" s="153" t="s">
        <v>4</v>
      </c>
      <c r="K2758" s="146"/>
      <c r="Z2758" s="111">
        <f>IF(AQ2758="5",BJ2758,0)</f>
      </c>
      <c r="AB2758" s="111">
        <f>IF(AQ2758="1",BH2758,0)</f>
      </c>
      <c r="AC2758" s="111">
        <f>IF(AQ2758="1",BI2758,0)</f>
      </c>
      <c r="AD2758" s="111">
        <f>IF(AQ2758="7",BH2758,0)</f>
      </c>
      <c r="AE2758" s="111">
        <f>IF(AQ2758="7",BI2758,0)</f>
      </c>
      <c r="AF2758" s="111">
        <f>IF(AQ2758="2",BH2758,0)</f>
      </c>
      <c r="AG2758" s="111">
        <f>IF(AQ2758="2",BI2758,0)</f>
      </c>
      <c r="AH2758" s="111">
        <f>IF(AQ2758="0",BJ2758,0)</f>
      </c>
      <c r="AI2758" s="132" t="s">
        <v>91</v>
      </c>
      <c r="AJ2758" s="111">
        <f>IF(AN2758=0,I2758,0)</f>
      </c>
      <c r="AK2758" s="111">
        <f>IF(AN2758=12,I2758,0)</f>
      </c>
      <c r="AL2758" s="111">
        <f>IF(AN2758=21,I2758,0)</f>
      </c>
      <c r="AN2758" s="111" t="n">
        <v>21</v>
      </c>
      <c r="AO2758" s="111">
        <f>H2758*0</f>
      </c>
      <c r="AP2758" s="111">
        <f>H2758*(1-0)</f>
      </c>
      <c r="AQ2758" s="153" t="s">
        <v>173</v>
      </c>
      <c r="AV2758" s="111">
        <f>AW2758+AX2758</f>
      </c>
      <c r="AW2758" s="111">
        <f>G2758*AO2758</f>
      </c>
      <c r="AX2758" s="111">
        <f>G2758*AP2758</f>
      </c>
      <c r="AY2758" s="153" t="s">
        <v>4092</v>
      </c>
      <c r="AZ2758" s="153" t="s">
        <v>4215</v>
      </c>
      <c r="BA2758" s="132" t="s">
        <v>4138</v>
      </c>
      <c r="BC2758" s="111">
        <f>AW2758+AX2758</f>
      </c>
      <c r="BD2758" s="111">
        <f>H2758/(100-BE2758)*100</f>
      </c>
      <c r="BE2758" s="111" t="n">
        <v>0</v>
      </c>
      <c r="BF2758" s="111">
        <f>2758</f>
      </c>
      <c r="BH2758" s="111">
        <f>G2758*AO2758</f>
      </c>
      <c r="BI2758" s="111">
        <f>G2758*AP2758</f>
      </c>
      <c r="BJ2758" s="111">
        <f>G2758*H2758</f>
      </c>
      <c r="BK2758" s="111"/>
      <c r="BL2758" s="111" t="n">
        <v>734</v>
      </c>
      <c r="BW2758" s="111" t="n">
        <v>21</v>
      </c>
      <c r="BX2758" s="14" t="s">
        <v>4390</v>
      </c>
    </row>
    <row r="2759">
      <c r="A2759" s="9" t="s">
        <v>4391</v>
      </c>
      <c r="B2759" s="10" t="s">
        <v>91</v>
      </c>
      <c r="C2759" s="10" t="s">
        <v>4392</v>
      </c>
      <c r="D2759" s="14" t="s">
        <v>4393</v>
      </c>
      <c r="E2759" s="10"/>
      <c r="F2759" s="10" t="s">
        <v>133</v>
      </c>
      <c r="G2759" s="111" t="n">
        <v>18</v>
      </c>
      <c r="H2759" s="152" t="n">
        <v>0</v>
      </c>
      <c r="I2759" s="111">
        <f>G2759*H2759</f>
      </c>
      <c r="J2759" s="153" t="s">
        <v>4</v>
      </c>
      <c r="K2759" s="146"/>
      <c r="Z2759" s="111">
        <f>IF(AQ2759="5",BJ2759,0)</f>
      </c>
      <c r="AB2759" s="111">
        <f>IF(AQ2759="1",BH2759,0)</f>
      </c>
      <c r="AC2759" s="111">
        <f>IF(AQ2759="1",BI2759,0)</f>
      </c>
      <c r="AD2759" s="111">
        <f>IF(AQ2759="7",BH2759,0)</f>
      </c>
      <c r="AE2759" s="111">
        <f>IF(AQ2759="7",BI2759,0)</f>
      </c>
      <c r="AF2759" s="111">
        <f>IF(AQ2759="2",BH2759,0)</f>
      </c>
      <c r="AG2759" s="111">
        <f>IF(AQ2759="2",BI2759,0)</f>
      </c>
      <c r="AH2759" s="111">
        <f>IF(AQ2759="0",BJ2759,0)</f>
      </c>
      <c r="AI2759" s="132" t="s">
        <v>91</v>
      </c>
      <c r="AJ2759" s="111">
        <f>IF(AN2759=0,I2759,0)</f>
      </c>
      <c r="AK2759" s="111">
        <f>IF(AN2759=12,I2759,0)</f>
      </c>
      <c r="AL2759" s="111">
        <f>IF(AN2759=21,I2759,0)</f>
      </c>
      <c r="AN2759" s="111" t="n">
        <v>21</v>
      </c>
      <c r="AO2759" s="111">
        <f>H2759*0</f>
      </c>
      <c r="AP2759" s="111">
        <f>H2759*(1-0)</f>
      </c>
      <c r="AQ2759" s="153" t="s">
        <v>173</v>
      </c>
      <c r="AV2759" s="111">
        <f>AW2759+AX2759</f>
      </c>
      <c r="AW2759" s="111">
        <f>G2759*AO2759</f>
      </c>
      <c r="AX2759" s="111">
        <f>G2759*AP2759</f>
      </c>
      <c r="AY2759" s="153" t="s">
        <v>4092</v>
      </c>
      <c r="AZ2759" s="153" t="s">
        <v>4215</v>
      </c>
      <c r="BA2759" s="132" t="s">
        <v>4138</v>
      </c>
      <c r="BC2759" s="111">
        <f>AW2759+AX2759</f>
      </c>
      <c r="BD2759" s="111">
        <f>H2759/(100-BE2759)*100</f>
      </c>
      <c r="BE2759" s="111" t="n">
        <v>0</v>
      </c>
      <c r="BF2759" s="111">
        <f>2759</f>
      </c>
      <c r="BH2759" s="111">
        <f>G2759*AO2759</f>
      </c>
      <c r="BI2759" s="111">
        <f>G2759*AP2759</f>
      </c>
      <c r="BJ2759" s="111">
        <f>G2759*H2759</f>
      </c>
      <c r="BK2759" s="111"/>
      <c r="BL2759" s="111" t="n">
        <v>734</v>
      </c>
      <c r="BW2759" s="111" t="n">
        <v>21</v>
      </c>
      <c r="BX2759" s="14" t="s">
        <v>4393</v>
      </c>
    </row>
    <row r="2760">
      <c r="A2760" s="9" t="s">
        <v>4394</v>
      </c>
      <c r="B2760" s="10" t="s">
        <v>91</v>
      </c>
      <c r="C2760" s="10" t="s">
        <v>4395</v>
      </c>
      <c r="D2760" s="14" t="s">
        <v>4396</v>
      </c>
      <c r="E2760" s="10"/>
      <c r="F2760" s="10" t="s">
        <v>133</v>
      </c>
      <c r="G2760" s="111" t="n">
        <v>4</v>
      </c>
      <c r="H2760" s="152" t="n">
        <v>0</v>
      </c>
      <c r="I2760" s="111">
        <f>G2760*H2760</f>
      </c>
      <c r="J2760" s="153" t="s">
        <v>4</v>
      </c>
      <c r="K2760" s="146"/>
      <c r="Z2760" s="111">
        <f>IF(AQ2760="5",BJ2760,0)</f>
      </c>
      <c r="AB2760" s="111">
        <f>IF(AQ2760="1",BH2760,0)</f>
      </c>
      <c r="AC2760" s="111">
        <f>IF(AQ2760="1",BI2760,0)</f>
      </c>
      <c r="AD2760" s="111">
        <f>IF(AQ2760="7",BH2760,0)</f>
      </c>
      <c r="AE2760" s="111">
        <f>IF(AQ2760="7",BI2760,0)</f>
      </c>
      <c r="AF2760" s="111">
        <f>IF(AQ2760="2",BH2760,0)</f>
      </c>
      <c r="AG2760" s="111">
        <f>IF(AQ2760="2",BI2760,0)</f>
      </c>
      <c r="AH2760" s="111">
        <f>IF(AQ2760="0",BJ2760,0)</f>
      </c>
      <c r="AI2760" s="132" t="s">
        <v>91</v>
      </c>
      <c r="AJ2760" s="111">
        <f>IF(AN2760=0,I2760,0)</f>
      </c>
      <c r="AK2760" s="111">
        <f>IF(AN2760=12,I2760,0)</f>
      </c>
      <c r="AL2760" s="111">
        <f>IF(AN2760=21,I2760,0)</f>
      </c>
      <c r="AN2760" s="111" t="n">
        <v>21</v>
      </c>
      <c r="AO2760" s="111">
        <f>H2760*0</f>
      </c>
      <c r="AP2760" s="111">
        <f>H2760*(1-0)</f>
      </c>
      <c r="AQ2760" s="153" t="s">
        <v>173</v>
      </c>
      <c r="AV2760" s="111">
        <f>AW2760+AX2760</f>
      </c>
      <c r="AW2760" s="111">
        <f>G2760*AO2760</f>
      </c>
      <c r="AX2760" s="111">
        <f>G2760*AP2760</f>
      </c>
      <c r="AY2760" s="153" t="s">
        <v>4092</v>
      </c>
      <c r="AZ2760" s="153" t="s">
        <v>4215</v>
      </c>
      <c r="BA2760" s="132" t="s">
        <v>4138</v>
      </c>
      <c r="BC2760" s="111">
        <f>AW2760+AX2760</f>
      </c>
      <c r="BD2760" s="111">
        <f>H2760/(100-BE2760)*100</f>
      </c>
      <c r="BE2760" s="111" t="n">
        <v>0</v>
      </c>
      <c r="BF2760" s="111">
        <f>2760</f>
      </c>
      <c r="BH2760" s="111">
        <f>G2760*AO2760</f>
      </c>
      <c r="BI2760" s="111">
        <f>G2760*AP2760</f>
      </c>
      <c r="BJ2760" s="111">
        <f>G2760*H2760</f>
      </c>
      <c r="BK2760" s="111"/>
      <c r="BL2760" s="111" t="n">
        <v>734</v>
      </c>
      <c r="BW2760" s="111" t="n">
        <v>21</v>
      </c>
      <c r="BX2760" s="14" t="s">
        <v>4396</v>
      </c>
    </row>
    <row r="2761">
      <c r="A2761" s="9" t="s">
        <v>4397</v>
      </c>
      <c r="B2761" s="10" t="s">
        <v>91</v>
      </c>
      <c r="C2761" s="10" t="s">
        <v>4398</v>
      </c>
      <c r="D2761" s="14" t="s">
        <v>4399</v>
      </c>
      <c r="E2761" s="10"/>
      <c r="F2761" s="10" t="s">
        <v>133</v>
      </c>
      <c r="G2761" s="111" t="n">
        <v>9</v>
      </c>
      <c r="H2761" s="152" t="n">
        <v>0</v>
      </c>
      <c r="I2761" s="111">
        <f>G2761*H2761</f>
      </c>
      <c r="J2761" s="153" t="s">
        <v>4</v>
      </c>
      <c r="K2761" s="146"/>
      <c r="Z2761" s="111">
        <f>IF(AQ2761="5",BJ2761,0)</f>
      </c>
      <c r="AB2761" s="111">
        <f>IF(AQ2761="1",BH2761,0)</f>
      </c>
      <c r="AC2761" s="111">
        <f>IF(AQ2761="1",BI2761,0)</f>
      </c>
      <c r="AD2761" s="111">
        <f>IF(AQ2761="7",BH2761,0)</f>
      </c>
      <c r="AE2761" s="111">
        <f>IF(AQ2761="7",BI2761,0)</f>
      </c>
      <c r="AF2761" s="111">
        <f>IF(AQ2761="2",BH2761,0)</f>
      </c>
      <c r="AG2761" s="111">
        <f>IF(AQ2761="2",BI2761,0)</f>
      </c>
      <c r="AH2761" s="111">
        <f>IF(AQ2761="0",BJ2761,0)</f>
      </c>
      <c r="AI2761" s="132" t="s">
        <v>91</v>
      </c>
      <c r="AJ2761" s="111">
        <f>IF(AN2761=0,I2761,0)</f>
      </c>
      <c r="AK2761" s="111">
        <f>IF(AN2761=12,I2761,0)</f>
      </c>
      <c r="AL2761" s="111">
        <f>IF(AN2761=21,I2761,0)</f>
      </c>
      <c r="AN2761" s="111" t="n">
        <v>21</v>
      </c>
      <c r="AO2761" s="111">
        <f>H2761*0</f>
      </c>
      <c r="AP2761" s="111">
        <f>H2761*(1-0)</f>
      </c>
      <c r="AQ2761" s="153" t="s">
        <v>173</v>
      </c>
      <c r="AV2761" s="111">
        <f>AW2761+AX2761</f>
      </c>
      <c r="AW2761" s="111">
        <f>G2761*AO2761</f>
      </c>
      <c r="AX2761" s="111">
        <f>G2761*AP2761</f>
      </c>
      <c r="AY2761" s="153" t="s">
        <v>4092</v>
      </c>
      <c r="AZ2761" s="153" t="s">
        <v>4215</v>
      </c>
      <c r="BA2761" s="132" t="s">
        <v>4138</v>
      </c>
      <c r="BC2761" s="111">
        <f>AW2761+AX2761</f>
      </c>
      <c r="BD2761" s="111">
        <f>H2761/(100-BE2761)*100</f>
      </c>
      <c r="BE2761" s="111" t="n">
        <v>0</v>
      </c>
      <c r="BF2761" s="111">
        <f>2761</f>
      </c>
      <c r="BH2761" s="111">
        <f>G2761*AO2761</f>
      </c>
      <c r="BI2761" s="111">
        <f>G2761*AP2761</f>
      </c>
      <c r="BJ2761" s="111">
        <f>G2761*H2761</f>
      </c>
      <c r="BK2761" s="111"/>
      <c r="BL2761" s="111" t="n">
        <v>734</v>
      </c>
      <c r="BW2761" s="111" t="n">
        <v>21</v>
      </c>
      <c r="BX2761" s="14" t="s">
        <v>4399</v>
      </c>
    </row>
    <row r="2762">
      <c r="A2762" s="9" t="s">
        <v>4400</v>
      </c>
      <c r="B2762" s="10" t="s">
        <v>91</v>
      </c>
      <c r="C2762" s="10" t="s">
        <v>4401</v>
      </c>
      <c r="D2762" s="14" t="s">
        <v>4402</v>
      </c>
      <c r="E2762" s="10"/>
      <c r="F2762" s="10" t="s">
        <v>133</v>
      </c>
      <c r="G2762" s="111" t="n">
        <v>2</v>
      </c>
      <c r="H2762" s="152" t="n">
        <v>0</v>
      </c>
      <c r="I2762" s="111">
        <f>G2762*H2762</f>
      </c>
      <c r="J2762" s="153" t="s">
        <v>4</v>
      </c>
      <c r="K2762" s="146"/>
      <c r="Z2762" s="111">
        <f>IF(AQ2762="5",BJ2762,0)</f>
      </c>
      <c r="AB2762" s="111">
        <f>IF(AQ2762="1",BH2762,0)</f>
      </c>
      <c r="AC2762" s="111">
        <f>IF(AQ2762="1",BI2762,0)</f>
      </c>
      <c r="AD2762" s="111">
        <f>IF(AQ2762="7",BH2762,0)</f>
      </c>
      <c r="AE2762" s="111">
        <f>IF(AQ2762="7",BI2762,0)</f>
      </c>
      <c r="AF2762" s="111">
        <f>IF(AQ2762="2",BH2762,0)</f>
      </c>
      <c r="AG2762" s="111">
        <f>IF(AQ2762="2",BI2762,0)</f>
      </c>
      <c r="AH2762" s="111">
        <f>IF(AQ2762="0",BJ2762,0)</f>
      </c>
      <c r="AI2762" s="132" t="s">
        <v>91</v>
      </c>
      <c r="AJ2762" s="111">
        <f>IF(AN2762=0,I2762,0)</f>
      </c>
      <c r="AK2762" s="111">
        <f>IF(AN2762=12,I2762,0)</f>
      </c>
      <c r="AL2762" s="111">
        <f>IF(AN2762=21,I2762,0)</f>
      </c>
      <c r="AN2762" s="111" t="n">
        <v>21</v>
      </c>
      <c r="AO2762" s="111">
        <f>H2762*0</f>
      </c>
      <c r="AP2762" s="111">
        <f>H2762*(1-0)</f>
      </c>
      <c r="AQ2762" s="153" t="s">
        <v>173</v>
      </c>
      <c r="AV2762" s="111">
        <f>AW2762+AX2762</f>
      </c>
      <c r="AW2762" s="111">
        <f>G2762*AO2762</f>
      </c>
      <c r="AX2762" s="111">
        <f>G2762*AP2762</f>
      </c>
      <c r="AY2762" s="153" t="s">
        <v>4092</v>
      </c>
      <c r="AZ2762" s="153" t="s">
        <v>4215</v>
      </c>
      <c r="BA2762" s="132" t="s">
        <v>4138</v>
      </c>
      <c r="BC2762" s="111">
        <f>AW2762+AX2762</f>
      </c>
      <c r="BD2762" s="111">
        <f>H2762/(100-BE2762)*100</f>
      </c>
      <c r="BE2762" s="111" t="n">
        <v>0</v>
      </c>
      <c r="BF2762" s="111">
        <f>2762</f>
      </c>
      <c r="BH2762" s="111">
        <f>G2762*AO2762</f>
      </c>
      <c r="BI2762" s="111">
        <f>G2762*AP2762</f>
      </c>
      <c r="BJ2762" s="111">
        <f>G2762*H2762</f>
      </c>
      <c r="BK2762" s="111"/>
      <c r="BL2762" s="111" t="n">
        <v>734</v>
      </c>
      <c r="BW2762" s="111" t="n">
        <v>21</v>
      </c>
      <c r="BX2762" s="14" t="s">
        <v>4402</v>
      </c>
    </row>
    <row r="2763">
      <c r="A2763" s="9" t="s">
        <v>4403</v>
      </c>
      <c r="B2763" s="10" t="s">
        <v>91</v>
      </c>
      <c r="C2763" s="10" t="s">
        <v>4404</v>
      </c>
      <c r="D2763" s="14" t="s">
        <v>4405</v>
      </c>
      <c r="E2763" s="10"/>
      <c r="F2763" s="10" t="s">
        <v>133</v>
      </c>
      <c r="G2763" s="111" t="n">
        <v>4</v>
      </c>
      <c r="H2763" s="152" t="n">
        <v>0</v>
      </c>
      <c r="I2763" s="111">
        <f>G2763*H2763</f>
      </c>
      <c r="J2763" s="153" t="s">
        <v>4</v>
      </c>
      <c r="K2763" s="146"/>
      <c r="Z2763" s="111">
        <f>IF(AQ2763="5",BJ2763,0)</f>
      </c>
      <c r="AB2763" s="111">
        <f>IF(AQ2763="1",BH2763,0)</f>
      </c>
      <c r="AC2763" s="111">
        <f>IF(AQ2763="1",BI2763,0)</f>
      </c>
      <c r="AD2763" s="111">
        <f>IF(AQ2763="7",BH2763,0)</f>
      </c>
      <c r="AE2763" s="111">
        <f>IF(AQ2763="7",BI2763,0)</f>
      </c>
      <c r="AF2763" s="111">
        <f>IF(AQ2763="2",BH2763,0)</f>
      </c>
      <c r="AG2763" s="111">
        <f>IF(AQ2763="2",BI2763,0)</f>
      </c>
      <c r="AH2763" s="111">
        <f>IF(AQ2763="0",BJ2763,0)</f>
      </c>
      <c r="AI2763" s="132" t="s">
        <v>91</v>
      </c>
      <c r="AJ2763" s="111">
        <f>IF(AN2763=0,I2763,0)</f>
      </c>
      <c r="AK2763" s="111">
        <f>IF(AN2763=12,I2763,0)</f>
      </c>
      <c r="AL2763" s="111">
        <f>IF(AN2763=21,I2763,0)</f>
      </c>
      <c r="AN2763" s="111" t="n">
        <v>21</v>
      </c>
      <c r="AO2763" s="111">
        <f>H2763*0</f>
      </c>
      <c r="AP2763" s="111">
        <f>H2763*(1-0)</f>
      </c>
      <c r="AQ2763" s="153" t="s">
        <v>173</v>
      </c>
      <c r="AV2763" s="111">
        <f>AW2763+AX2763</f>
      </c>
      <c r="AW2763" s="111">
        <f>G2763*AO2763</f>
      </c>
      <c r="AX2763" s="111">
        <f>G2763*AP2763</f>
      </c>
      <c r="AY2763" s="153" t="s">
        <v>4092</v>
      </c>
      <c r="AZ2763" s="153" t="s">
        <v>4215</v>
      </c>
      <c r="BA2763" s="132" t="s">
        <v>4138</v>
      </c>
      <c r="BC2763" s="111">
        <f>AW2763+AX2763</f>
      </c>
      <c r="BD2763" s="111">
        <f>H2763/(100-BE2763)*100</f>
      </c>
      <c r="BE2763" s="111" t="n">
        <v>0</v>
      </c>
      <c r="BF2763" s="111">
        <f>2763</f>
      </c>
      <c r="BH2763" s="111">
        <f>G2763*AO2763</f>
      </c>
      <c r="BI2763" s="111">
        <f>G2763*AP2763</f>
      </c>
      <c r="BJ2763" s="111">
        <f>G2763*H2763</f>
      </c>
      <c r="BK2763" s="111"/>
      <c r="BL2763" s="111" t="n">
        <v>734</v>
      </c>
      <c r="BW2763" s="111" t="n">
        <v>21</v>
      </c>
      <c r="BX2763" s="14" t="s">
        <v>4405</v>
      </c>
    </row>
    <row r="2764">
      <c r="A2764" s="9" t="s">
        <v>4406</v>
      </c>
      <c r="B2764" s="10" t="s">
        <v>91</v>
      </c>
      <c r="C2764" s="10" t="s">
        <v>4407</v>
      </c>
      <c r="D2764" s="14" t="s">
        <v>4408</v>
      </c>
      <c r="E2764" s="10"/>
      <c r="F2764" s="10" t="s">
        <v>61</v>
      </c>
      <c r="G2764" s="111" t="n">
        <v>775.091</v>
      </c>
      <c r="H2764" s="152" t="n">
        <v>0</v>
      </c>
      <c r="I2764" s="111">
        <f>G2764*H2764</f>
      </c>
      <c r="J2764" s="153" t="s">
        <v>4</v>
      </c>
      <c r="K2764" s="146"/>
      <c r="Z2764" s="111">
        <f>IF(AQ2764="5",BJ2764,0)</f>
      </c>
      <c r="AB2764" s="111">
        <f>IF(AQ2764="1",BH2764,0)</f>
      </c>
      <c r="AC2764" s="111">
        <f>IF(AQ2764="1",BI2764,0)</f>
      </c>
      <c r="AD2764" s="111">
        <f>IF(AQ2764="7",BH2764,0)</f>
      </c>
      <c r="AE2764" s="111">
        <f>IF(AQ2764="7",BI2764,0)</f>
      </c>
      <c r="AF2764" s="111">
        <f>IF(AQ2764="2",BH2764,0)</f>
      </c>
      <c r="AG2764" s="111">
        <f>IF(AQ2764="2",BI2764,0)</f>
      </c>
      <c r="AH2764" s="111">
        <f>IF(AQ2764="0",BJ2764,0)</f>
      </c>
      <c r="AI2764" s="132" t="s">
        <v>91</v>
      </c>
      <c r="AJ2764" s="111">
        <f>IF(AN2764=0,I2764,0)</f>
      </c>
      <c r="AK2764" s="111">
        <f>IF(AN2764=12,I2764,0)</f>
      </c>
      <c r="AL2764" s="111">
        <f>IF(AN2764=21,I2764,0)</f>
      </c>
      <c r="AN2764" s="111" t="n">
        <v>21</v>
      </c>
      <c r="AO2764" s="111">
        <f>H2764*0</f>
      </c>
      <c r="AP2764" s="111">
        <f>H2764*(1-0)</f>
      </c>
      <c r="AQ2764" s="153" t="s">
        <v>173</v>
      </c>
      <c r="AV2764" s="111">
        <f>AW2764+AX2764</f>
      </c>
      <c r="AW2764" s="111">
        <f>G2764*AO2764</f>
      </c>
      <c r="AX2764" s="111">
        <f>G2764*AP2764</f>
      </c>
      <c r="AY2764" s="153" t="s">
        <v>4092</v>
      </c>
      <c r="AZ2764" s="153" t="s">
        <v>4215</v>
      </c>
      <c r="BA2764" s="132" t="s">
        <v>4138</v>
      </c>
      <c r="BC2764" s="111">
        <f>AW2764+AX2764</f>
      </c>
      <c r="BD2764" s="111">
        <f>H2764/(100-BE2764)*100</f>
      </c>
      <c r="BE2764" s="111" t="n">
        <v>0</v>
      </c>
      <c r="BF2764" s="111">
        <f>2764</f>
      </c>
      <c r="BH2764" s="111">
        <f>G2764*AO2764</f>
      </c>
      <c r="BI2764" s="111">
        <f>G2764*AP2764</f>
      </c>
      <c r="BJ2764" s="111">
        <f>G2764*H2764</f>
      </c>
      <c r="BK2764" s="111"/>
      <c r="BL2764" s="111" t="n">
        <v>734</v>
      </c>
      <c r="BW2764" s="111" t="n">
        <v>21</v>
      </c>
      <c r="BX2764" s="14" t="s">
        <v>4408</v>
      </c>
    </row>
    <row r="2765">
      <c r="A2765" s="9" t="s">
        <v>4409</v>
      </c>
      <c r="B2765" s="10" t="s">
        <v>91</v>
      </c>
      <c r="C2765" s="10" t="s">
        <v>4410</v>
      </c>
      <c r="D2765" s="14" t="s">
        <v>4411</v>
      </c>
      <c r="E2765" s="10"/>
      <c r="F2765" s="10" t="s">
        <v>133</v>
      </c>
      <c r="G2765" s="111" t="n">
        <v>2</v>
      </c>
      <c r="H2765" s="152" t="n">
        <v>0</v>
      </c>
      <c r="I2765" s="111">
        <f>G2765*H2765</f>
      </c>
      <c r="J2765" s="153" t="s">
        <v>4</v>
      </c>
      <c r="K2765" s="146"/>
      <c r="Z2765" s="111">
        <f>IF(AQ2765="5",BJ2765,0)</f>
      </c>
      <c r="AB2765" s="111">
        <f>IF(AQ2765="1",BH2765,0)</f>
      </c>
      <c r="AC2765" s="111">
        <f>IF(AQ2765="1",BI2765,0)</f>
      </c>
      <c r="AD2765" s="111">
        <f>IF(AQ2765="7",BH2765,0)</f>
      </c>
      <c r="AE2765" s="111">
        <f>IF(AQ2765="7",BI2765,0)</f>
      </c>
      <c r="AF2765" s="111">
        <f>IF(AQ2765="2",BH2765,0)</f>
      </c>
      <c r="AG2765" s="111">
        <f>IF(AQ2765="2",BI2765,0)</f>
      </c>
      <c r="AH2765" s="111">
        <f>IF(AQ2765="0",BJ2765,0)</f>
      </c>
      <c r="AI2765" s="132" t="s">
        <v>91</v>
      </c>
      <c r="AJ2765" s="111">
        <f>IF(AN2765=0,I2765,0)</f>
      </c>
      <c r="AK2765" s="111">
        <f>IF(AN2765=12,I2765,0)</f>
      </c>
      <c r="AL2765" s="111">
        <f>IF(AN2765=21,I2765,0)</f>
      </c>
      <c r="AN2765" s="111" t="n">
        <v>21</v>
      </c>
      <c r="AO2765" s="111">
        <f>H2765*1</f>
      </c>
      <c r="AP2765" s="111">
        <f>H2765*(1-1)</f>
      </c>
      <c r="AQ2765" s="153" t="s">
        <v>173</v>
      </c>
      <c r="AV2765" s="111">
        <f>AW2765+AX2765</f>
      </c>
      <c r="AW2765" s="111">
        <f>G2765*AO2765</f>
      </c>
      <c r="AX2765" s="111">
        <f>G2765*AP2765</f>
      </c>
      <c r="AY2765" s="153" t="s">
        <v>4092</v>
      </c>
      <c r="AZ2765" s="153" t="s">
        <v>4215</v>
      </c>
      <c r="BA2765" s="132" t="s">
        <v>4138</v>
      </c>
      <c r="BC2765" s="111">
        <f>AW2765+AX2765</f>
      </c>
      <c r="BD2765" s="111">
        <f>H2765/(100-BE2765)*100</f>
      </c>
      <c r="BE2765" s="111" t="n">
        <v>0</v>
      </c>
      <c r="BF2765" s="111">
        <f>2765</f>
      </c>
      <c r="BH2765" s="111">
        <f>G2765*AO2765</f>
      </c>
      <c r="BI2765" s="111">
        <f>G2765*AP2765</f>
      </c>
      <c r="BJ2765" s="111">
        <f>G2765*H2765</f>
      </c>
      <c r="BK2765" s="111"/>
      <c r="BL2765" s="111" t="n">
        <v>734</v>
      </c>
      <c r="BW2765" s="111" t="n">
        <v>21</v>
      </c>
      <c r="BX2765" s="14" t="s">
        <v>4411</v>
      </c>
    </row>
    <row r="2766">
      <c r="A2766" s="9" t="s">
        <v>4412</v>
      </c>
      <c r="B2766" s="10" t="s">
        <v>91</v>
      </c>
      <c r="C2766" s="10" t="s">
        <v>4413</v>
      </c>
      <c r="D2766" s="14" t="s">
        <v>4414</v>
      </c>
      <c r="E2766" s="10"/>
      <c r="F2766" s="10" t="s">
        <v>133</v>
      </c>
      <c r="G2766" s="111" t="n">
        <v>3</v>
      </c>
      <c r="H2766" s="152" t="n">
        <v>0</v>
      </c>
      <c r="I2766" s="111">
        <f>G2766*H2766</f>
      </c>
      <c r="J2766" s="153" t="s">
        <v>4</v>
      </c>
      <c r="K2766" s="146"/>
      <c r="Z2766" s="111">
        <f>IF(AQ2766="5",BJ2766,0)</f>
      </c>
      <c r="AB2766" s="111">
        <f>IF(AQ2766="1",BH2766,0)</f>
      </c>
      <c r="AC2766" s="111">
        <f>IF(AQ2766="1",BI2766,0)</f>
      </c>
      <c r="AD2766" s="111">
        <f>IF(AQ2766="7",BH2766,0)</f>
      </c>
      <c r="AE2766" s="111">
        <f>IF(AQ2766="7",BI2766,0)</f>
      </c>
      <c r="AF2766" s="111">
        <f>IF(AQ2766="2",BH2766,0)</f>
      </c>
      <c r="AG2766" s="111">
        <f>IF(AQ2766="2",BI2766,0)</f>
      </c>
      <c r="AH2766" s="111">
        <f>IF(AQ2766="0",BJ2766,0)</f>
      </c>
      <c r="AI2766" s="132" t="s">
        <v>91</v>
      </c>
      <c r="AJ2766" s="111">
        <f>IF(AN2766=0,I2766,0)</f>
      </c>
      <c r="AK2766" s="111">
        <f>IF(AN2766=12,I2766,0)</f>
      </c>
      <c r="AL2766" s="111">
        <f>IF(AN2766=21,I2766,0)</f>
      </c>
      <c r="AN2766" s="111" t="n">
        <v>21</v>
      </c>
      <c r="AO2766" s="111">
        <f>H2766*1</f>
      </c>
      <c r="AP2766" s="111">
        <f>H2766*(1-1)</f>
      </c>
      <c r="AQ2766" s="153" t="s">
        <v>173</v>
      </c>
      <c r="AV2766" s="111">
        <f>AW2766+AX2766</f>
      </c>
      <c r="AW2766" s="111">
        <f>G2766*AO2766</f>
      </c>
      <c r="AX2766" s="111">
        <f>G2766*AP2766</f>
      </c>
      <c r="AY2766" s="153" t="s">
        <v>4092</v>
      </c>
      <c r="AZ2766" s="153" t="s">
        <v>4215</v>
      </c>
      <c r="BA2766" s="132" t="s">
        <v>4138</v>
      </c>
      <c r="BC2766" s="111">
        <f>AW2766+AX2766</f>
      </c>
      <c r="BD2766" s="111">
        <f>H2766/(100-BE2766)*100</f>
      </c>
      <c r="BE2766" s="111" t="n">
        <v>0</v>
      </c>
      <c r="BF2766" s="111">
        <f>2766</f>
      </c>
      <c r="BH2766" s="111">
        <f>G2766*AO2766</f>
      </c>
      <c r="BI2766" s="111">
        <f>G2766*AP2766</f>
      </c>
      <c r="BJ2766" s="111">
        <f>G2766*H2766</f>
      </c>
      <c r="BK2766" s="111"/>
      <c r="BL2766" s="111" t="n">
        <v>734</v>
      </c>
      <c r="BW2766" s="111" t="n">
        <v>21</v>
      </c>
      <c r="BX2766" s="14" t="s">
        <v>4414</v>
      </c>
    </row>
    <row r="2767">
      <c r="A2767" s="9" t="s">
        <v>4415</v>
      </c>
      <c r="B2767" s="10" t="s">
        <v>91</v>
      </c>
      <c r="C2767" s="10" t="s">
        <v>4416</v>
      </c>
      <c r="D2767" s="14" t="s">
        <v>4417</v>
      </c>
      <c r="E2767" s="10"/>
      <c r="F2767" s="10" t="s">
        <v>133</v>
      </c>
      <c r="G2767" s="111" t="n">
        <v>10</v>
      </c>
      <c r="H2767" s="152" t="n">
        <v>0</v>
      </c>
      <c r="I2767" s="111">
        <f>G2767*H2767</f>
      </c>
      <c r="J2767" s="153" t="s">
        <v>4</v>
      </c>
      <c r="K2767" s="146"/>
      <c r="Z2767" s="111">
        <f>IF(AQ2767="5",BJ2767,0)</f>
      </c>
      <c r="AB2767" s="111">
        <f>IF(AQ2767="1",BH2767,0)</f>
      </c>
      <c r="AC2767" s="111">
        <f>IF(AQ2767="1",BI2767,0)</f>
      </c>
      <c r="AD2767" s="111">
        <f>IF(AQ2767="7",BH2767,0)</f>
      </c>
      <c r="AE2767" s="111">
        <f>IF(AQ2767="7",BI2767,0)</f>
      </c>
      <c r="AF2767" s="111">
        <f>IF(AQ2767="2",BH2767,0)</f>
      </c>
      <c r="AG2767" s="111">
        <f>IF(AQ2767="2",BI2767,0)</f>
      </c>
      <c r="AH2767" s="111">
        <f>IF(AQ2767="0",BJ2767,0)</f>
      </c>
      <c r="AI2767" s="132" t="s">
        <v>91</v>
      </c>
      <c r="AJ2767" s="111">
        <f>IF(AN2767=0,I2767,0)</f>
      </c>
      <c r="AK2767" s="111">
        <f>IF(AN2767=12,I2767,0)</f>
      </c>
      <c r="AL2767" s="111">
        <f>IF(AN2767=21,I2767,0)</f>
      </c>
      <c r="AN2767" s="111" t="n">
        <v>21</v>
      </c>
      <c r="AO2767" s="111">
        <f>H2767*1</f>
      </c>
      <c r="AP2767" s="111">
        <f>H2767*(1-1)</f>
      </c>
      <c r="AQ2767" s="153" t="s">
        <v>173</v>
      </c>
      <c r="AV2767" s="111">
        <f>AW2767+AX2767</f>
      </c>
      <c r="AW2767" s="111">
        <f>G2767*AO2767</f>
      </c>
      <c r="AX2767" s="111">
        <f>G2767*AP2767</f>
      </c>
      <c r="AY2767" s="153" t="s">
        <v>4092</v>
      </c>
      <c r="AZ2767" s="153" t="s">
        <v>4215</v>
      </c>
      <c r="BA2767" s="132" t="s">
        <v>4138</v>
      </c>
      <c r="BC2767" s="111">
        <f>AW2767+AX2767</f>
      </c>
      <c r="BD2767" s="111">
        <f>H2767/(100-BE2767)*100</f>
      </c>
      <c r="BE2767" s="111" t="n">
        <v>0</v>
      </c>
      <c r="BF2767" s="111">
        <f>2767</f>
      </c>
      <c r="BH2767" s="111">
        <f>G2767*AO2767</f>
      </c>
      <c r="BI2767" s="111">
        <f>G2767*AP2767</f>
      </c>
      <c r="BJ2767" s="111">
        <f>G2767*H2767</f>
      </c>
      <c r="BK2767" s="111"/>
      <c r="BL2767" s="111" t="n">
        <v>734</v>
      </c>
      <c r="BW2767" s="111" t="n">
        <v>21</v>
      </c>
      <c r="BX2767" s="14" t="s">
        <v>4417</v>
      </c>
    </row>
    <row r="2768">
      <c r="A2768" s="9" t="s">
        <v>4418</v>
      </c>
      <c r="B2768" s="10" t="s">
        <v>91</v>
      </c>
      <c r="C2768" s="10" t="s">
        <v>4419</v>
      </c>
      <c r="D2768" s="14" t="s">
        <v>4420</v>
      </c>
      <c r="E2768" s="10"/>
      <c r="F2768" s="10" t="s">
        <v>133</v>
      </c>
      <c r="G2768" s="111" t="n">
        <v>3</v>
      </c>
      <c r="H2768" s="152" t="n">
        <v>0</v>
      </c>
      <c r="I2768" s="111">
        <f>G2768*H2768</f>
      </c>
      <c r="J2768" s="153" t="s">
        <v>4</v>
      </c>
      <c r="K2768" s="146"/>
      <c r="Z2768" s="111">
        <f>IF(AQ2768="5",BJ2768,0)</f>
      </c>
      <c r="AB2768" s="111">
        <f>IF(AQ2768="1",BH2768,0)</f>
      </c>
      <c r="AC2768" s="111">
        <f>IF(AQ2768="1",BI2768,0)</f>
      </c>
      <c r="AD2768" s="111">
        <f>IF(AQ2768="7",BH2768,0)</f>
      </c>
      <c r="AE2768" s="111">
        <f>IF(AQ2768="7",BI2768,0)</f>
      </c>
      <c r="AF2768" s="111">
        <f>IF(AQ2768="2",BH2768,0)</f>
      </c>
      <c r="AG2768" s="111">
        <f>IF(AQ2768="2",BI2768,0)</f>
      </c>
      <c r="AH2768" s="111">
        <f>IF(AQ2768="0",BJ2768,0)</f>
      </c>
      <c r="AI2768" s="132" t="s">
        <v>91</v>
      </c>
      <c r="AJ2768" s="111">
        <f>IF(AN2768=0,I2768,0)</f>
      </c>
      <c r="AK2768" s="111">
        <f>IF(AN2768=12,I2768,0)</f>
      </c>
      <c r="AL2768" s="111">
        <f>IF(AN2768=21,I2768,0)</f>
      </c>
      <c r="AN2768" s="111" t="n">
        <v>21</v>
      </c>
      <c r="AO2768" s="111">
        <f>H2768*1</f>
      </c>
      <c r="AP2768" s="111">
        <f>H2768*(1-1)</f>
      </c>
      <c r="AQ2768" s="153" t="s">
        <v>173</v>
      </c>
      <c r="AV2768" s="111">
        <f>AW2768+AX2768</f>
      </c>
      <c r="AW2768" s="111">
        <f>G2768*AO2768</f>
      </c>
      <c r="AX2768" s="111">
        <f>G2768*AP2768</f>
      </c>
      <c r="AY2768" s="153" t="s">
        <v>4092</v>
      </c>
      <c r="AZ2768" s="153" t="s">
        <v>4215</v>
      </c>
      <c r="BA2768" s="132" t="s">
        <v>4138</v>
      </c>
      <c r="BC2768" s="111">
        <f>AW2768+AX2768</f>
      </c>
      <c r="BD2768" s="111">
        <f>H2768/(100-BE2768)*100</f>
      </c>
      <c r="BE2768" s="111" t="n">
        <v>0</v>
      </c>
      <c r="BF2768" s="111">
        <f>2768</f>
      </c>
      <c r="BH2768" s="111">
        <f>G2768*AO2768</f>
      </c>
      <c r="BI2768" s="111">
        <f>G2768*AP2768</f>
      </c>
      <c r="BJ2768" s="111">
        <f>G2768*H2768</f>
      </c>
      <c r="BK2768" s="111"/>
      <c r="BL2768" s="111" t="n">
        <v>734</v>
      </c>
      <c r="BW2768" s="111" t="n">
        <v>21</v>
      </c>
      <c r="BX2768" s="14" t="s">
        <v>4420</v>
      </c>
    </row>
    <row r="2769">
      <c r="A2769" s="9" t="s">
        <v>4421</v>
      </c>
      <c r="B2769" s="10" t="s">
        <v>91</v>
      </c>
      <c r="C2769" s="10" t="s">
        <v>4422</v>
      </c>
      <c r="D2769" s="14" t="s">
        <v>4423</v>
      </c>
      <c r="E2769" s="10"/>
      <c r="F2769" s="10" t="s">
        <v>133</v>
      </c>
      <c r="G2769" s="111" t="n">
        <v>3</v>
      </c>
      <c r="H2769" s="152" t="n">
        <v>0</v>
      </c>
      <c r="I2769" s="111">
        <f>G2769*H2769</f>
      </c>
      <c r="J2769" s="153" t="s">
        <v>4</v>
      </c>
      <c r="K2769" s="146"/>
      <c r="Z2769" s="111">
        <f>IF(AQ2769="5",BJ2769,0)</f>
      </c>
      <c r="AB2769" s="111">
        <f>IF(AQ2769="1",BH2769,0)</f>
      </c>
      <c r="AC2769" s="111">
        <f>IF(AQ2769="1",BI2769,0)</f>
      </c>
      <c r="AD2769" s="111">
        <f>IF(AQ2769="7",BH2769,0)</f>
      </c>
      <c r="AE2769" s="111">
        <f>IF(AQ2769="7",BI2769,0)</f>
      </c>
      <c r="AF2769" s="111">
        <f>IF(AQ2769="2",BH2769,0)</f>
      </c>
      <c r="AG2769" s="111">
        <f>IF(AQ2769="2",BI2769,0)</f>
      </c>
      <c r="AH2769" s="111">
        <f>IF(AQ2769="0",BJ2769,0)</f>
      </c>
      <c r="AI2769" s="132" t="s">
        <v>91</v>
      </c>
      <c r="AJ2769" s="111">
        <f>IF(AN2769=0,I2769,0)</f>
      </c>
      <c r="AK2769" s="111">
        <f>IF(AN2769=12,I2769,0)</f>
      </c>
      <c r="AL2769" s="111">
        <f>IF(AN2769=21,I2769,0)</f>
      </c>
      <c r="AN2769" s="111" t="n">
        <v>21</v>
      </c>
      <c r="AO2769" s="111">
        <f>H2769*1</f>
      </c>
      <c r="AP2769" s="111">
        <f>H2769*(1-1)</f>
      </c>
      <c r="AQ2769" s="153" t="s">
        <v>173</v>
      </c>
      <c r="AV2769" s="111">
        <f>AW2769+AX2769</f>
      </c>
      <c r="AW2769" s="111">
        <f>G2769*AO2769</f>
      </c>
      <c r="AX2769" s="111">
        <f>G2769*AP2769</f>
      </c>
      <c r="AY2769" s="153" t="s">
        <v>4092</v>
      </c>
      <c r="AZ2769" s="153" t="s">
        <v>4215</v>
      </c>
      <c r="BA2769" s="132" t="s">
        <v>4138</v>
      </c>
      <c r="BC2769" s="111">
        <f>AW2769+AX2769</f>
      </c>
      <c r="BD2769" s="111">
        <f>H2769/(100-BE2769)*100</f>
      </c>
      <c r="BE2769" s="111" t="n">
        <v>0</v>
      </c>
      <c r="BF2769" s="111">
        <f>2769</f>
      </c>
      <c r="BH2769" s="111">
        <f>G2769*AO2769</f>
      </c>
      <c r="BI2769" s="111">
        <f>G2769*AP2769</f>
      </c>
      <c r="BJ2769" s="111">
        <f>G2769*H2769</f>
      </c>
      <c r="BK2769" s="111"/>
      <c r="BL2769" s="111" t="n">
        <v>734</v>
      </c>
      <c r="BW2769" s="111" t="n">
        <v>21</v>
      </c>
      <c r="BX2769" s="14" t="s">
        <v>4423</v>
      </c>
    </row>
    <row r="2770">
      <c r="A2770" s="154"/>
      <c r="B2770" s="155"/>
      <c r="C2770" s="155"/>
      <c r="D2770" s="156" t="s">
        <v>3910</v>
      </c>
      <c r="E2770" s="156" t="s">
        <v>4424</v>
      </c>
      <c r="F2770" s="155"/>
      <c r="G2770" s="157" t="n">
        <v>1</v>
      </c>
      <c r="H2770" s="158"/>
      <c r="I2770" s="155"/>
      <c r="J2770" s="155"/>
      <c r="K2770" s="146"/>
    </row>
    <row r="2771">
      <c r="A2771" s="154"/>
      <c r="B2771" s="155"/>
      <c r="C2771" s="155"/>
      <c r="D2771" s="156" t="s">
        <v>3910</v>
      </c>
      <c r="E2771" s="156" t="s">
        <v>4425</v>
      </c>
      <c r="F2771" s="155"/>
      <c r="G2771" s="157" t="n">
        <v>1</v>
      </c>
      <c r="H2771" s="158"/>
      <c r="I2771" s="155"/>
      <c r="J2771" s="155"/>
      <c r="K2771" s="146"/>
    </row>
    <row r="2772">
      <c r="A2772" s="154"/>
      <c r="B2772" s="155"/>
      <c r="C2772" s="155"/>
      <c r="D2772" s="156" t="s">
        <v>3910</v>
      </c>
      <c r="E2772" s="156" t="s">
        <v>4426</v>
      </c>
      <c r="F2772" s="155"/>
      <c r="G2772" s="157" t="n">
        <v>1</v>
      </c>
      <c r="H2772" s="158"/>
      <c r="I2772" s="155"/>
      <c r="J2772" s="155"/>
      <c r="K2772" s="146"/>
    </row>
    <row r="2773">
      <c r="A2773" s="9" t="s">
        <v>4427</v>
      </c>
      <c r="B2773" s="10" t="s">
        <v>91</v>
      </c>
      <c r="C2773" s="10" t="s">
        <v>4428</v>
      </c>
      <c r="D2773" s="14" t="s">
        <v>4429</v>
      </c>
      <c r="E2773" s="10"/>
      <c r="F2773" s="10" t="s">
        <v>133</v>
      </c>
      <c r="G2773" s="111" t="n">
        <v>1</v>
      </c>
      <c r="H2773" s="152" t="n">
        <v>0</v>
      </c>
      <c r="I2773" s="111">
        <f>G2773*H2773</f>
      </c>
      <c r="J2773" s="153" t="s">
        <v>4</v>
      </c>
      <c r="K2773" s="146"/>
      <c r="Z2773" s="111">
        <f>IF(AQ2773="5",BJ2773,0)</f>
      </c>
      <c r="AB2773" s="111">
        <f>IF(AQ2773="1",BH2773,0)</f>
      </c>
      <c r="AC2773" s="111">
        <f>IF(AQ2773="1",BI2773,0)</f>
      </c>
      <c r="AD2773" s="111">
        <f>IF(AQ2773="7",BH2773,0)</f>
      </c>
      <c r="AE2773" s="111">
        <f>IF(AQ2773="7",BI2773,0)</f>
      </c>
      <c r="AF2773" s="111">
        <f>IF(AQ2773="2",BH2773,0)</f>
      </c>
      <c r="AG2773" s="111">
        <f>IF(AQ2773="2",BI2773,0)</f>
      </c>
      <c r="AH2773" s="111">
        <f>IF(AQ2773="0",BJ2773,0)</f>
      </c>
      <c r="AI2773" s="132" t="s">
        <v>91</v>
      </c>
      <c r="AJ2773" s="111">
        <f>IF(AN2773=0,I2773,0)</f>
      </c>
      <c r="AK2773" s="111">
        <f>IF(AN2773=12,I2773,0)</f>
      </c>
      <c r="AL2773" s="111">
        <f>IF(AN2773=21,I2773,0)</f>
      </c>
      <c r="AN2773" s="111" t="n">
        <v>21</v>
      </c>
      <c r="AO2773" s="111">
        <f>H2773*1</f>
      </c>
      <c r="AP2773" s="111">
        <f>H2773*(1-1)</f>
      </c>
      <c r="AQ2773" s="153" t="s">
        <v>173</v>
      </c>
      <c r="AV2773" s="111">
        <f>AW2773+AX2773</f>
      </c>
      <c r="AW2773" s="111">
        <f>G2773*AO2773</f>
      </c>
      <c r="AX2773" s="111">
        <f>G2773*AP2773</f>
      </c>
      <c r="AY2773" s="153" t="s">
        <v>4092</v>
      </c>
      <c r="AZ2773" s="153" t="s">
        <v>4215</v>
      </c>
      <c r="BA2773" s="132" t="s">
        <v>4138</v>
      </c>
      <c r="BC2773" s="111">
        <f>AW2773+AX2773</f>
      </c>
      <c r="BD2773" s="111">
        <f>H2773/(100-BE2773)*100</f>
      </c>
      <c r="BE2773" s="111" t="n">
        <v>0</v>
      </c>
      <c r="BF2773" s="111">
        <f>2773</f>
      </c>
      <c r="BH2773" s="111">
        <f>G2773*AO2773</f>
      </c>
      <c r="BI2773" s="111">
        <f>G2773*AP2773</f>
      </c>
      <c r="BJ2773" s="111">
        <f>G2773*H2773</f>
      </c>
      <c r="BK2773" s="111"/>
      <c r="BL2773" s="111" t="n">
        <v>734</v>
      </c>
      <c r="BW2773" s="111" t="n">
        <v>21</v>
      </c>
      <c r="BX2773" s="14" t="s">
        <v>4429</v>
      </c>
    </row>
    <row r="2774">
      <c r="A2774" s="9" t="s">
        <v>4430</v>
      </c>
      <c r="B2774" s="10" t="s">
        <v>91</v>
      </c>
      <c r="C2774" s="10" t="s">
        <v>4431</v>
      </c>
      <c r="D2774" s="14" t="s">
        <v>4432</v>
      </c>
      <c r="E2774" s="10"/>
      <c r="F2774" s="10" t="s">
        <v>133</v>
      </c>
      <c r="G2774" s="111" t="n">
        <v>1</v>
      </c>
      <c r="H2774" s="152" t="n">
        <v>0</v>
      </c>
      <c r="I2774" s="111">
        <f>G2774*H2774</f>
      </c>
      <c r="J2774" s="153" t="s">
        <v>4</v>
      </c>
      <c r="K2774" s="146"/>
      <c r="Z2774" s="111">
        <f>IF(AQ2774="5",BJ2774,0)</f>
      </c>
      <c r="AB2774" s="111">
        <f>IF(AQ2774="1",BH2774,0)</f>
      </c>
      <c r="AC2774" s="111">
        <f>IF(AQ2774="1",BI2774,0)</f>
      </c>
      <c r="AD2774" s="111">
        <f>IF(AQ2774="7",BH2774,0)</f>
      </c>
      <c r="AE2774" s="111">
        <f>IF(AQ2774="7",BI2774,0)</f>
      </c>
      <c r="AF2774" s="111">
        <f>IF(AQ2774="2",BH2774,0)</f>
      </c>
      <c r="AG2774" s="111">
        <f>IF(AQ2774="2",BI2774,0)</f>
      </c>
      <c r="AH2774" s="111">
        <f>IF(AQ2774="0",BJ2774,0)</f>
      </c>
      <c r="AI2774" s="132" t="s">
        <v>91</v>
      </c>
      <c r="AJ2774" s="111">
        <f>IF(AN2774=0,I2774,0)</f>
      </c>
      <c r="AK2774" s="111">
        <f>IF(AN2774=12,I2774,0)</f>
      </c>
      <c r="AL2774" s="111">
        <f>IF(AN2774=21,I2774,0)</f>
      </c>
      <c r="AN2774" s="111" t="n">
        <v>21</v>
      </c>
      <c r="AO2774" s="111">
        <f>H2774*1</f>
      </c>
      <c r="AP2774" s="111">
        <f>H2774*(1-1)</f>
      </c>
      <c r="AQ2774" s="153" t="s">
        <v>173</v>
      </c>
      <c r="AV2774" s="111">
        <f>AW2774+AX2774</f>
      </c>
      <c r="AW2774" s="111">
        <f>G2774*AO2774</f>
      </c>
      <c r="AX2774" s="111">
        <f>G2774*AP2774</f>
      </c>
      <c r="AY2774" s="153" t="s">
        <v>4092</v>
      </c>
      <c r="AZ2774" s="153" t="s">
        <v>4215</v>
      </c>
      <c r="BA2774" s="132" t="s">
        <v>4138</v>
      </c>
      <c r="BC2774" s="111">
        <f>AW2774+AX2774</f>
      </c>
      <c r="BD2774" s="111">
        <f>H2774/(100-BE2774)*100</f>
      </c>
      <c r="BE2774" s="111" t="n">
        <v>0</v>
      </c>
      <c r="BF2774" s="111">
        <f>2774</f>
      </c>
      <c r="BH2774" s="111">
        <f>G2774*AO2774</f>
      </c>
      <c r="BI2774" s="111">
        <f>G2774*AP2774</f>
      </c>
      <c r="BJ2774" s="111">
        <f>G2774*H2774</f>
      </c>
      <c r="BK2774" s="111"/>
      <c r="BL2774" s="111" t="n">
        <v>734</v>
      </c>
      <c r="BW2774" s="111" t="n">
        <v>21</v>
      </c>
      <c r="BX2774" s="14" t="s">
        <v>4432</v>
      </c>
    </row>
    <row r="2775">
      <c r="A2775" s="9" t="s">
        <v>4433</v>
      </c>
      <c r="B2775" s="10" t="s">
        <v>91</v>
      </c>
      <c r="C2775" s="10" t="s">
        <v>4434</v>
      </c>
      <c r="D2775" s="14" t="s">
        <v>4432</v>
      </c>
      <c r="E2775" s="10"/>
      <c r="F2775" s="10" t="s">
        <v>133</v>
      </c>
      <c r="G2775" s="111" t="n">
        <v>1</v>
      </c>
      <c r="H2775" s="152" t="n">
        <v>0</v>
      </c>
      <c r="I2775" s="111">
        <f>G2775*H2775</f>
      </c>
      <c r="J2775" s="153" t="s">
        <v>4</v>
      </c>
      <c r="K2775" s="146"/>
      <c r="Z2775" s="111">
        <f>IF(AQ2775="5",BJ2775,0)</f>
      </c>
      <c r="AB2775" s="111">
        <f>IF(AQ2775="1",BH2775,0)</f>
      </c>
      <c r="AC2775" s="111">
        <f>IF(AQ2775="1",BI2775,0)</f>
      </c>
      <c r="AD2775" s="111">
        <f>IF(AQ2775="7",BH2775,0)</f>
      </c>
      <c r="AE2775" s="111">
        <f>IF(AQ2775="7",BI2775,0)</f>
      </c>
      <c r="AF2775" s="111">
        <f>IF(AQ2775="2",BH2775,0)</f>
      </c>
      <c r="AG2775" s="111">
        <f>IF(AQ2775="2",BI2775,0)</f>
      </c>
      <c r="AH2775" s="111">
        <f>IF(AQ2775="0",BJ2775,0)</f>
      </c>
      <c r="AI2775" s="132" t="s">
        <v>91</v>
      </c>
      <c r="AJ2775" s="111">
        <f>IF(AN2775=0,I2775,0)</f>
      </c>
      <c r="AK2775" s="111">
        <f>IF(AN2775=12,I2775,0)</f>
      </c>
      <c r="AL2775" s="111">
        <f>IF(AN2775=21,I2775,0)</f>
      </c>
      <c r="AN2775" s="111" t="n">
        <v>21</v>
      </c>
      <c r="AO2775" s="111">
        <f>H2775*1</f>
      </c>
      <c r="AP2775" s="111">
        <f>H2775*(1-1)</f>
      </c>
      <c r="AQ2775" s="153" t="s">
        <v>173</v>
      </c>
      <c r="AV2775" s="111">
        <f>AW2775+AX2775</f>
      </c>
      <c r="AW2775" s="111">
        <f>G2775*AO2775</f>
      </c>
      <c r="AX2775" s="111">
        <f>G2775*AP2775</f>
      </c>
      <c r="AY2775" s="153" t="s">
        <v>4092</v>
      </c>
      <c r="AZ2775" s="153" t="s">
        <v>4215</v>
      </c>
      <c r="BA2775" s="132" t="s">
        <v>4138</v>
      </c>
      <c r="BC2775" s="111">
        <f>AW2775+AX2775</f>
      </c>
      <c r="BD2775" s="111">
        <f>H2775/(100-BE2775)*100</f>
      </c>
      <c r="BE2775" s="111" t="n">
        <v>0</v>
      </c>
      <c r="BF2775" s="111">
        <f>2775</f>
      </c>
      <c r="BH2775" s="111">
        <f>G2775*AO2775</f>
      </c>
      <c r="BI2775" s="111">
        <f>G2775*AP2775</f>
      </c>
      <c r="BJ2775" s="111">
        <f>G2775*H2775</f>
      </c>
      <c r="BK2775" s="111"/>
      <c r="BL2775" s="111" t="n">
        <v>734</v>
      </c>
      <c r="BW2775" s="111" t="n">
        <v>21</v>
      </c>
      <c r="BX2775" s="14" t="s">
        <v>4432</v>
      </c>
    </row>
    <row r="2776">
      <c r="A2776" s="9" t="s">
        <v>4435</v>
      </c>
      <c r="B2776" s="10" t="s">
        <v>91</v>
      </c>
      <c r="C2776" s="10" t="s">
        <v>4436</v>
      </c>
      <c r="D2776" s="14" t="s">
        <v>4437</v>
      </c>
      <c r="E2776" s="10"/>
      <c r="F2776" s="10" t="s">
        <v>133</v>
      </c>
      <c r="G2776" s="111" t="n">
        <v>1</v>
      </c>
      <c r="H2776" s="152" t="n">
        <v>0</v>
      </c>
      <c r="I2776" s="111">
        <f>G2776*H2776</f>
      </c>
      <c r="J2776" s="153" t="s">
        <v>4</v>
      </c>
      <c r="K2776" s="146"/>
      <c r="Z2776" s="111">
        <f>IF(AQ2776="5",BJ2776,0)</f>
      </c>
      <c r="AB2776" s="111">
        <f>IF(AQ2776="1",BH2776,0)</f>
      </c>
      <c r="AC2776" s="111">
        <f>IF(AQ2776="1",BI2776,0)</f>
      </c>
      <c r="AD2776" s="111">
        <f>IF(AQ2776="7",BH2776,0)</f>
      </c>
      <c r="AE2776" s="111">
        <f>IF(AQ2776="7",BI2776,0)</f>
      </c>
      <c r="AF2776" s="111">
        <f>IF(AQ2776="2",BH2776,0)</f>
      </c>
      <c r="AG2776" s="111">
        <f>IF(AQ2776="2",BI2776,0)</f>
      </c>
      <c r="AH2776" s="111">
        <f>IF(AQ2776="0",BJ2776,0)</f>
      </c>
      <c r="AI2776" s="132" t="s">
        <v>91</v>
      </c>
      <c r="AJ2776" s="111">
        <f>IF(AN2776=0,I2776,0)</f>
      </c>
      <c r="AK2776" s="111">
        <f>IF(AN2776=12,I2776,0)</f>
      </c>
      <c r="AL2776" s="111">
        <f>IF(AN2776=21,I2776,0)</f>
      </c>
      <c r="AN2776" s="111" t="n">
        <v>21</v>
      </c>
      <c r="AO2776" s="111">
        <f>H2776*1</f>
      </c>
      <c r="AP2776" s="111">
        <f>H2776*(1-1)</f>
      </c>
      <c r="AQ2776" s="153" t="s">
        <v>173</v>
      </c>
      <c r="AV2776" s="111">
        <f>AW2776+AX2776</f>
      </c>
      <c r="AW2776" s="111">
        <f>G2776*AO2776</f>
      </c>
      <c r="AX2776" s="111">
        <f>G2776*AP2776</f>
      </c>
      <c r="AY2776" s="153" t="s">
        <v>4092</v>
      </c>
      <c r="AZ2776" s="153" t="s">
        <v>4215</v>
      </c>
      <c r="BA2776" s="132" t="s">
        <v>4138</v>
      </c>
      <c r="BC2776" s="111">
        <f>AW2776+AX2776</f>
      </c>
      <c r="BD2776" s="111">
        <f>H2776/(100-BE2776)*100</f>
      </c>
      <c r="BE2776" s="111" t="n">
        <v>0</v>
      </c>
      <c r="BF2776" s="111">
        <f>2776</f>
      </c>
      <c r="BH2776" s="111">
        <f>G2776*AO2776</f>
      </c>
      <c r="BI2776" s="111">
        <f>G2776*AP2776</f>
      </c>
      <c r="BJ2776" s="111">
        <f>G2776*H2776</f>
      </c>
      <c r="BK2776" s="111"/>
      <c r="BL2776" s="111" t="n">
        <v>734</v>
      </c>
      <c r="BW2776" s="111" t="n">
        <v>21</v>
      </c>
      <c r="BX2776" s="14" t="s">
        <v>4437</v>
      </c>
    </row>
    <row r="2777">
      <c r="A2777" s="9" t="s">
        <v>4438</v>
      </c>
      <c r="B2777" s="10" t="s">
        <v>91</v>
      </c>
      <c r="C2777" s="10" t="s">
        <v>4439</v>
      </c>
      <c r="D2777" s="14" t="s">
        <v>4437</v>
      </c>
      <c r="E2777" s="10"/>
      <c r="F2777" s="10" t="s">
        <v>133</v>
      </c>
      <c r="G2777" s="111" t="n">
        <v>3</v>
      </c>
      <c r="H2777" s="152" t="n">
        <v>0</v>
      </c>
      <c r="I2777" s="111">
        <f>G2777*H2777</f>
      </c>
      <c r="J2777" s="153" t="s">
        <v>4</v>
      </c>
      <c r="K2777" s="146"/>
      <c r="Z2777" s="111">
        <f>IF(AQ2777="5",BJ2777,0)</f>
      </c>
      <c r="AB2777" s="111">
        <f>IF(AQ2777="1",BH2777,0)</f>
      </c>
      <c r="AC2777" s="111">
        <f>IF(AQ2777="1",BI2777,0)</f>
      </c>
      <c r="AD2777" s="111">
        <f>IF(AQ2777="7",BH2777,0)</f>
      </c>
      <c r="AE2777" s="111">
        <f>IF(AQ2777="7",BI2777,0)</f>
      </c>
      <c r="AF2777" s="111">
        <f>IF(AQ2777="2",BH2777,0)</f>
      </c>
      <c r="AG2777" s="111">
        <f>IF(AQ2777="2",BI2777,0)</f>
      </c>
      <c r="AH2777" s="111">
        <f>IF(AQ2777="0",BJ2777,0)</f>
      </c>
      <c r="AI2777" s="132" t="s">
        <v>91</v>
      </c>
      <c r="AJ2777" s="111">
        <f>IF(AN2777=0,I2777,0)</f>
      </c>
      <c r="AK2777" s="111">
        <f>IF(AN2777=12,I2777,0)</f>
      </c>
      <c r="AL2777" s="111">
        <f>IF(AN2777=21,I2777,0)</f>
      </c>
      <c r="AN2777" s="111" t="n">
        <v>21</v>
      </c>
      <c r="AO2777" s="111">
        <f>H2777*1</f>
      </c>
      <c r="AP2777" s="111">
        <f>H2777*(1-1)</f>
      </c>
      <c r="AQ2777" s="153" t="s">
        <v>173</v>
      </c>
      <c r="AV2777" s="111">
        <f>AW2777+AX2777</f>
      </c>
      <c r="AW2777" s="111">
        <f>G2777*AO2777</f>
      </c>
      <c r="AX2777" s="111">
        <f>G2777*AP2777</f>
      </c>
      <c r="AY2777" s="153" t="s">
        <v>4092</v>
      </c>
      <c r="AZ2777" s="153" t="s">
        <v>4215</v>
      </c>
      <c r="BA2777" s="132" t="s">
        <v>4138</v>
      </c>
      <c r="BC2777" s="111">
        <f>AW2777+AX2777</f>
      </c>
      <c r="BD2777" s="111">
        <f>H2777/(100-BE2777)*100</f>
      </c>
      <c r="BE2777" s="111" t="n">
        <v>0</v>
      </c>
      <c r="BF2777" s="111">
        <f>2777</f>
      </c>
      <c r="BH2777" s="111">
        <f>G2777*AO2777</f>
      </c>
      <c r="BI2777" s="111">
        <f>G2777*AP2777</f>
      </c>
      <c r="BJ2777" s="111">
        <f>G2777*H2777</f>
      </c>
      <c r="BK2777" s="111"/>
      <c r="BL2777" s="111" t="n">
        <v>734</v>
      </c>
      <c r="BW2777" s="111" t="n">
        <v>21</v>
      </c>
      <c r="BX2777" s="14" t="s">
        <v>4437</v>
      </c>
    </row>
    <row r="2778">
      <c r="A2778" s="9" t="s">
        <v>4440</v>
      </c>
      <c r="B2778" s="10" t="s">
        <v>91</v>
      </c>
      <c r="C2778" s="10" t="s">
        <v>4441</v>
      </c>
      <c r="D2778" s="14" t="s">
        <v>4442</v>
      </c>
      <c r="E2778" s="10"/>
      <c r="F2778" s="10" t="s">
        <v>2277</v>
      </c>
      <c r="G2778" s="111" t="n">
        <v>1</v>
      </c>
      <c r="H2778" s="152" t="n">
        <v>0</v>
      </c>
      <c r="I2778" s="111">
        <f>G2778*H2778</f>
      </c>
      <c r="J2778" s="153" t="s">
        <v>4</v>
      </c>
      <c r="K2778" s="146"/>
      <c r="Z2778" s="111">
        <f>IF(AQ2778="5",BJ2778,0)</f>
      </c>
      <c r="AB2778" s="111">
        <f>IF(AQ2778="1",BH2778,0)</f>
      </c>
      <c r="AC2778" s="111">
        <f>IF(AQ2778="1",BI2778,0)</f>
      </c>
      <c r="AD2778" s="111">
        <f>IF(AQ2778="7",BH2778,0)</f>
      </c>
      <c r="AE2778" s="111">
        <f>IF(AQ2778="7",BI2778,0)</f>
      </c>
      <c r="AF2778" s="111">
        <f>IF(AQ2778="2",BH2778,0)</f>
      </c>
      <c r="AG2778" s="111">
        <f>IF(AQ2778="2",BI2778,0)</f>
      </c>
      <c r="AH2778" s="111">
        <f>IF(AQ2778="0",BJ2778,0)</f>
      </c>
      <c r="AI2778" s="132" t="s">
        <v>91</v>
      </c>
      <c r="AJ2778" s="111">
        <f>IF(AN2778=0,I2778,0)</f>
      </c>
      <c r="AK2778" s="111">
        <f>IF(AN2778=12,I2778,0)</f>
      </c>
      <c r="AL2778" s="111">
        <f>IF(AN2778=21,I2778,0)</f>
      </c>
      <c r="AN2778" s="111" t="n">
        <v>21</v>
      </c>
      <c r="AO2778" s="111">
        <f>H2778*1</f>
      </c>
      <c r="AP2778" s="111">
        <f>H2778*(1-1)</f>
      </c>
      <c r="AQ2778" s="153" t="s">
        <v>173</v>
      </c>
      <c r="AV2778" s="111">
        <f>AW2778+AX2778</f>
      </c>
      <c r="AW2778" s="111">
        <f>G2778*AO2778</f>
      </c>
      <c r="AX2778" s="111">
        <f>G2778*AP2778</f>
      </c>
      <c r="AY2778" s="153" t="s">
        <v>4092</v>
      </c>
      <c r="AZ2778" s="153" t="s">
        <v>4215</v>
      </c>
      <c r="BA2778" s="132" t="s">
        <v>4138</v>
      </c>
      <c r="BC2778" s="111">
        <f>AW2778+AX2778</f>
      </c>
      <c r="BD2778" s="111">
        <f>H2778/(100-BE2778)*100</f>
      </c>
      <c r="BE2778" s="111" t="n">
        <v>0</v>
      </c>
      <c r="BF2778" s="111">
        <f>2778</f>
      </c>
      <c r="BH2778" s="111">
        <f>G2778*AO2778</f>
      </c>
      <c r="BI2778" s="111">
        <f>G2778*AP2778</f>
      </c>
      <c r="BJ2778" s="111">
        <f>G2778*H2778</f>
      </c>
      <c r="BK2778" s="111"/>
      <c r="BL2778" s="111" t="n">
        <v>734</v>
      </c>
      <c r="BW2778" s="111" t="n">
        <v>21</v>
      </c>
      <c r="BX2778" s="14" t="s">
        <v>4442</v>
      </c>
    </row>
    <row r="2779">
      <c r="A2779" s="147" t="s">
        <v>4</v>
      </c>
      <c r="B2779" s="148" t="s">
        <v>91</v>
      </c>
      <c r="C2779" s="148" t="s">
        <v>1982</v>
      </c>
      <c r="D2779" s="149" t="s">
        <v>1983</v>
      </c>
      <c r="E2779" s="148"/>
      <c r="F2779" s="150" t="s">
        <v>79</v>
      </c>
      <c r="G2779" s="150" t="s">
        <v>79</v>
      </c>
      <c r="H2779" s="151" t="s">
        <v>79</v>
      </c>
      <c r="I2779" s="117">
        <f>SUM(I2780:I2829)</f>
      </c>
      <c r="J2779" s="132" t="s">
        <v>4</v>
      </c>
      <c r="K2779" s="146"/>
      <c r="AI2779" s="132" t="s">
        <v>91</v>
      </c>
      <c r="AS2779" s="117">
        <f>SUM(AJ2780:AJ2829)</f>
      </c>
      <c r="AT2779" s="117">
        <f>SUM(AK2780:AK2829)</f>
      </c>
      <c r="AU2779" s="117">
        <f>SUM(AL2780:AL2829)</f>
      </c>
    </row>
    <row r="2780">
      <c r="A2780" s="9" t="s">
        <v>4443</v>
      </c>
      <c r="B2780" s="10" t="s">
        <v>91</v>
      </c>
      <c r="C2780" s="10" t="s">
        <v>4444</v>
      </c>
      <c r="D2780" s="14" t="s">
        <v>4445</v>
      </c>
      <c r="E2780" s="10"/>
      <c r="F2780" s="10" t="s">
        <v>282</v>
      </c>
      <c r="G2780" s="111" t="n">
        <v>283.1</v>
      </c>
      <c r="H2780" s="152" t="n">
        <v>0</v>
      </c>
      <c r="I2780" s="111">
        <f>G2780*H2780</f>
      </c>
      <c r="J2780" s="153" t="s">
        <v>4</v>
      </c>
      <c r="K2780" s="146"/>
      <c r="Z2780" s="111">
        <f>IF(AQ2780="5",BJ2780,0)</f>
      </c>
      <c r="AB2780" s="111">
        <f>IF(AQ2780="1",BH2780,0)</f>
      </c>
      <c r="AC2780" s="111">
        <f>IF(AQ2780="1",BI2780,0)</f>
      </c>
      <c r="AD2780" s="111">
        <f>IF(AQ2780="7",BH2780,0)</f>
      </c>
      <c r="AE2780" s="111">
        <f>IF(AQ2780="7",BI2780,0)</f>
      </c>
      <c r="AF2780" s="111">
        <f>IF(AQ2780="2",BH2780,0)</f>
      </c>
      <c r="AG2780" s="111">
        <f>IF(AQ2780="2",BI2780,0)</f>
      </c>
      <c r="AH2780" s="111">
        <f>IF(AQ2780="0",BJ2780,0)</f>
      </c>
      <c r="AI2780" s="132" t="s">
        <v>91</v>
      </c>
      <c r="AJ2780" s="111">
        <f>IF(AN2780=0,I2780,0)</f>
      </c>
      <c r="AK2780" s="111">
        <f>IF(AN2780=12,I2780,0)</f>
      </c>
      <c r="AL2780" s="111">
        <f>IF(AN2780=21,I2780,0)</f>
      </c>
      <c r="AN2780" s="111" t="n">
        <v>21</v>
      </c>
      <c r="AO2780" s="111">
        <f>H2780*0</f>
      </c>
      <c r="AP2780" s="111">
        <f>H2780*(1-0)</f>
      </c>
      <c r="AQ2780" s="153" t="s">
        <v>173</v>
      </c>
      <c r="AV2780" s="111">
        <f>AW2780+AX2780</f>
      </c>
      <c r="AW2780" s="111">
        <f>G2780*AO2780</f>
      </c>
      <c r="AX2780" s="111">
        <f>G2780*AP2780</f>
      </c>
      <c r="AY2780" s="153" t="s">
        <v>1987</v>
      </c>
      <c r="AZ2780" s="153" t="s">
        <v>4215</v>
      </c>
      <c r="BA2780" s="132" t="s">
        <v>4138</v>
      </c>
      <c r="BC2780" s="111">
        <f>AW2780+AX2780</f>
      </c>
      <c r="BD2780" s="111">
        <f>H2780/(100-BE2780)*100</f>
      </c>
      <c r="BE2780" s="111" t="n">
        <v>0</v>
      </c>
      <c r="BF2780" s="111">
        <f>2780</f>
      </c>
      <c r="BH2780" s="111">
        <f>G2780*AO2780</f>
      </c>
      <c r="BI2780" s="111">
        <f>G2780*AP2780</f>
      </c>
      <c r="BJ2780" s="111">
        <f>G2780*H2780</f>
      </c>
      <c r="BK2780" s="111"/>
      <c r="BL2780" s="111" t="n">
        <v>736</v>
      </c>
      <c r="BW2780" s="111" t="n">
        <v>21</v>
      </c>
      <c r="BX2780" s="14" t="s">
        <v>4445</v>
      </c>
    </row>
    <row r="2781">
      <c r="A2781" s="154"/>
      <c r="B2781" s="155"/>
      <c r="C2781" s="155"/>
      <c r="D2781" s="156" t="s">
        <v>4446</v>
      </c>
      <c r="E2781" s="156" t="s">
        <v>4447</v>
      </c>
      <c r="F2781" s="155"/>
      <c r="G2781" s="157" t="n">
        <v>212</v>
      </c>
      <c r="H2781" s="158"/>
      <c r="I2781" s="155"/>
      <c r="J2781" s="155"/>
      <c r="K2781" s="146"/>
    </row>
    <row r="2782">
      <c r="A2782" s="154"/>
      <c r="B2782" s="155"/>
      <c r="C2782" s="155"/>
      <c r="D2782" s="156" t="s">
        <v>4448</v>
      </c>
      <c r="E2782" s="156" t="s">
        <v>4449</v>
      </c>
      <c r="F2782" s="155"/>
      <c r="G2782" s="157" t="n">
        <v>71.1</v>
      </c>
      <c r="H2782" s="158"/>
      <c r="I2782" s="155"/>
      <c r="J2782" s="155"/>
      <c r="K2782" s="146"/>
    </row>
    <row r="2783" ht="24.75">
      <c r="A2783" s="9" t="s">
        <v>4450</v>
      </c>
      <c r="B2783" s="10" t="s">
        <v>91</v>
      </c>
      <c r="C2783" s="10" t="s">
        <v>4451</v>
      </c>
      <c r="D2783" s="14" t="s">
        <v>4452</v>
      </c>
      <c r="E2783" s="10"/>
      <c r="F2783" s="10" t="s">
        <v>145</v>
      </c>
      <c r="G2783" s="111" t="n">
        <v>300</v>
      </c>
      <c r="H2783" s="152" t="n">
        <v>0</v>
      </c>
      <c r="I2783" s="111">
        <f>G2783*H2783</f>
      </c>
      <c r="J2783" s="153" t="s">
        <v>4</v>
      </c>
      <c r="K2783" s="146"/>
      <c r="Z2783" s="111">
        <f>IF(AQ2783="5",BJ2783,0)</f>
      </c>
      <c r="AB2783" s="111">
        <f>IF(AQ2783="1",BH2783,0)</f>
      </c>
      <c r="AC2783" s="111">
        <f>IF(AQ2783="1",BI2783,0)</f>
      </c>
      <c r="AD2783" s="111">
        <f>IF(AQ2783="7",BH2783,0)</f>
      </c>
      <c r="AE2783" s="111">
        <f>IF(AQ2783="7",BI2783,0)</f>
      </c>
      <c r="AF2783" s="111">
        <f>IF(AQ2783="2",BH2783,0)</f>
      </c>
      <c r="AG2783" s="111">
        <f>IF(AQ2783="2",BI2783,0)</f>
      </c>
      <c r="AH2783" s="111">
        <f>IF(AQ2783="0",BJ2783,0)</f>
      </c>
      <c r="AI2783" s="132" t="s">
        <v>91</v>
      </c>
      <c r="AJ2783" s="111">
        <f>IF(AN2783=0,I2783,0)</f>
      </c>
      <c r="AK2783" s="111">
        <f>IF(AN2783=12,I2783,0)</f>
      </c>
      <c r="AL2783" s="111">
        <f>IF(AN2783=21,I2783,0)</f>
      </c>
      <c r="AN2783" s="111" t="n">
        <v>21</v>
      </c>
      <c r="AO2783" s="111">
        <f>H2783*0</f>
      </c>
      <c r="AP2783" s="111">
        <f>H2783*(1-0)</f>
      </c>
      <c r="AQ2783" s="153" t="s">
        <v>173</v>
      </c>
      <c r="AV2783" s="111">
        <f>AW2783+AX2783</f>
      </c>
      <c r="AW2783" s="111">
        <f>G2783*AO2783</f>
      </c>
      <c r="AX2783" s="111">
        <f>G2783*AP2783</f>
      </c>
      <c r="AY2783" s="153" t="s">
        <v>1987</v>
      </c>
      <c r="AZ2783" s="153" t="s">
        <v>4215</v>
      </c>
      <c r="BA2783" s="132" t="s">
        <v>4138</v>
      </c>
      <c r="BC2783" s="111">
        <f>AW2783+AX2783</f>
      </c>
      <c r="BD2783" s="111">
        <f>H2783/(100-BE2783)*100</f>
      </c>
      <c r="BE2783" s="111" t="n">
        <v>0</v>
      </c>
      <c r="BF2783" s="111">
        <f>2783</f>
      </c>
      <c r="BH2783" s="111">
        <f>G2783*AO2783</f>
      </c>
      <c r="BI2783" s="111">
        <f>G2783*AP2783</f>
      </c>
      <c r="BJ2783" s="111">
        <f>G2783*H2783</f>
      </c>
      <c r="BK2783" s="111"/>
      <c r="BL2783" s="111" t="n">
        <v>736</v>
      </c>
      <c r="BW2783" s="111" t="n">
        <v>21</v>
      </c>
      <c r="BX2783" s="14" t="s">
        <v>4452</v>
      </c>
    </row>
    <row r="2784" ht="24.75">
      <c r="A2784" s="9" t="s">
        <v>4453</v>
      </c>
      <c r="B2784" s="10" t="s">
        <v>91</v>
      </c>
      <c r="C2784" s="10" t="s">
        <v>4454</v>
      </c>
      <c r="D2784" s="14" t="s">
        <v>4455</v>
      </c>
      <c r="E2784" s="10"/>
      <c r="F2784" s="10" t="s">
        <v>145</v>
      </c>
      <c r="G2784" s="111" t="n">
        <v>308.4</v>
      </c>
      <c r="H2784" s="152" t="n">
        <v>0</v>
      </c>
      <c r="I2784" s="111">
        <f>G2784*H2784</f>
      </c>
      <c r="J2784" s="153" t="s">
        <v>4</v>
      </c>
      <c r="K2784" s="146"/>
      <c r="Z2784" s="111">
        <f>IF(AQ2784="5",BJ2784,0)</f>
      </c>
      <c r="AB2784" s="111">
        <f>IF(AQ2784="1",BH2784,0)</f>
      </c>
      <c r="AC2784" s="111">
        <f>IF(AQ2784="1",BI2784,0)</f>
      </c>
      <c r="AD2784" s="111">
        <f>IF(AQ2784="7",BH2784,0)</f>
      </c>
      <c r="AE2784" s="111">
        <f>IF(AQ2784="7",BI2784,0)</f>
      </c>
      <c r="AF2784" s="111">
        <f>IF(AQ2784="2",BH2784,0)</f>
      </c>
      <c r="AG2784" s="111">
        <f>IF(AQ2784="2",BI2784,0)</f>
      </c>
      <c r="AH2784" s="111">
        <f>IF(AQ2784="0",BJ2784,0)</f>
      </c>
      <c r="AI2784" s="132" t="s">
        <v>91</v>
      </c>
      <c r="AJ2784" s="111">
        <f>IF(AN2784=0,I2784,0)</f>
      </c>
      <c r="AK2784" s="111">
        <f>IF(AN2784=12,I2784,0)</f>
      </c>
      <c r="AL2784" s="111">
        <f>IF(AN2784=21,I2784,0)</f>
      </c>
      <c r="AN2784" s="111" t="n">
        <v>21</v>
      </c>
      <c r="AO2784" s="111">
        <f>H2784*0</f>
      </c>
      <c r="AP2784" s="111">
        <f>H2784*(1-0)</f>
      </c>
      <c r="AQ2784" s="153" t="s">
        <v>173</v>
      </c>
      <c r="AV2784" s="111">
        <f>AW2784+AX2784</f>
      </c>
      <c r="AW2784" s="111">
        <f>G2784*AO2784</f>
      </c>
      <c r="AX2784" s="111">
        <f>G2784*AP2784</f>
      </c>
      <c r="AY2784" s="153" t="s">
        <v>1987</v>
      </c>
      <c r="AZ2784" s="153" t="s">
        <v>4215</v>
      </c>
      <c r="BA2784" s="132" t="s">
        <v>4138</v>
      </c>
      <c r="BC2784" s="111">
        <f>AW2784+AX2784</f>
      </c>
      <c r="BD2784" s="111">
        <f>H2784/(100-BE2784)*100</f>
      </c>
      <c r="BE2784" s="111" t="n">
        <v>0</v>
      </c>
      <c r="BF2784" s="111">
        <f>2784</f>
      </c>
      <c r="BH2784" s="111">
        <f>G2784*AO2784</f>
      </c>
      <c r="BI2784" s="111">
        <f>G2784*AP2784</f>
      </c>
      <c r="BJ2784" s="111">
        <f>G2784*H2784</f>
      </c>
      <c r="BK2784" s="111"/>
      <c r="BL2784" s="111" t="n">
        <v>736</v>
      </c>
      <c r="BW2784" s="111" t="n">
        <v>21</v>
      </c>
      <c r="BX2784" s="14" t="s">
        <v>4455</v>
      </c>
    </row>
    <row r="2785">
      <c r="A2785" s="154"/>
      <c r="B2785" s="155"/>
      <c r="C2785" s="155"/>
      <c r="D2785" s="156" t="s">
        <v>4456</v>
      </c>
      <c r="E2785" s="156" t="s">
        <v>4457</v>
      </c>
      <c r="F2785" s="155"/>
      <c r="G2785" s="157" t="n">
        <v>159.3</v>
      </c>
      <c r="H2785" s="158"/>
      <c r="I2785" s="155"/>
      <c r="J2785" s="155"/>
      <c r="K2785" s="146"/>
    </row>
    <row r="2786">
      <c r="A2786" s="154"/>
      <c r="B2786" s="155"/>
      <c r="C2786" s="155"/>
      <c r="D2786" s="156" t="s">
        <v>4458</v>
      </c>
      <c r="E2786" s="156" t="s">
        <v>4459</v>
      </c>
      <c r="F2786" s="155"/>
      <c r="G2786" s="157" t="n">
        <v>99.5</v>
      </c>
      <c r="H2786" s="158"/>
      <c r="I2786" s="155"/>
      <c r="J2786" s="155"/>
      <c r="K2786" s="146"/>
    </row>
    <row r="2787">
      <c r="A2787" s="154"/>
      <c r="B2787" s="155"/>
      <c r="C2787" s="155"/>
      <c r="D2787" s="156" t="s">
        <v>4460</v>
      </c>
      <c r="E2787" s="156" t="s">
        <v>4461</v>
      </c>
      <c r="F2787" s="155"/>
      <c r="G2787" s="157" t="n">
        <v>21.1</v>
      </c>
      <c r="H2787" s="158"/>
      <c r="I2787" s="155"/>
      <c r="J2787" s="155"/>
      <c r="K2787" s="146"/>
    </row>
    <row r="2788">
      <c r="A2788" s="154"/>
      <c r="B2788" s="155"/>
      <c r="C2788" s="155"/>
      <c r="D2788" s="156" t="s">
        <v>4462</v>
      </c>
      <c r="E2788" s="156" t="s">
        <v>4463</v>
      </c>
      <c r="F2788" s="155"/>
      <c r="G2788" s="157" t="n">
        <v>3.6</v>
      </c>
      <c r="H2788" s="158"/>
      <c r="I2788" s="155"/>
      <c r="J2788" s="155"/>
      <c r="K2788" s="146"/>
    </row>
    <row r="2789">
      <c r="A2789" s="154"/>
      <c r="B2789" s="155"/>
      <c r="C2789" s="155"/>
      <c r="D2789" s="156" t="s">
        <v>4464</v>
      </c>
      <c r="E2789" s="156" t="s">
        <v>4465</v>
      </c>
      <c r="F2789" s="155"/>
      <c r="G2789" s="157" t="n">
        <v>24.9</v>
      </c>
      <c r="H2789" s="158"/>
      <c r="I2789" s="155"/>
      <c r="J2789" s="155"/>
      <c r="K2789" s="146"/>
    </row>
    <row r="2790" ht="24.75">
      <c r="A2790" s="9" t="s">
        <v>4466</v>
      </c>
      <c r="B2790" s="10" t="s">
        <v>91</v>
      </c>
      <c r="C2790" s="10" t="s">
        <v>4467</v>
      </c>
      <c r="D2790" s="14" t="s">
        <v>4468</v>
      </c>
      <c r="E2790" s="10"/>
      <c r="F2790" s="10" t="s">
        <v>145</v>
      </c>
      <c r="G2790" s="111" t="n">
        <v>24.9</v>
      </c>
      <c r="H2790" s="152" t="n">
        <v>0</v>
      </c>
      <c r="I2790" s="111">
        <f>G2790*H2790</f>
      </c>
      <c r="J2790" s="153" t="s">
        <v>4</v>
      </c>
      <c r="K2790" s="146"/>
      <c r="Z2790" s="111">
        <f>IF(AQ2790="5",BJ2790,0)</f>
      </c>
      <c r="AB2790" s="111">
        <f>IF(AQ2790="1",BH2790,0)</f>
      </c>
      <c r="AC2790" s="111">
        <f>IF(AQ2790="1",BI2790,0)</f>
      </c>
      <c r="AD2790" s="111">
        <f>IF(AQ2790="7",BH2790,0)</f>
      </c>
      <c r="AE2790" s="111">
        <f>IF(AQ2790="7",BI2790,0)</f>
      </c>
      <c r="AF2790" s="111">
        <f>IF(AQ2790="2",BH2790,0)</f>
      </c>
      <c r="AG2790" s="111">
        <f>IF(AQ2790="2",BI2790,0)</f>
      </c>
      <c r="AH2790" s="111">
        <f>IF(AQ2790="0",BJ2790,0)</f>
      </c>
      <c r="AI2790" s="132" t="s">
        <v>91</v>
      </c>
      <c r="AJ2790" s="111">
        <f>IF(AN2790=0,I2790,0)</f>
      </c>
      <c r="AK2790" s="111">
        <f>IF(AN2790=12,I2790,0)</f>
      </c>
      <c r="AL2790" s="111">
        <f>IF(AN2790=21,I2790,0)</f>
      </c>
      <c r="AN2790" s="111" t="n">
        <v>21</v>
      </c>
      <c r="AO2790" s="111">
        <f>H2790*0</f>
      </c>
      <c r="AP2790" s="111">
        <f>H2790*(1-0)</f>
      </c>
      <c r="AQ2790" s="153" t="s">
        <v>173</v>
      </c>
      <c r="AV2790" s="111">
        <f>AW2790+AX2790</f>
      </c>
      <c r="AW2790" s="111">
        <f>G2790*AO2790</f>
      </c>
      <c r="AX2790" s="111">
        <f>G2790*AP2790</f>
      </c>
      <c r="AY2790" s="153" t="s">
        <v>1987</v>
      </c>
      <c r="AZ2790" s="153" t="s">
        <v>4215</v>
      </c>
      <c r="BA2790" s="132" t="s">
        <v>4138</v>
      </c>
      <c r="BC2790" s="111">
        <f>AW2790+AX2790</f>
      </c>
      <c r="BD2790" s="111">
        <f>H2790/(100-BE2790)*100</f>
      </c>
      <c r="BE2790" s="111" t="n">
        <v>0</v>
      </c>
      <c r="BF2790" s="111">
        <f>2790</f>
      </c>
      <c r="BH2790" s="111">
        <f>G2790*AO2790</f>
      </c>
      <c r="BI2790" s="111">
        <f>G2790*AP2790</f>
      </c>
      <c r="BJ2790" s="111">
        <f>G2790*H2790</f>
      </c>
      <c r="BK2790" s="111"/>
      <c r="BL2790" s="111" t="n">
        <v>736</v>
      </c>
      <c r="BW2790" s="111" t="n">
        <v>21</v>
      </c>
      <c r="BX2790" s="14" t="s">
        <v>4468</v>
      </c>
    </row>
    <row r="2791">
      <c r="A2791" s="154"/>
      <c r="B2791" s="155"/>
      <c r="C2791" s="155"/>
      <c r="D2791" s="156" t="s">
        <v>4469</v>
      </c>
      <c r="E2791" s="156" t="s">
        <v>4470</v>
      </c>
      <c r="F2791" s="155"/>
      <c r="G2791" s="157" t="n">
        <v>7.6</v>
      </c>
      <c r="H2791" s="158"/>
      <c r="I2791" s="155"/>
      <c r="J2791" s="155"/>
      <c r="K2791" s="146"/>
    </row>
    <row r="2792">
      <c r="A2792" s="154"/>
      <c r="B2792" s="155"/>
      <c r="C2792" s="155"/>
      <c r="D2792" s="156" t="s">
        <v>4471</v>
      </c>
      <c r="E2792" s="156" t="s">
        <v>4472</v>
      </c>
      <c r="F2792" s="155"/>
      <c r="G2792" s="157" t="n">
        <v>6.1</v>
      </c>
      <c r="H2792" s="158"/>
      <c r="I2792" s="155"/>
      <c r="J2792" s="155"/>
      <c r="K2792" s="146"/>
    </row>
    <row r="2793">
      <c r="A2793" s="154"/>
      <c r="B2793" s="155"/>
      <c r="C2793" s="155"/>
      <c r="D2793" s="156" t="s">
        <v>4473</v>
      </c>
      <c r="E2793" s="156" t="s">
        <v>4474</v>
      </c>
      <c r="F2793" s="155"/>
      <c r="G2793" s="157" t="n">
        <v>7.4</v>
      </c>
      <c r="H2793" s="158"/>
      <c r="I2793" s="155"/>
      <c r="J2793" s="155"/>
      <c r="K2793" s="146"/>
    </row>
    <row r="2794">
      <c r="A2794" s="154"/>
      <c r="B2794" s="155"/>
      <c r="C2794" s="155"/>
      <c r="D2794" s="156" t="s">
        <v>4475</v>
      </c>
      <c r="E2794" s="156" t="s">
        <v>4476</v>
      </c>
      <c r="F2794" s="155"/>
      <c r="G2794" s="157" t="n">
        <v>3.8</v>
      </c>
      <c r="H2794" s="158"/>
      <c r="I2794" s="155"/>
      <c r="J2794" s="155"/>
      <c r="K2794" s="146"/>
    </row>
    <row r="2795" ht="24.75">
      <c r="A2795" s="9" t="s">
        <v>4477</v>
      </c>
      <c r="B2795" s="10" t="s">
        <v>91</v>
      </c>
      <c r="C2795" s="10" t="s">
        <v>4478</v>
      </c>
      <c r="D2795" s="14" t="s">
        <v>4479</v>
      </c>
      <c r="E2795" s="10"/>
      <c r="F2795" s="10" t="s">
        <v>145</v>
      </c>
      <c r="G2795" s="111" t="n">
        <v>3.6</v>
      </c>
      <c r="H2795" s="152" t="n">
        <v>0</v>
      </c>
      <c r="I2795" s="111">
        <f>G2795*H2795</f>
      </c>
      <c r="J2795" s="153" t="s">
        <v>4</v>
      </c>
      <c r="K2795" s="146"/>
      <c r="Z2795" s="111">
        <f>IF(AQ2795="5",BJ2795,0)</f>
      </c>
      <c r="AB2795" s="111">
        <f>IF(AQ2795="1",BH2795,0)</f>
      </c>
      <c r="AC2795" s="111">
        <f>IF(AQ2795="1",BI2795,0)</f>
      </c>
      <c r="AD2795" s="111">
        <f>IF(AQ2795="7",BH2795,0)</f>
      </c>
      <c r="AE2795" s="111">
        <f>IF(AQ2795="7",BI2795,0)</f>
      </c>
      <c r="AF2795" s="111">
        <f>IF(AQ2795="2",BH2795,0)</f>
      </c>
      <c r="AG2795" s="111">
        <f>IF(AQ2795="2",BI2795,0)</f>
      </c>
      <c r="AH2795" s="111">
        <f>IF(AQ2795="0",BJ2795,0)</f>
      </c>
      <c r="AI2795" s="132" t="s">
        <v>91</v>
      </c>
      <c r="AJ2795" s="111">
        <f>IF(AN2795=0,I2795,0)</f>
      </c>
      <c r="AK2795" s="111">
        <f>IF(AN2795=12,I2795,0)</f>
      </c>
      <c r="AL2795" s="111">
        <f>IF(AN2795=21,I2795,0)</f>
      </c>
      <c r="AN2795" s="111" t="n">
        <v>21</v>
      </c>
      <c r="AO2795" s="111">
        <f>H2795*0</f>
      </c>
      <c r="AP2795" s="111">
        <f>H2795*(1-0)</f>
      </c>
      <c r="AQ2795" s="153" t="s">
        <v>173</v>
      </c>
      <c r="AV2795" s="111">
        <f>AW2795+AX2795</f>
      </c>
      <c r="AW2795" s="111">
        <f>G2795*AO2795</f>
      </c>
      <c r="AX2795" s="111">
        <f>G2795*AP2795</f>
      </c>
      <c r="AY2795" s="153" t="s">
        <v>1987</v>
      </c>
      <c r="AZ2795" s="153" t="s">
        <v>4215</v>
      </c>
      <c r="BA2795" s="132" t="s">
        <v>4138</v>
      </c>
      <c r="BC2795" s="111">
        <f>AW2795+AX2795</f>
      </c>
      <c r="BD2795" s="111">
        <f>H2795/(100-BE2795)*100</f>
      </c>
      <c r="BE2795" s="111" t="n">
        <v>0</v>
      </c>
      <c r="BF2795" s="111">
        <f>2795</f>
      </c>
      <c r="BH2795" s="111">
        <f>G2795*AO2795</f>
      </c>
      <c r="BI2795" s="111">
        <f>G2795*AP2795</f>
      </c>
      <c r="BJ2795" s="111">
        <f>G2795*H2795</f>
      </c>
      <c r="BK2795" s="111"/>
      <c r="BL2795" s="111" t="n">
        <v>736</v>
      </c>
      <c r="BW2795" s="111" t="n">
        <v>21</v>
      </c>
      <c r="BX2795" s="14" t="s">
        <v>4479</v>
      </c>
    </row>
    <row r="2796">
      <c r="A2796" s="154"/>
      <c r="B2796" s="155"/>
      <c r="C2796" s="155"/>
      <c r="D2796" s="156" t="s">
        <v>4462</v>
      </c>
      <c r="E2796" s="156" t="s">
        <v>4480</v>
      </c>
      <c r="F2796" s="155"/>
      <c r="G2796" s="157" t="n">
        <v>3.6</v>
      </c>
      <c r="H2796" s="158"/>
      <c r="I2796" s="155"/>
      <c r="J2796" s="155"/>
      <c r="K2796" s="146"/>
    </row>
    <row r="2797" ht="24.75">
      <c r="A2797" s="9" t="s">
        <v>4481</v>
      </c>
      <c r="B2797" s="10" t="s">
        <v>91</v>
      </c>
      <c r="C2797" s="10" t="s">
        <v>4482</v>
      </c>
      <c r="D2797" s="14" t="s">
        <v>4483</v>
      </c>
      <c r="E2797" s="10"/>
      <c r="F2797" s="10" t="s">
        <v>145</v>
      </c>
      <c r="G2797" s="111" t="n">
        <v>21.1</v>
      </c>
      <c r="H2797" s="152" t="n">
        <v>0</v>
      </c>
      <c r="I2797" s="111">
        <f>G2797*H2797</f>
      </c>
      <c r="J2797" s="153" t="s">
        <v>4</v>
      </c>
      <c r="K2797" s="146"/>
      <c r="Z2797" s="111">
        <f>IF(AQ2797="5",BJ2797,0)</f>
      </c>
      <c r="AB2797" s="111">
        <f>IF(AQ2797="1",BH2797,0)</f>
      </c>
      <c r="AC2797" s="111">
        <f>IF(AQ2797="1",BI2797,0)</f>
      </c>
      <c r="AD2797" s="111">
        <f>IF(AQ2797="7",BH2797,0)</f>
      </c>
      <c r="AE2797" s="111">
        <f>IF(AQ2797="7",BI2797,0)</f>
      </c>
      <c r="AF2797" s="111">
        <f>IF(AQ2797="2",BH2797,0)</f>
      </c>
      <c r="AG2797" s="111">
        <f>IF(AQ2797="2",BI2797,0)</f>
      </c>
      <c r="AH2797" s="111">
        <f>IF(AQ2797="0",BJ2797,0)</f>
      </c>
      <c r="AI2797" s="132" t="s">
        <v>91</v>
      </c>
      <c r="AJ2797" s="111">
        <f>IF(AN2797=0,I2797,0)</f>
      </c>
      <c r="AK2797" s="111">
        <f>IF(AN2797=12,I2797,0)</f>
      </c>
      <c r="AL2797" s="111">
        <f>IF(AN2797=21,I2797,0)</f>
      </c>
      <c r="AN2797" s="111" t="n">
        <v>21</v>
      </c>
      <c r="AO2797" s="111">
        <f>H2797*0</f>
      </c>
      <c r="AP2797" s="111">
        <f>H2797*(1-0)</f>
      </c>
      <c r="AQ2797" s="153" t="s">
        <v>173</v>
      </c>
      <c r="AV2797" s="111">
        <f>AW2797+AX2797</f>
      </c>
      <c r="AW2797" s="111">
        <f>G2797*AO2797</f>
      </c>
      <c r="AX2797" s="111">
        <f>G2797*AP2797</f>
      </c>
      <c r="AY2797" s="153" t="s">
        <v>1987</v>
      </c>
      <c r="AZ2797" s="153" t="s">
        <v>4215</v>
      </c>
      <c r="BA2797" s="132" t="s">
        <v>4138</v>
      </c>
      <c r="BC2797" s="111">
        <f>AW2797+AX2797</f>
      </c>
      <c r="BD2797" s="111">
        <f>H2797/(100-BE2797)*100</f>
      </c>
      <c r="BE2797" s="111" t="n">
        <v>0</v>
      </c>
      <c r="BF2797" s="111">
        <f>2797</f>
      </c>
      <c r="BH2797" s="111">
        <f>G2797*AO2797</f>
      </c>
      <c r="BI2797" s="111">
        <f>G2797*AP2797</f>
      </c>
      <c r="BJ2797" s="111">
        <f>G2797*H2797</f>
      </c>
      <c r="BK2797" s="111"/>
      <c r="BL2797" s="111" t="n">
        <v>736</v>
      </c>
      <c r="BW2797" s="111" t="n">
        <v>21</v>
      </c>
      <c r="BX2797" s="14" t="s">
        <v>4483</v>
      </c>
    </row>
    <row r="2798">
      <c r="A2798" s="154"/>
      <c r="B2798" s="155"/>
      <c r="C2798" s="155"/>
      <c r="D2798" s="156" t="s">
        <v>4484</v>
      </c>
      <c r="E2798" s="156" t="s">
        <v>4485</v>
      </c>
      <c r="F2798" s="155"/>
      <c r="G2798" s="157" t="n">
        <v>4</v>
      </c>
      <c r="H2798" s="158"/>
      <c r="I2798" s="155"/>
      <c r="J2798" s="155"/>
      <c r="K2798" s="146"/>
    </row>
    <row r="2799">
      <c r="A2799" s="154"/>
      <c r="B2799" s="155"/>
      <c r="C2799" s="155"/>
      <c r="D2799" s="156" t="s">
        <v>4486</v>
      </c>
      <c r="E2799" s="156" t="s">
        <v>4487</v>
      </c>
      <c r="F2799" s="155"/>
      <c r="G2799" s="157" t="n">
        <v>13.3</v>
      </c>
      <c r="H2799" s="158"/>
      <c r="I2799" s="155"/>
      <c r="J2799" s="155"/>
      <c r="K2799" s="146"/>
    </row>
    <row r="2800">
      <c r="A2800" s="154"/>
      <c r="B2800" s="155"/>
      <c r="C2800" s="155"/>
      <c r="D2800" s="156" t="s">
        <v>4475</v>
      </c>
      <c r="E2800" s="156" t="s">
        <v>4488</v>
      </c>
      <c r="F2800" s="155"/>
      <c r="G2800" s="157" t="n">
        <v>3.8</v>
      </c>
      <c r="H2800" s="158"/>
      <c r="I2800" s="155"/>
      <c r="J2800" s="155"/>
      <c r="K2800" s="146"/>
    </row>
    <row r="2801" ht="24.75">
      <c r="A2801" s="9" t="s">
        <v>4489</v>
      </c>
      <c r="B2801" s="10" t="s">
        <v>91</v>
      </c>
      <c r="C2801" s="10" t="s">
        <v>4490</v>
      </c>
      <c r="D2801" s="14" t="s">
        <v>4491</v>
      </c>
      <c r="E2801" s="10"/>
      <c r="F2801" s="10" t="s">
        <v>145</v>
      </c>
      <c r="G2801" s="111" t="n">
        <v>99.5</v>
      </c>
      <c r="H2801" s="152" t="n">
        <v>0</v>
      </c>
      <c r="I2801" s="111">
        <f>G2801*H2801</f>
      </c>
      <c r="J2801" s="153" t="s">
        <v>4</v>
      </c>
      <c r="K2801" s="146"/>
      <c r="Z2801" s="111">
        <f>IF(AQ2801="5",BJ2801,0)</f>
      </c>
      <c r="AB2801" s="111">
        <f>IF(AQ2801="1",BH2801,0)</f>
      </c>
      <c r="AC2801" s="111">
        <f>IF(AQ2801="1",BI2801,0)</f>
      </c>
      <c r="AD2801" s="111">
        <f>IF(AQ2801="7",BH2801,0)</f>
      </c>
      <c r="AE2801" s="111">
        <f>IF(AQ2801="7",BI2801,0)</f>
      </c>
      <c r="AF2801" s="111">
        <f>IF(AQ2801="2",BH2801,0)</f>
      </c>
      <c r="AG2801" s="111">
        <f>IF(AQ2801="2",BI2801,0)</f>
      </c>
      <c r="AH2801" s="111">
        <f>IF(AQ2801="0",BJ2801,0)</f>
      </c>
      <c r="AI2801" s="132" t="s">
        <v>91</v>
      </c>
      <c r="AJ2801" s="111">
        <f>IF(AN2801=0,I2801,0)</f>
      </c>
      <c r="AK2801" s="111">
        <f>IF(AN2801=12,I2801,0)</f>
      </c>
      <c r="AL2801" s="111">
        <f>IF(AN2801=21,I2801,0)</f>
      </c>
      <c r="AN2801" s="111" t="n">
        <v>21</v>
      </c>
      <c r="AO2801" s="111">
        <f>H2801*0</f>
      </c>
      <c r="AP2801" s="111">
        <f>H2801*(1-0)</f>
      </c>
      <c r="AQ2801" s="153" t="s">
        <v>173</v>
      </c>
      <c r="AV2801" s="111">
        <f>AW2801+AX2801</f>
      </c>
      <c r="AW2801" s="111">
        <f>G2801*AO2801</f>
      </c>
      <c r="AX2801" s="111">
        <f>G2801*AP2801</f>
      </c>
      <c r="AY2801" s="153" t="s">
        <v>1987</v>
      </c>
      <c r="AZ2801" s="153" t="s">
        <v>4215</v>
      </c>
      <c r="BA2801" s="132" t="s">
        <v>4138</v>
      </c>
      <c r="BC2801" s="111">
        <f>AW2801+AX2801</f>
      </c>
      <c r="BD2801" s="111">
        <f>H2801/(100-BE2801)*100</f>
      </c>
      <c r="BE2801" s="111" t="n">
        <v>0</v>
      </c>
      <c r="BF2801" s="111">
        <f>2801</f>
      </c>
      <c r="BH2801" s="111">
        <f>G2801*AO2801</f>
      </c>
      <c r="BI2801" s="111">
        <f>G2801*AP2801</f>
      </c>
      <c r="BJ2801" s="111">
        <f>G2801*H2801</f>
      </c>
      <c r="BK2801" s="111"/>
      <c r="BL2801" s="111" t="n">
        <v>736</v>
      </c>
      <c r="BW2801" s="111" t="n">
        <v>21</v>
      </c>
      <c r="BX2801" s="14" t="s">
        <v>4491</v>
      </c>
    </row>
    <row r="2802">
      <c r="A2802" s="154"/>
      <c r="B2802" s="155"/>
      <c r="C2802" s="155"/>
      <c r="D2802" s="156" t="s">
        <v>4194</v>
      </c>
      <c r="E2802" s="156" t="s">
        <v>4492</v>
      </c>
      <c r="F2802" s="155"/>
      <c r="G2802" s="157" t="n">
        <v>10</v>
      </c>
      <c r="H2802" s="158"/>
      <c r="I2802" s="155"/>
      <c r="J2802" s="155"/>
      <c r="K2802" s="146"/>
    </row>
    <row r="2803">
      <c r="A2803" s="154"/>
      <c r="B2803" s="155"/>
      <c r="C2803" s="155"/>
      <c r="D2803" s="156" t="s">
        <v>4493</v>
      </c>
      <c r="E2803" s="156" t="s">
        <v>4494</v>
      </c>
      <c r="F2803" s="155"/>
      <c r="G2803" s="157" t="n">
        <v>15</v>
      </c>
      <c r="H2803" s="158"/>
      <c r="I2803" s="155"/>
      <c r="J2803" s="155"/>
      <c r="K2803" s="146"/>
    </row>
    <row r="2804">
      <c r="A2804" s="154"/>
      <c r="B2804" s="155"/>
      <c r="C2804" s="155"/>
      <c r="D2804" s="156" t="s">
        <v>4495</v>
      </c>
      <c r="E2804" s="156" t="s">
        <v>4496</v>
      </c>
      <c r="F2804" s="155"/>
      <c r="G2804" s="157" t="n">
        <v>74.5</v>
      </c>
      <c r="H2804" s="158"/>
      <c r="I2804" s="155"/>
      <c r="J2804" s="155"/>
      <c r="K2804" s="146"/>
    </row>
    <row r="2805" ht="24.75">
      <c r="A2805" s="9" t="s">
        <v>4497</v>
      </c>
      <c r="B2805" s="10" t="s">
        <v>91</v>
      </c>
      <c r="C2805" s="10" t="s">
        <v>4498</v>
      </c>
      <c r="D2805" s="14" t="s">
        <v>4499</v>
      </c>
      <c r="E2805" s="10"/>
      <c r="F2805" s="10" t="s">
        <v>145</v>
      </c>
      <c r="G2805" s="111" t="n">
        <v>159.3</v>
      </c>
      <c r="H2805" s="152" t="n">
        <v>0</v>
      </c>
      <c r="I2805" s="111">
        <f>G2805*H2805</f>
      </c>
      <c r="J2805" s="153" t="s">
        <v>4</v>
      </c>
      <c r="K2805" s="146"/>
      <c r="Z2805" s="111">
        <f>IF(AQ2805="5",BJ2805,0)</f>
      </c>
      <c r="AB2805" s="111">
        <f>IF(AQ2805="1",BH2805,0)</f>
      </c>
      <c r="AC2805" s="111">
        <f>IF(AQ2805="1",BI2805,0)</f>
      </c>
      <c r="AD2805" s="111">
        <f>IF(AQ2805="7",BH2805,0)</f>
      </c>
      <c r="AE2805" s="111">
        <f>IF(AQ2805="7",BI2805,0)</f>
      </c>
      <c r="AF2805" s="111">
        <f>IF(AQ2805="2",BH2805,0)</f>
      </c>
      <c r="AG2805" s="111">
        <f>IF(AQ2805="2",BI2805,0)</f>
      </c>
      <c r="AH2805" s="111">
        <f>IF(AQ2805="0",BJ2805,0)</f>
      </c>
      <c r="AI2805" s="132" t="s">
        <v>91</v>
      </c>
      <c r="AJ2805" s="111">
        <f>IF(AN2805=0,I2805,0)</f>
      </c>
      <c r="AK2805" s="111">
        <f>IF(AN2805=12,I2805,0)</f>
      </c>
      <c r="AL2805" s="111">
        <f>IF(AN2805=21,I2805,0)</f>
      </c>
      <c r="AN2805" s="111" t="n">
        <v>21</v>
      </c>
      <c r="AO2805" s="111">
        <f>H2805*0</f>
      </c>
      <c r="AP2805" s="111">
        <f>H2805*(1-0)</f>
      </c>
      <c r="AQ2805" s="153" t="s">
        <v>173</v>
      </c>
      <c r="AV2805" s="111">
        <f>AW2805+AX2805</f>
      </c>
      <c r="AW2805" s="111">
        <f>G2805*AO2805</f>
      </c>
      <c r="AX2805" s="111">
        <f>G2805*AP2805</f>
      </c>
      <c r="AY2805" s="153" t="s">
        <v>1987</v>
      </c>
      <c r="AZ2805" s="153" t="s">
        <v>4215</v>
      </c>
      <c r="BA2805" s="132" t="s">
        <v>4138</v>
      </c>
      <c r="BC2805" s="111">
        <f>AW2805+AX2805</f>
      </c>
      <c r="BD2805" s="111">
        <f>H2805/(100-BE2805)*100</f>
      </c>
      <c r="BE2805" s="111" t="n">
        <v>0</v>
      </c>
      <c r="BF2805" s="111">
        <f>2805</f>
      </c>
      <c r="BH2805" s="111">
        <f>G2805*AO2805</f>
      </c>
      <c r="BI2805" s="111">
        <f>G2805*AP2805</f>
      </c>
      <c r="BJ2805" s="111">
        <f>G2805*H2805</f>
      </c>
      <c r="BK2805" s="111"/>
      <c r="BL2805" s="111" t="n">
        <v>736</v>
      </c>
      <c r="BW2805" s="111" t="n">
        <v>21</v>
      </c>
      <c r="BX2805" s="14" t="s">
        <v>4499</v>
      </c>
    </row>
    <row r="2806">
      <c r="A2806" s="154"/>
      <c r="B2806" s="155"/>
      <c r="C2806" s="155"/>
      <c r="D2806" s="156" t="s">
        <v>4500</v>
      </c>
      <c r="E2806" s="156" t="s">
        <v>4501</v>
      </c>
      <c r="F2806" s="155"/>
      <c r="G2806" s="157" t="n">
        <v>9</v>
      </c>
      <c r="H2806" s="158"/>
      <c r="I2806" s="155"/>
      <c r="J2806" s="155"/>
      <c r="K2806" s="146"/>
    </row>
    <row r="2807">
      <c r="A2807" s="154"/>
      <c r="B2807" s="155"/>
      <c r="C2807" s="155"/>
      <c r="D2807" s="156" t="s">
        <v>4502</v>
      </c>
      <c r="E2807" s="156" t="s">
        <v>4503</v>
      </c>
      <c r="F2807" s="155"/>
      <c r="G2807" s="157" t="n">
        <v>9.6</v>
      </c>
      <c r="H2807" s="158"/>
      <c r="I2807" s="155"/>
      <c r="J2807" s="155"/>
      <c r="K2807" s="146"/>
    </row>
    <row r="2808">
      <c r="A2808" s="154"/>
      <c r="B2808" s="155"/>
      <c r="C2808" s="155"/>
      <c r="D2808" s="156" t="s">
        <v>4504</v>
      </c>
      <c r="E2808" s="156" t="s">
        <v>4505</v>
      </c>
      <c r="F2808" s="155"/>
      <c r="G2808" s="157" t="n">
        <v>1.8</v>
      </c>
      <c r="H2808" s="158"/>
      <c r="I2808" s="155"/>
      <c r="J2808" s="155"/>
      <c r="K2808" s="146"/>
    </row>
    <row r="2809">
      <c r="A2809" s="154"/>
      <c r="B2809" s="155"/>
      <c r="C2809" s="155"/>
      <c r="D2809" s="156" t="s">
        <v>4506</v>
      </c>
      <c r="E2809" s="156" t="s">
        <v>4507</v>
      </c>
      <c r="F2809" s="155"/>
      <c r="G2809" s="157" t="n">
        <v>15.8</v>
      </c>
      <c r="H2809" s="158"/>
      <c r="I2809" s="155"/>
      <c r="J2809" s="155"/>
      <c r="K2809" s="146"/>
    </row>
    <row r="2810">
      <c r="A2810" s="154"/>
      <c r="B2810" s="155"/>
      <c r="C2810" s="155"/>
      <c r="D2810" s="156" t="s">
        <v>4508</v>
      </c>
      <c r="E2810" s="156" t="s">
        <v>4509</v>
      </c>
      <c r="F2810" s="155"/>
      <c r="G2810" s="157" t="n">
        <v>31.8</v>
      </c>
      <c r="H2810" s="158"/>
      <c r="I2810" s="155"/>
      <c r="J2810" s="155"/>
      <c r="K2810" s="146"/>
    </row>
    <row r="2811">
      <c r="A2811" s="154"/>
      <c r="B2811" s="155"/>
      <c r="C2811" s="155"/>
      <c r="D2811" s="156" t="s">
        <v>4510</v>
      </c>
      <c r="E2811" s="156" t="s">
        <v>4511</v>
      </c>
      <c r="F2811" s="155"/>
      <c r="G2811" s="157" t="n">
        <v>77.6</v>
      </c>
      <c r="H2811" s="158"/>
      <c r="I2811" s="155"/>
      <c r="J2811" s="155"/>
      <c r="K2811" s="146"/>
    </row>
    <row r="2812">
      <c r="A2812" s="154"/>
      <c r="B2812" s="155"/>
      <c r="C2812" s="155"/>
      <c r="D2812" s="156" t="s">
        <v>4512</v>
      </c>
      <c r="E2812" s="156" t="s">
        <v>4513</v>
      </c>
      <c r="F2812" s="155"/>
      <c r="G2812" s="157" t="n">
        <v>13.7</v>
      </c>
      <c r="H2812" s="158"/>
      <c r="I2812" s="155"/>
      <c r="J2812" s="155"/>
      <c r="K2812" s="146"/>
    </row>
    <row r="2813" ht="24.75">
      <c r="A2813" s="9" t="s">
        <v>4514</v>
      </c>
      <c r="B2813" s="10" t="s">
        <v>91</v>
      </c>
      <c r="C2813" s="10" t="s">
        <v>4515</v>
      </c>
      <c r="D2813" s="14" t="s">
        <v>4516</v>
      </c>
      <c r="E2813" s="10"/>
      <c r="F2813" s="10" t="s">
        <v>133</v>
      </c>
      <c r="G2813" s="111" t="n">
        <v>2</v>
      </c>
      <c r="H2813" s="152" t="n">
        <v>0</v>
      </c>
      <c r="I2813" s="111">
        <f>G2813*H2813</f>
      </c>
      <c r="J2813" s="153" t="s">
        <v>4</v>
      </c>
      <c r="K2813" s="146"/>
      <c r="Z2813" s="111">
        <f>IF(AQ2813="5",BJ2813,0)</f>
      </c>
      <c r="AB2813" s="111">
        <f>IF(AQ2813="1",BH2813,0)</f>
      </c>
      <c r="AC2813" s="111">
        <f>IF(AQ2813="1",BI2813,0)</f>
      </c>
      <c r="AD2813" s="111">
        <f>IF(AQ2813="7",BH2813,0)</f>
      </c>
      <c r="AE2813" s="111">
        <f>IF(AQ2813="7",BI2813,0)</f>
      </c>
      <c r="AF2813" s="111">
        <f>IF(AQ2813="2",BH2813,0)</f>
      </c>
      <c r="AG2813" s="111">
        <f>IF(AQ2813="2",BI2813,0)</f>
      </c>
      <c r="AH2813" s="111">
        <f>IF(AQ2813="0",BJ2813,0)</f>
      </c>
      <c r="AI2813" s="132" t="s">
        <v>91</v>
      </c>
      <c r="AJ2813" s="111">
        <f>IF(AN2813=0,I2813,0)</f>
      </c>
      <c r="AK2813" s="111">
        <f>IF(AN2813=12,I2813,0)</f>
      </c>
      <c r="AL2813" s="111">
        <f>IF(AN2813=21,I2813,0)</f>
      </c>
      <c r="AN2813" s="111" t="n">
        <v>21</v>
      </c>
      <c r="AO2813" s="111">
        <f>H2813*0</f>
      </c>
      <c r="AP2813" s="111">
        <f>H2813*(1-0)</f>
      </c>
      <c r="AQ2813" s="153" t="s">
        <v>173</v>
      </c>
      <c r="AV2813" s="111">
        <f>AW2813+AX2813</f>
      </c>
      <c r="AW2813" s="111">
        <f>G2813*AO2813</f>
      </c>
      <c r="AX2813" s="111">
        <f>G2813*AP2813</f>
      </c>
      <c r="AY2813" s="153" t="s">
        <v>1987</v>
      </c>
      <c r="AZ2813" s="153" t="s">
        <v>4215</v>
      </c>
      <c r="BA2813" s="132" t="s">
        <v>4138</v>
      </c>
      <c r="BC2813" s="111">
        <f>AW2813+AX2813</f>
      </c>
      <c r="BD2813" s="111">
        <f>H2813/(100-BE2813)*100</f>
      </c>
      <c r="BE2813" s="111" t="n">
        <v>0</v>
      </c>
      <c r="BF2813" s="111">
        <f>2813</f>
      </c>
      <c r="BH2813" s="111">
        <f>G2813*AO2813</f>
      </c>
      <c r="BI2813" s="111">
        <f>G2813*AP2813</f>
      </c>
      <c r="BJ2813" s="111">
        <f>G2813*H2813</f>
      </c>
      <c r="BK2813" s="111"/>
      <c r="BL2813" s="111" t="n">
        <v>736</v>
      </c>
      <c r="BW2813" s="111" t="n">
        <v>21</v>
      </c>
      <c r="BX2813" s="14" t="s">
        <v>4516</v>
      </c>
    </row>
    <row r="2814">
      <c r="A2814" s="154"/>
      <c r="B2814" s="155"/>
      <c r="C2814" s="155"/>
      <c r="D2814" s="156" t="s">
        <v>3910</v>
      </c>
      <c r="E2814" s="156" t="s">
        <v>4511</v>
      </c>
      <c r="F2814" s="155"/>
      <c r="G2814" s="157" t="n">
        <v>1</v>
      </c>
      <c r="H2814" s="158"/>
      <c r="I2814" s="155"/>
      <c r="J2814" s="155"/>
      <c r="K2814" s="146"/>
    </row>
    <row r="2815">
      <c r="A2815" s="154"/>
      <c r="B2815" s="155"/>
      <c r="C2815" s="155"/>
      <c r="D2815" s="156" t="s">
        <v>3910</v>
      </c>
      <c r="E2815" s="156" t="s">
        <v>4496</v>
      </c>
      <c r="F2815" s="155"/>
      <c r="G2815" s="157" t="n">
        <v>1</v>
      </c>
      <c r="H2815" s="158"/>
      <c r="I2815" s="155"/>
      <c r="J2815" s="155"/>
      <c r="K2815" s="146"/>
    </row>
    <row r="2816" ht="24.75">
      <c r="A2816" s="9" t="s">
        <v>4517</v>
      </c>
      <c r="B2816" s="10" t="s">
        <v>91</v>
      </c>
      <c r="C2816" s="10" t="s">
        <v>4518</v>
      </c>
      <c r="D2816" s="14" t="s">
        <v>4519</v>
      </c>
      <c r="E2816" s="10"/>
      <c r="F2816" s="10" t="s">
        <v>133</v>
      </c>
      <c r="G2816" s="111" t="n">
        <v>1</v>
      </c>
      <c r="H2816" s="152" t="n">
        <v>0</v>
      </c>
      <c r="I2816" s="111">
        <f>G2816*H2816</f>
      </c>
      <c r="J2816" s="153" t="s">
        <v>4</v>
      </c>
      <c r="K2816" s="146"/>
      <c r="Z2816" s="111">
        <f>IF(AQ2816="5",BJ2816,0)</f>
      </c>
      <c r="AB2816" s="111">
        <f>IF(AQ2816="1",BH2816,0)</f>
      </c>
      <c r="AC2816" s="111">
        <f>IF(AQ2816="1",BI2816,0)</f>
      </c>
      <c r="AD2816" s="111">
        <f>IF(AQ2816="7",BH2816,0)</f>
      </c>
      <c r="AE2816" s="111">
        <f>IF(AQ2816="7",BI2816,0)</f>
      </c>
      <c r="AF2816" s="111">
        <f>IF(AQ2816="2",BH2816,0)</f>
      </c>
      <c r="AG2816" s="111">
        <f>IF(AQ2816="2",BI2816,0)</f>
      </c>
      <c r="AH2816" s="111">
        <f>IF(AQ2816="0",BJ2816,0)</f>
      </c>
      <c r="AI2816" s="132" t="s">
        <v>91</v>
      </c>
      <c r="AJ2816" s="111">
        <f>IF(AN2816=0,I2816,0)</f>
      </c>
      <c r="AK2816" s="111">
        <f>IF(AN2816=12,I2816,0)</f>
      </c>
      <c r="AL2816" s="111">
        <f>IF(AN2816=21,I2816,0)</f>
      </c>
      <c r="AN2816" s="111" t="n">
        <v>21</v>
      </c>
      <c r="AO2816" s="111">
        <f>H2816*0</f>
      </c>
      <c r="AP2816" s="111">
        <f>H2816*(1-0)</f>
      </c>
      <c r="AQ2816" s="153" t="s">
        <v>173</v>
      </c>
      <c r="AV2816" s="111">
        <f>AW2816+AX2816</f>
      </c>
      <c r="AW2816" s="111">
        <f>G2816*AO2816</f>
      </c>
      <c r="AX2816" s="111">
        <f>G2816*AP2816</f>
      </c>
      <c r="AY2816" s="153" t="s">
        <v>1987</v>
      </c>
      <c r="AZ2816" s="153" t="s">
        <v>4215</v>
      </c>
      <c r="BA2816" s="132" t="s">
        <v>4138</v>
      </c>
      <c r="BC2816" s="111">
        <f>AW2816+AX2816</f>
      </c>
      <c r="BD2816" s="111">
        <f>H2816/(100-BE2816)*100</f>
      </c>
      <c r="BE2816" s="111" t="n">
        <v>0</v>
      </c>
      <c r="BF2816" s="111">
        <f>2816</f>
      </c>
      <c r="BH2816" s="111">
        <f>G2816*AO2816</f>
      </c>
      <c r="BI2816" s="111">
        <f>G2816*AP2816</f>
      </c>
      <c r="BJ2816" s="111">
        <f>G2816*H2816</f>
      </c>
      <c r="BK2816" s="111"/>
      <c r="BL2816" s="111" t="n">
        <v>736</v>
      </c>
      <c r="BW2816" s="111" t="n">
        <v>21</v>
      </c>
      <c r="BX2816" s="14" t="s">
        <v>4519</v>
      </c>
    </row>
    <row r="2817" ht="24.75">
      <c r="A2817" s="9" t="s">
        <v>4520</v>
      </c>
      <c r="B2817" s="10" t="s">
        <v>91</v>
      </c>
      <c r="C2817" s="10" t="s">
        <v>4521</v>
      </c>
      <c r="D2817" s="14" t="s">
        <v>4522</v>
      </c>
      <c r="E2817" s="10"/>
      <c r="F2817" s="10" t="s">
        <v>133</v>
      </c>
      <c r="G2817" s="111" t="n">
        <v>58</v>
      </c>
      <c r="H2817" s="152" t="n">
        <v>0</v>
      </c>
      <c r="I2817" s="111">
        <f>G2817*H2817</f>
      </c>
      <c r="J2817" s="153" t="s">
        <v>4</v>
      </c>
      <c r="K2817" s="146"/>
      <c r="Z2817" s="111">
        <f>IF(AQ2817="5",BJ2817,0)</f>
      </c>
      <c r="AB2817" s="111">
        <f>IF(AQ2817="1",BH2817,0)</f>
      </c>
      <c r="AC2817" s="111">
        <f>IF(AQ2817="1",BI2817,0)</f>
      </c>
      <c r="AD2817" s="111">
        <f>IF(AQ2817="7",BH2817,0)</f>
      </c>
      <c r="AE2817" s="111">
        <f>IF(AQ2817="7",BI2817,0)</f>
      </c>
      <c r="AF2817" s="111">
        <f>IF(AQ2817="2",BH2817,0)</f>
      </c>
      <c r="AG2817" s="111">
        <f>IF(AQ2817="2",BI2817,0)</f>
      </c>
      <c r="AH2817" s="111">
        <f>IF(AQ2817="0",BJ2817,0)</f>
      </c>
      <c r="AI2817" s="132" t="s">
        <v>91</v>
      </c>
      <c r="AJ2817" s="111">
        <f>IF(AN2817=0,I2817,0)</f>
      </c>
      <c r="AK2817" s="111">
        <f>IF(AN2817=12,I2817,0)</f>
      </c>
      <c r="AL2817" s="111">
        <f>IF(AN2817=21,I2817,0)</f>
      </c>
      <c r="AN2817" s="111" t="n">
        <v>21</v>
      </c>
      <c r="AO2817" s="111">
        <f>H2817*0</f>
      </c>
      <c r="AP2817" s="111">
        <f>H2817*(1-0)</f>
      </c>
      <c r="AQ2817" s="153" t="s">
        <v>173</v>
      </c>
      <c r="AV2817" s="111">
        <f>AW2817+AX2817</f>
      </c>
      <c r="AW2817" s="111">
        <f>G2817*AO2817</f>
      </c>
      <c r="AX2817" s="111">
        <f>G2817*AP2817</f>
      </c>
      <c r="AY2817" s="153" t="s">
        <v>1987</v>
      </c>
      <c r="AZ2817" s="153" t="s">
        <v>4215</v>
      </c>
      <c r="BA2817" s="132" t="s">
        <v>4138</v>
      </c>
      <c r="BC2817" s="111">
        <f>AW2817+AX2817</f>
      </c>
      <c r="BD2817" s="111">
        <f>H2817/(100-BE2817)*100</f>
      </c>
      <c r="BE2817" s="111" t="n">
        <v>0</v>
      </c>
      <c r="BF2817" s="111">
        <f>2817</f>
      </c>
      <c r="BH2817" s="111">
        <f>G2817*AO2817</f>
      </c>
      <c r="BI2817" s="111">
        <f>G2817*AP2817</f>
      </c>
      <c r="BJ2817" s="111">
        <f>G2817*H2817</f>
      </c>
      <c r="BK2817" s="111"/>
      <c r="BL2817" s="111" t="n">
        <v>736</v>
      </c>
      <c r="BW2817" s="111" t="n">
        <v>21</v>
      </c>
      <c r="BX2817" s="14" t="s">
        <v>4522</v>
      </c>
    </row>
    <row r="2818" ht="24.75">
      <c r="A2818" s="9" t="s">
        <v>4523</v>
      </c>
      <c r="B2818" s="10" t="s">
        <v>91</v>
      </c>
      <c r="C2818" s="10" t="s">
        <v>4524</v>
      </c>
      <c r="D2818" s="14" t="s">
        <v>4525</v>
      </c>
      <c r="E2818" s="10"/>
      <c r="F2818" s="10" t="s">
        <v>133</v>
      </c>
      <c r="G2818" s="111" t="n">
        <v>6</v>
      </c>
      <c r="H2818" s="152" t="n">
        <v>0</v>
      </c>
      <c r="I2818" s="111">
        <f>G2818*H2818</f>
      </c>
      <c r="J2818" s="153" t="s">
        <v>4</v>
      </c>
      <c r="K2818" s="146"/>
      <c r="Z2818" s="111">
        <f>IF(AQ2818="5",BJ2818,0)</f>
      </c>
      <c r="AB2818" s="111">
        <f>IF(AQ2818="1",BH2818,0)</f>
      </c>
      <c r="AC2818" s="111">
        <f>IF(AQ2818="1",BI2818,0)</f>
      </c>
      <c r="AD2818" s="111">
        <f>IF(AQ2818="7",BH2818,0)</f>
      </c>
      <c r="AE2818" s="111">
        <f>IF(AQ2818="7",BI2818,0)</f>
      </c>
      <c r="AF2818" s="111">
        <f>IF(AQ2818="2",BH2818,0)</f>
      </c>
      <c r="AG2818" s="111">
        <f>IF(AQ2818="2",BI2818,0)</f>
      </c>
      <c r="AH2818" s="111">
        <f>IF(AQ2818="0",BJ2818,0)</f>
      </c>
      <c r="AI2818" s="132" t="s">
        <v>91</v>
      </c>
      <c r="AJ2818" s="111">
        <f>IF(AN2818=0,I2818,0)</f>
      </c>
      <c r="AK2818" s="111">
        <f>IF(AN2818=12,I2818,0)</f>
      </c>
      <c r="AL2818" s="111">
        <f>IF(AN2818=21,I2818,0)</f>
      </c>
      <c r="AN2818" s="111" t="n">
        <v>21</v>
      </c>
      <c r="AO2818" s="111">
        <f>H2818*0</f>
      </c>
      <c r="AP2818" s="111">
        <f>H2818*(1-0)</f>
      </c>
      <c r="AQ2818" s="153" t="s">
        <v>173</v>
      </c>
      <c r="AV2818" s="111">
        <f>AW2818+AX2818</f>
      </c>
      <c r="AW2818" s="111">
        <f>G2818*AO2818</f>
      </c>
      <c r="AX2818" s="111">
        <f>G2818*AP2818</f>
      </c>
      <c r="AY2818" s="153" t="s">
        <v>1987</v>
      </c>
      <c r="AZ2818" s="153" t="s">
        <v>4215</v>
      </c>
      <c r="BA2818" s="132" t="s">
        <v>4138</v>
      </c>
      <c r="BC2818" s="111">
        <f>AW2818+AX2818</f>
      </c>
      <c r="BD2818" s="111">
        <f>H2818/(100-BE2818)*100</f>
      </c>
      <c r="BE2818" s="111" t="n">
        <v>0</v>
      </c>
      <c r="BF2818" s="111">
        <f>2818</f>
      </c>
      <c r="BH2818" s="111">
        <f>G2818*AO2818</f>
      </c>
      <c r="BI2818" s="111">
        <f>G2818*AP2818</f>
      </c>
      <c r="BJ2818" s="111">
        <f>G2818*H2818</f>
      </c>
      <c r="BK2818" s="111"/>
      <c r="BL2818" s="111" t="n">
        <v>736</v>
      </c>
      <c r="BW2818" s="111" t="n">
        <v>21</v>
      </c>
      <c r="BX2818" s="14" t="s">
        <v>4525</v>
      </c>
    </row>
    <row r="2819">
      <c r="A2819" s="9" t="s">
        <v>4526</v>
      </c>
      <c r="B2819" s="10" t="s">
        <v>91</v>
      </c>
      <c r="C2819" s="10" t="s">
        <v>4527</v>
      </c>
      <c r="D2819" s="14" t="s">
        <v>4528</v>
      </c>
      <c r="E2819" s="10"/>
      <c r="F2819" s="10" t="s">
        <v>282</v>
      </c>
      <c r="G2819" s="111" t="n">
        <v>166</v>
      </c>
      <c r="H2819" s="152" t="n">
        <v>0</v>
      </c>
      <c r="I2819" s="111">
        <f>G2819*H2819</f>
      </c>
      <c r="J2819" s="153" t="s">
        <v>4</v>
      </c>
      <c r="K2819" s="146"/>
      <c r="Z2819" s="111">
        <f>IF(AQ2819="5",BJ2819,0)</f>
      </c>
      <c r="AB2819" s="111">
        <f>IF(AQ2819="1",BH2819,0)</f>
      </c>
      <c r="AC2819" s="111">
        <f>IF(AQ2819="1",BI2819,0)</f>
      </c>
      <c r="AD2819" s="111">
        <f>IF(AQ2819="7",BH2819,0)</f>
      </c>
      <c r="AE2819" s="111">
        <f>IF(AQ2819="7",BI2819,0)</f>
      </c>
      <c r="AF2819" s="111">
        <f>IF(AQ2819="2",BH2819,0)</f>
      </c>
      <c r="AG2819" s="111">
        <f>IF(AQ2819="2",BI2819,0)</f>
      </c>
      <c r="AH2819" s="111">
        <f>IF(AQ2819="0",BJ2819,0)</f>
      </c>
      <c r="AI2819" s="132" t="s">
        <v>91</v>
      </c>
      <c r="AJ2819" s="111">
        <f>IF(AN2819=0,I2819,0)</f>
      </c>
      <c r="AK2819" s="111">
        <f>IF(AN2819=12,I2819,0)</f>
      </c>
      <c r="AL2819" s="111">
        <f>IF(AN2819=21,I2819,0)</f>
      </c>
      <c r="AN2819" s="111" t="n">
        <v>21</v>
      </c>
      <c r="AO2819" s="111">
        <f>H2819*0</f>
      </c>
      <c r="AP2819" s="111">
        <f>H2819*(1-0)</f>
      </c>
      <c r="AQ2819" s="153" t="s">
        <v>173</v>
      </c>
      <c r="AV2819" s="111">
        <f>AW2819+AX2819</f>
      </c>
      <c r="AW2819" s="111">
        <f>G2819*AO2819</f>
      </c>
      <c r="AX2819" s="111">
        <f>G2819*AP2819</f>
      </c>
      <c r="AY2819" s="153" t="s">
        <v>1987</v>
      </c>
      <c r="AZ2819" s="153" t="s">
        <v>4215</v>
      </c>
      <c r="BA2819" s="132" t="s">
        <v>4138</v>
      </c>
      <c r="BC2819" s="111">
        <f>AW2819+AX2819</f>
      </c>
      <c r="BD2819" s="111">
        <f>H2819/(100-BE2819)*100</f>
      </c>
      <c r="BE2819" s="111" t="n">
        <v>0</v>
      </c>
      <c r="BF2819" s="111">
        <f>2819</f>
      </c>
      <c r="BH2819" s="111">
        <f>G2819*AO2819</f>
      </c>
      <c r="BI2819" s="111">
        <f>G2819*AP2819</f>
      </c>
      <c r="BJ2819" s="111">
        <f>G2819*H2819</f>
      </c>
      <c r="BK2819" s="111"/>
      <c r="BL2819" s="111" t="n">
        <v>736</v>
      </c>
      <c r="BW2819" s="111" t="n">
        <v>21</v>
      </c>
      <c r="BX2819" s="14" t="s">
        <v>4528</v>
      </c>
    </row>
    <row r="2820">
      <c r="A2820" s="154"/>
      <c r="B2820" s="155"/>
      <c r="C2820" s="155"/>
      <c r="D2820" s="156" t="s">
        <v>4198</v>
      </c>
      <c r="E2820" s="156" t="s">
        <v>4</v>
      </c>
      <c r="F2820" s="155"/>
      <c r="G2820" s="157" t="n">
        <v>74</v>
      </c>
      <c r="H2820" s="158"/>
      <c r="I2820" s="155"/>
      <c r="J2820" s="155"/>
      <c r="K2820" s="146"/>
    </row>
    <row r="2821">
      <c r="A2821" s="154"/>
      <c r="B2821" s="155"/>
      <c r="C2821" s="155"/>
      <c r="D2821" s="156" t="s">
        <v>4189</v>
      </c>
      <c r="E2821" s="156" t="s">
        <v>4</v>
      </c>
      <c r="F2821" s="155"/>
      <c r="G2821" s="157" t="n">
        <v>54</v>
      </c>
      <c r="H2821" s="158"/>
      <c r="I2821" s="155"/>
      <c r="J2821" s="155"/>
      <c r="K2821" s="146"/>
    </row>
    <row r="2822">
      <c r="A2822" s="154"/>
      <c r="B2822" s="155"/>
      <c r="C2822" s="155"/>
      <c r="D2822" s="156" t="s">
        <v>4529</v>
      </c>
      <c r="E2822" s="156" t="s">
        <v>4</v>
      </c>
      <c r="F2822" s="155"/>
      <c r="G2822" s="157" t="n">
        <v>38</v>
      </c>
      <c r="H2822" s="158"/>
      <c r="I2822" s="155"/>
      <c r="J2822" s="155"/>
      <c r="K2822" s="146"/>
    </row>
    <row r="2823" ht="24.75">
      <c r="A2823" s="9" t="s">
        <v>4530</v>
      </c>
      <c r="B2823" s="10" t="s">
        <v>91</v>
      </c>
      <c r="C2823" s="10" t="s">
        <v>4531</v>
      </c>
      <c r="D2823" s="14" t="s">
        <v>4532</v>
      </c>
      <c r="E2823" s="10"/>
      <c r="F2823" s="10" t="s">
        <v>133</v>
      </c>
      <c r="G2823" s="111" t="n">
        <v>1</v>
      </c>
      <c r="H2823" s="152" t="n">
        <v>0</v>
      </c>
      <c r="I2823" s="111">
        <f>G2823*H2823</f>
      </c>
      <c r="J2823" s="153" t="s">
        <v>4</v>
      </c>
      <c r="K2823" s="146"/>
      <c r="Z2823" s="111">
        <f>IF(AQ2823="5",BJ2823,0)</f>
      </c>
      <c r="AB2823" s="111">
        <f>IF(AQ2823="1",BH2823,0)</f>
      </c>
      <c r="AC2823" s="111">
        <f>IF(AQ2823="1",BI2823,0)</f>
      </c>
      <c r="AD2823" s="111">
        <f>IF(AQ2823="7",BH2823,0)</f>
      </c>
      <c r="AE2823" s="111">
        <f>IF(AQ2823="7",BI2823,0)</f>
      </c>
      <c r="AF2823" s="111">
        <f>IF(AQ2823="2",BH2823,0)</f>
      </c>
      <c r="AG2823" s="111">
        <f>IF(AQ2823="2",BI2823,0)</f>
      </c>
      <c r="AH2823" s="111">
        <f>IF(AQ2823="0",BJ2823,0)</f>
      </c>
      <c r="AI2823" s="132" t="s">
        <v>91</v>
      </c>
      <c r="AJ2823" s="111">
        <f>IF(AN2823=0,I2823,0)</f>
      </c>
      <c r="AK2823" s="111">
        <f>IF(AN2823=12,I2823,0)</f>
      </c>
      <c r="AL2823" s="111">
        <f>IF(AN2823=21,I2823,0)</f>
      </c>
      <c r="AN2823" s="111" t="n">
        <v>21</v>
      </c>
      <c r="AO2823" s="111">
        <f>H2823*0</f>
      </c>
      <c r="AP2823" s="111">
        <f>H2823*(1-0)</f>
      </c>
      <c r="AQ2823" s="153" t="s">
        <v>173</v>
      </c>
      <c r="AV2823" s="111">
        <f>AW2823+AX2823</f>
      </c>
      <c r="AW2823" s="111">
        <f>G2823*AO2823</f>
      </c>
      <c r="AX2823" s="111">
        <f>G2823*AP2823</f>
      </c>
      <c r="AY2823" s="153" t="s">
        <v>1987</v>
      </c>
      <c r="AZ2823" s="153" t="s">
        <v>4215</v>
      </c>
      <c r="BA2823" s="132" t="s">
        <v>4138</v>
      </c>
      <c r="BC2823" s="111">
        <f>AW2823+AX2823</f>
      </c>
      <c r="BD2823" s="111">
        <f>H2823/(100-BE2823)*100</f>
      </c>
      <c r="BE2823" s="111" t="n">
        <v>0</v>
      </c>
      <c r="BF2823" s="111">
        <f>2823</f>
      </c>
      <c r="BH2823" s="111">
        <f>G2823*AO2823</f>
      </c>
      <c r="BI2823" s="111">
        <f>G2823*AP2823</f>
      </c>
      <c r="BJ2823" s="111">
        <f>G2823*H2823</f>
      </c>
      <c r="BK2823" s="111"/>
      <c r="BL2823" s="111" t="n">
        <v>736</v>
      </c>
      <c r="BW2823" s="111" t="n">
        <v>21</v>
      </c>
      <c r="BX2823" s="14" t="s">
        <v>4532</v>
      </c>
    </row>
    <row r="2824">
      <c r="A2824" s="154"/>
      <c r="B2824" s="155"/>
      <c r="C2824" s="155"/>
      <c r="D2824" s="156" t="s">
        <v>3910</v>
      </c>
      <c r="E2824" s="156" t="s">
        <v>4496</v>
      </c>
      <c r="F2824" s="155"/>
      <c r="G2824" s="157" t="n">
        <v>1</v>
      </c>
      <c r="H2824" s="158"/>
      <c r="I2824" s="155"/>
      <c r="J2824" s="155"/>
      <c r="K2824" s="146"/>
    </row>
    <row r="2825" ht="24.75">
      <c r="A2825" s="9" t="s">
        <v>4533</v>
      </c>
      <c r="B2825" s="10" t="s">
        <v>91</v>
      </c>
      <c r="C2825" s="10" t="s">
        <v>4534</v>
      </c>
      <c r="D2825" s="14" t="s">
        <v>4535</v>
      </c>
      <c r="E2825" s="10"/>
      <c r="F2825" s="10" t="s">
        <v>133</v>
      </c>
      <c r="G2825" s="111" t="n">
        <v>1</v>
      </c>
      <c r="H2825" s="152" t="n">
        <v>0</v>
      </c>
      <c r="I2825" s="111">
        <f>G2825*H2825</f>
      </c>
      <c r="J2825" s="153" t="s">
        <v>4</v>
      </c>
      <c r="K2825" s="146"/>
      <c r="Z2825" s="111">
        <f>IF(AQ2825="5",BJ2825,0)</f>
      </c>
      <c r="AB2825" s="111">
        <f>IF(AQ2825="1",BH2825,0)</f>
      </c>
      <c r="AC2825" s="111">
        <f>IF(AQ2825="1",BI2825,0)</f>
      </c>
      <c r="AD2825" s="111">
        <f>IF(AQ2825="7",BH2825,0)</f>
      </c>
      <c r="AE2825" s="111">
        <f>IF(AQ2825="7",BI2825,0)</f>
      </c>
      <c r="AF2825" s="111">
        <f>IF(AQ2825="2",BH2825,0)</f>
      </c>
      <c r="AG2825" s="111">
        <f>IF(AQ2825="2",BI2825,0)</f>
      </c>
      <c r="AH2825" s="111">
        <f>IF(AQ2825="0",BJ2825,0)</f>
      </c>
      <c r="AI2825" s="132" t="s">
        <v>91</v>
      </c>
      <c r="AJ2825" s="111">
        <f>IF(AN2825=0,I2825,0)</f>
      </c>
      <c r="AK2825" s="111">
        <f>IF(AN2825=12,I2825,0)</f>
      </c>
      <c r="AL2825" s="111">
        <f>IF(AN2825=21,I2825,0)</f>
      </c>
      <c r="AN2825" s="111" t="n">
        <v>21</v>
      </c>
      <c r="AO2825" s="111">
        <f>H2825*0</f>
      </c>
      <c r="AP2825" s="111">
        <f>H2825*(1-0)</f>
      </c>
      <c r="AQ2825" s="153" t="s">
        <v>173</v>
      </c>
      <c r="AV2825" s="111">
        <f>AW2825+AX2825</f>
      </c>
      <c r="AW2825" s="111">
        <f>G2825*AO2825</f>
      </c>
      <c r="AX2825" s="111">
        <f>G2825*AP2825</f>
      </c>
      <c r="AY2825" s="153" t="s">
        <v>1987</v>
      </c>
      <c r="AZ2825" s="153" t="s">
        <v>4215</v>
      </c>
      <c r="BA2825" s="132" t="s">
        <v>4138</v>
      </c>
      <c r="BC2825" s="111">
        <f>AW2825+AX2825</f>
      </c>
      <c r="BD2825" s="111">
        <f>H2825/(100-BE2825)*100</f>
      </c>
      <c r="BE2825" s="111" t="n">
        <v>0</v>
      </c>
      <c r="BF2825" s="111">
        <f>2825</f>
      </c>
      <c r="BH2825" s="111">
        <f>G2825*AO2825</f>
      </c>
      <c r="BI2825" s="111">
        <f>G2825*AP2825</f>
      </c>
      <c r="BJ2825" s="111">
        <f>G2825*H2825</f>
      </c>
      <c r="BK2825" s="111"/>
      <c r="BL2825" s="111" t="n">
        <v>736</v>
      </c>
      <c r="BW2825" s="111" t="n">
        <v>21</v>
      </c>
      <c r="BX2825" s="14" t="s">
        <v>4535</v>
      </c>
    </row>
    <row r="2826">
      <c r="A2826" s="154"/>
      <c r="B2826" s="155"/>
      <c r="C2826" s="155"/>
      <c r="D2826" s="156" t="s">
        <v>3910</v>
      </c>
      <c r="E2826" s="156" t="s">
        <v>4511</v>
      </c>
      <c r="F2826" s="155"/>
      <c r="G2826" s="157" t="n">
        <v>1</v>
      </c>
      <c r="H2826" s="158"/>
      <c r="I2826" s="155"/>
      <c r="J2826" s="155"/>
      <c r="K2826" s="146"/>
    </row>
    <row r="2827" ht="24.75">
      <c r="A2827" s="9" t="s">
        <v>4536</v>
      </c>
      <c r="B2827" s="10" t="s">
        <v>91</v>
      </c>
      <c r="C2827" s="10" t="s">
        <v>4537</v>
      </c>
      <c r="D2827" s="14" t="s">
        <v>4538</v>
      </c>
      <c r="E2827" s="10"/>
      <c r="F2827" s="10" t="s">
        <v>2277</v>
      </c>
      <c r="G2827" s="111" t="n">
        <v>1</v>
      </c>
      <c r="H2827" s="152" t="n">
        <v>0</v>
      </c>
      <c r="I2827" s="111">
        <f>G2827*H2827</f>
      </c>
      <c r="J2827" s="153" t="s">
        <v>4</v>
      </c>
      <c r="K2827" s="146"/>
      <c r="Z2827" s="111">
        <f>IF(AQ2827="5",BJ2827,0)</f>
      </c>
      <c r="AB2827" s="111">
        <f>IF(AQ2827="1",BH2827,0)</f>
      </c>
      <c r="AC2827" s="111">
        <f>IF(AQ2827="1",BI2827,0)</f>
      </c>
      <c r="AD2827" s="111">
        <f>IF(AQ2827="7",BH2827,0)</f>
      </c>
      <c r="AE2827" s="111">
        <f>IF(AQ2827="7",BI2827,0)</f>
      </c>
      <c r="AF2827" s="111">
        <f>IF(AQ2827="2",BH2827,0)</f>
      </c>
      <c r="AG2827" s="111">
        <f>IF(AQ2827="2",BI2827,0)</f>
      </c>
      <c r="AH2827" s="111">
        <f>IF(AQ2827="0",BJ2827,0)</f>
      </c>
      <c r="AI2827" s="132" t="s">
        <v>91</v>
      </c>
      <c r="AJ2827" s="111">
        <f>IF(AN2827=0,I2827,0)</f>
      </c>
      <c r="AK2827" s="111">
        <f>IF(AN2827=12,I2827,0)</f>
      </c>
      <c r="AL2827" s="111">
        <f>IF(AN2827=21,I2827,0)</f>
      </c>
      <c r="AN2827" s="111" t="n">
        <v>21</v>
      </c>
      <c r="AO2827" s="111">
        <f>H2827*0</f>
      </c>
      <c r="AP2827" s="111">
        <f>H2827*(1-0)</f>
      </c>
      <c r="AQ2827" s="153" t="s">
        <v>173</v>
      </c>
      <c r="AV2827" s="111">
        <f>AW2827+AX2827</f>
      </c>
      <c r="AW2827" s="111">
        <f>G2827*AO2827</f>
      </c>
      <c r="AX2827" s="111">
        <f>G2827*AP2827</f>
      </c>
      <c r="AY2827" s="153" t="s">
        <v>1987</v>
      </c>
      <c r="AZ2827" s="153" t="s">
        <v>4215</v>
      </c>
      <c r="BA2827" s="132" t="s">
        <v>4138</v>
      </c>
      <c r="BC2827" s="111">
        <f>AW2827+AX2827</f>
      </c>
      <c r="BD2827" s="111">
        <f>H2827/(100-BE2827)*100</f>
      </c>
      <c r="BE2827" s="111" t="n">
        <v>0</v>
      </c>
      <c r="BF2827" s="111">
        <f>2827</f>
      </c>
      <c r="BH2827" s="111">
        <f>G2827*AO2827</f>
      </c>
      <c r="BI2827" s="111">
        <f>G2827*AP2827</f>
      </c>
      <c r="BJ2827" s="111">
        <f>G2827*H2827</f>
      </c>
      <c r="BK2827" s="111"/>
      <c r="BL2827" s="111" t="n">
        <v>736</v>
      </c>
      <c r="BW2827" s="111" t="n">
        <v>21</v>
      </c>
      <c r="BX2827" s="14" t="s">
        <v>4538</v>
      </c>
    </row>
    <row r="2828">
      <c r="A2828" s="154"/>
      <c r="B2828" s="155"/>
      <c r="C2828" s="155"/>
      <c r="D2828" s="156" t="s">
        <v>3910</v>
      </c>
      <c r="E2828" s="156" t="s">
        <v>4539</v>
      </c>
      <c r="F2828" s="155"/>
      <c r="G2828" s="157" t="n">
        <v>1</v>
      </c>
      <c r="H2828" s="158"/>
      <c r="I2828" s="155"/>
      <c r="J2828" s="155"/>
      <c r="K2828" s="146"/>
    </row>
    <row r="2829">
      <c r="A2829" s="9" t="s">
        <v>4540</v>
      </c>
      <c r="B2829" s="10" t="s">
        <v>91</v>
      </c>
      <c r="C2829" s="10" t="s">
        <v>4541</v>
      </c>
      <c r="D2829" s="14" t="s">
        <v>4542</v>
      </c>
      <c r="E2829" s="10"/>
      <c r="F2829" s="10" t="s">
        <v>61</v>
      </c>
      <c r="G2829" s="111" t="n">
        <v>3684.1059</v>
      </c>
      <c r="H2829" s="152" t="n">
        <v>0</v>
      </c>
      <c r="I2829" s="111">
        <f>G2829*H2829</f>
      </c>
      <c r="J2829" s="153" t="s">
        <v>4</v>
      </c>
      <c r="K2829" s="146"/>
      <c r="Z2829" s="111">
        <f>IF(AQ2829="5",BJ2829,0)</f>
      </c>
      <c r="AB2829" s="111">
        <f>IF(AQ2829="1",BH2829,0)</f>
      </c>
      <c r="AC2829" s="111">
        <f>IF(AQ2829="1",BI2829,0)</f>
      </c>
      <c r="AD2829" s="111">
        <f>IF(AQ2829="7",BH2829,0)</f>
      </c>
      <c r="AE2829" s="111">
        <f>IF(AQ2829="7",BI2829,0)</f>
      </c>
      <c r="AF2829" s="111">
        <f>IF(AQ2829="2",BH2829,0)</f>
      </c>
      <c r="AG2829" s="111">
        <f>IF(AQ2829="2",BI2829,0)</f>
      </c>
      <c r="AH2829" s="111">
        <f>IF(AQ2829="0",BJ2829,0)</f>
      </c>
      <c r="AI2829" s="132" t="s">
        <v>91</v>
      </c>
      <c r="AJ2829" s="111">
        <f>IF(AN2829=0,I2829,0)</f>
      </c>
      <c r="AK2829" s="111">
        <f>IF(AN2829=12,I2829,0)</f>
      </c>
      <c r="AL2829" s="111">
        <f>IF(AN2829=21,I2829,0)</f>
      </c>
      <c r="AN2829" s="111" t="n">
        <v>21</v>
      </c>
      <c r="AO2829" s="111">
        <f>H2829*0</f>
      </c>
      <c r="AP2829" s="111">
        <f>H2829*(1-0)</f>
      </c>
      <c r="AQ2829" s="153" t="s">
        <v>173</v>
      </c>
      <c r="AV2829" s="111">
        <f>AW2829+AX2829</f>
      </c>
      <c r="AW2829" s="111">
        <f>G2829*AO2829</f>
      </c>
      <c r="AX2829" s="111">
        <f>G2829*AP2829</f>
      </c>
      <c r="AY2829" s="153" t="s">
        <v>1987</v>
      </c>
      <c r="AZ2829" s="153" t="s">
        <v>4215</v>
      </c>
      <c r="BA2829" s="132" t="s">
        <v>4138</v>
      </c>
      <c r="BC2829" s="111">
        <f>AW2829+AX2829</f>
      </c>
      <c r="BD2829" s="111">
        <f>H2829/(100-BE2829)*100</f>
      </c>
      <c r="BE2829" s="111" t="n">
        <v>0</v>
      </c>
      <c r="BF2829" s="111">
        <f>2829</f>
      </c>
      <c r="BH2829" s="111">
        <f>G2829*AO2829</f>
      </c>
      <c r="BI2829" s="111">
        <f>G2829*AP2829</f>
      </c>
      <c r="BJ2829" s="111">
        <f>G2829*H2829</f>
      </c>
      <c r="BK2829" s="111"/>
      <c r="BL2829" s="111" t="n">
        <v>736</v>
      </c>
      <c r="BW2829" s="111" t="n">
        <v>21</v>
      </c>
      <c r="BX2829" s="14" t="s">
        <v>4542</v>
      </c>
    </row>
    <row r="2830">
      <c r="A2830" s="147" t="s">
        <v>4</v>
      </c>
      <c r="B2830" s="148" t="s">
        <v>91</v>
      </c>
      <c r="C2830" s="148" t="s">
        <v>2272</v>
      </c>
      <c r="D2830" s="149" t="s">
        <v>4102</v>
      </c>
      <c r="E2830" s="148"/>
      <c r="F2830" s="150" t="s">
        <v>79</v>
      </c>
      <c r="G2830" s="150" t="s">
        <v>79</v>
      </c>
      <c r="H2830" s="151" t="s">
        <v>79</v>
      </c>
      <c r="I2830" s="117">
        <f>SUM(I2831:I2836)</f>
      </c>
      <c r="J2830" s="132" t="s">
        <v>4</v>
      </c>
      <c r="K2830" s="146"/>
      <c r="AI2830" s="132" t="s">
        <v>91</v>
      </c>
      <c r="AS2830" s="117">
        <f>SUM(AJ2831:AJ2836)</f>
      </c>
      <c r="AT2830" s="117">
        <f>SUM(AK2831:AK2836)</f>
      </c>
      <c r="AU2830" s="117">
        <f>SUM(AL2831:AL2836)</f>
      </c>
    </row>
    <row r="2831">
      <c r="A2831" s="9" t="s">
        <v>4543</v>
      </c>
      <c r="B2831" s="10" t="s">
        <v>91</v>
      </c>
      <c r="C2831" s="10" t="s">
        <v>4544</v>
      </c>
      <c r="D2831" s="14" t="s">
        <v>4545</v>
      </c>
      <c r="E2831" s="10"/>
      <c r="F2831" s="10" t="s">
        <v>2426</v>
      </c>
      <c r="G2831" s="111" t="n">
        <v>90</v>
      </c>
      <c r="H2831" s="152" t="n">
        <v>0</v>
      </c>
      <c r="I2831" s="111">
        <f>G2831*H2831</f>
      </c>
      <c r="J2831" s="153" t="s">
        <v>4</v>
      </c>
      <c r="K2831" s="146"/>
      <c r="Z2831" s="111">
        <f>IF(AQ2831="5",BJ2831,0)</f>
      </c>
      <c r="AB2831" s="111">
        <f>IF(AQ2831="1",BH2831,0)</f>
      </c>
      <c r="AC2831" s="111">
        <f>IF(AQ2831="1",BI2831,0)</f>
      </c>
      <c r="AD2831" s="111">
        <f>IF(AQ2831="7",BH2831,0)</f>
      </c>
      <c r="AE2831" s="111">
        <f>IF(AQ2831="7",BI2831,0)</f>
      </c>
      <c r="AF2831" s="111">
        <f>IF(AQ2831="2",BH2831,0)</f>
      </c>
      <c r="AG2831" s="111">
        <f>IF(AQ2831="2",BI2831,0)</f>
      </c>
      <c r="AH2831" s="111">
        <f>IF(AQ2831="0",BJ2831,0)</f>
      </c>
      <c r="AI2831" s="132" t="s">
        <v>91</v>
      </c>
      <c r="AJ2831" s="111">
        <f>IF(AN2831=0,I2831,0)</f>
      </c>
      <c r="AK2831" s="111">
        <f>IF(AN2831=12,I2831,0)</f>
      </c>
      <c r="AL2831" s="111">
        <f>IF(AN2831=21,I2831,0)</f>
      </c>
      <c r="AN2831" s="111" t="n">
        <v>21</v>
      </c>
      <c r="AO2831" s="111">
        <f>H2831*0</f>
      </c>
      <c r="AP2831" s="111">
        <f>H2831*(1-0)</f>
      </c>
      <c r="AQ2831" s="153" t="s">
        <v>173</v>
      </c>
      <c r="AV2831" s="111">
        <f>AW2831+AX2831</f>
      </c>
      <c r="AW2831" s="111">
        <f>G2831*AO2831</f>
      </c>
      <c r="AX2831" s="111">
        <f>G2831*AP2831</f>
      </c>
      <c r="AY2831" s="153" t="s">
        <v>2278</v>
      </c>
      <c r="AZ2831" s="153" t="s">
        <v>4546</v>
      </c>
      <c r="BA2831" s="132" t="s">
        <v>4138</v>
      </c>
      <c r="BC2831" s="111">
        <f>AW2831+AX2831</f>
      </c>
      <c r="BD2831" s="111">
        <f>H2831/(100-BE2831)*100</f>
      </c>
      <c r="BE2831" s="111" t="n">
        <v>0</v>
      </c>
      <c r="BF2831" s="111">
        <f>2831</f>
      </c>
      <c r="BH2831" s="111">
        <f>G2831*AO2831</f>
      </c>
      <c r="BI2831" s="111">
        <f>G2831*AP2831</f>
      </c>
      <c r="BJ2831" s="111">
        <f>G2831*H2831</f>
      </c>
      <c r="BK2831" s="111"/>
      <c r="BL2831" s="111" t="n">
        <v>767</v>
      </c>
      <c r="BW2831" s="111" t="n">
        <v>21</v>
      </c>
      <c r="BX2831" s="14" t="s">
        <v>4545</v>
      </c>
    </row>
    <row r="2832">
      <c r="A2832" s="154"/>
      <c r="B2832" s="155"/>
      <c r="C2832" s="155"/>
      <c r="D2832" s="156" t="s">
        <v>4547</v>
      </c>
      <c r="E2832" s="156" t="s">
        <v>4</v>
      </c>
      <c r="F2832" s="155"/>
      <c r="G2832" s="157" t="n">
        <v>76</v>
      </c>
      <c r="H2832" s="158"/>
      <c r="I2832" s="155"/>
      <c r="J2832" s="155"/>
      <c r="K2832" s="146"/>
    </row>
    <row r="2833">
      <c r="A2833" s="154"/>
      <c r="B2833" s="155"/>
      <c r="C2833" s="155"/>
      <c r="D2833" s="156" t="s">
        <v>4548</v>
      </c>
      <c r="E2833" s="156" t="s">
        <v>4</v>
      </c>
      <c r="F2833" s="155"/>
      <c r="G2833" s="157" t="n">
        <v>14</v>
      </c>
      <c r="H2833" s="158"/>
      <c r="I2833" s="155"/>
      <c r="J2833" s="155"/>
      <c r="K2833" s="146"/>
    </row>
    <row r="2834">
      <c r="A2834" s="9" t="s">
        <v>4549</v>
      </c>
      <c r="B2834" s="10" t="s">
        <v>91</v>
      </c>
      <c r="C2834" s="10" t="s">
        <v>4550</v>
      </c>
      <c r="D2834" s="14" t="s">
        <v>4551</v>
      </c>
      <c r="E2834" s="10"/>
      <c r="F2834" s="10" t="s">
        <v>61</v>
      </c>
      <c r="G2834" s="111" t="n">
        <v>349.196</v>
      </c>
      <c r="H2834" s="152" t="n">
        <v>0</v>
      </c>
      <c r="I2834" s="111">
        <f>G2834*H2834</f>
      </c>
      <c r="J2834" s="153" t="s">
        <v>4</v>
      </c>
      <c r="K2834" s="146"/>
      <c r="Z2834" s="111">
        <f>IF(AQ2834="5",BJ2834,0)</f>
      </c>
      <c r="AB2834" s="111">
        <f>IF(AQ2834="1",BH2834,0)</f>
      </c>
      <c r="AC2834" s="111">
        <f>IF(AQ2834="1",BI2834,0)</f>
      </c>
      <c r="AD2834" s="111">
        <f>IF(AQ2834="7",BH2834,0)</f>
      </c>
      <c r="AE2834" s="111">
        <f>IF(AQ2834="7",BI2834,0)</f>
      </c>
      <c r="AF2834" s="111">
        <f>IF(AQ2834="2",BH2834,0)</f>
      </c>
      <c r="AG2834" s="111">
        <f>IF(AQ2834="2",BI2834,0)</f>
      </c>
      <c r="AH2834" s="111">
        <f>IF(AQ2834="0",BJ2834,0)</f>
      </c>
      <c r="AI2834" s="132" t="s">
        <v>91</v>
      </c>
      <c r="AJ2834" s="111">
        <f>IF(AN2834=0,I2834,0)</f>
      </c>
      <c r="AK2834" s="111">
        <f>IF(AN2834=12,I2834,0)</f>
      </c>
      <c r="AL2834" s="111">
        <f>IF(AN2834=21,I2834,0)</f>
      </c>
      <c r="AN2834" s="111" t="n">
        <v>21</v>
      </c>
      <c r="AO2834" s="111">
        <f>H2834*0</f>
      </c>
      <c r="AP2834" s="111">
        <f>H2834*(1-0)</f>
      </c>
      <c r="AQ2834" s="153" t="s">
        <v>173</v>
      </c>
      <c r="AV2834" s="111">
        <f>AW2834+AX2834</f>
      </c>
      <c r="AW2834" s="111">
        <f>G2834*AO2834</f>
      </c>
      <c r="AX2834" s="111">
        <f>G2834*AP2834</f>
      </c>
      <c r="AY2834" s="153" t="s">
        <v>2278</v>
      </c>
      <c r="AZ2834" s="153" t="s">
        <v>4546</v>
      </c>
      <c r="BA2834" s="132" t="s">
        <v>4138</v>
      </c>
      <c r="BC2834" s="111">
        <f>AW2834+AX2834</f>
      </c>
      <c r="BD2834" s="111">
        <f>H2834/(100-BE2834)*100</f>
      </c>
      <c r="BE2834" s="111" t="n">
        <v>0</v>
      </c>
      <c r="BF2834" s="111">
        <f>2834</f>
      </c>
      <c r="BH2834" s="111">
        <f>G2834*AO2834</f>
      </c>
      <c r="BI2834" s="111">
        <f>G2834*AP2834</f>
      </c>
      <c r="BJ2834" s="111">
        <f>G2834*H2834</f>
      </c>
      <c r="BK2834" s="111"/>
      <c r="BL2834" s="111" t="n">
        <v>767</v>
      </c>
      <c r="BW2834" s="111" t="n">
        <v>21</v>
      </c>
      <c r="BX2834" s="14" t="s">
        <v>4551</v>
      </c>
    </row>
    <row r="2835">
      <c r="A2835" s="9" t="s">
        <v>4552</v>
      </c>
      <c r="B2835" s="10" t="s">
        <v>91</v>
      </c>
      <c r="C2835" s="10" t="s">
        <v>4553</v>
      </c>
      <c r="D2835" s="14" t="s">
        <v>4088</v>
      </c>
      <c r="E2835" s="10"/>
      <c r="F2835" s="10" t="s">
        <v>2426</v>
      </c>
      <c r="G2835" s="111" t="n">
        <v>76</v>
      </c>
      <c r="H2835" s="152" t="n">
        <v>0</v>
      </c>
      <c r="I2835" s="111">
        <f>G2835*H2835</f>
      </c>
      <c r="J2835" s="153" t="s">
        <v>4</v>
      </c>
      <c r="K2835" s="146"/>
      <c r="Z2835" s="111">
        <f>IF(AQ2835="5",BJ2835,0)</f>
      </c>
      <c r="AB2835" s="111">
        <f>IF(AQ2835="1",BH2835,0)</f>
      </c>
      <c r="AC2835" s="111">
        <f>IF(AQ2835="1",BI2835,0)</f>
      </c>
      <c r="AD2835" s="111">
        <f>IF(AQ2835="7",BH2835,0)</f>
      </c>
      <c r="AE2835" s="111">
        <f>IF(AQ2835="7",BI2835,0)</f>
      </c>
      <c r="AF2835" s="111">
        <f>IF(AQ2835="2",BH2835,0)</f>
      </c>
      <c r="AG2835" s="111">
        <f>IF(AQ2835="2",BI2835,0)</f>
      </c>
      <c r="AH2835" s="111">
        <f>IF(AQ2835="0",BJ2835,0)</f>
      </c>
      <c r="AI2835" s="132" t="s">
        <v>91</v>
      </c>
      <c r="AJ2835" s="111">
        <f>IF(AN2835=0,I2835,0)</f>
      </c>
      <c r="AK2835" s="111">
        <f>IF(AN2835=12,I2835,0)</f>
      </c>
      <c r="AL2835" s="111">
        <f>IF(AN2835=21,I2835,0)</f>
      </c>
      <c r="AN2835" s="111" t="n">
        <v>21</v>
      </c>
      <c r="AO2835" s="111">
        <f>H2835*1</f>
      </c>
      <c r="AP2835" s="111">
        <f>H2835*(1-1)</f>
      </c>
      <c r="AQ2835" s="153" t="s">
        <v>173</v>
      </c>
      <c r="AV2835" s="111">
        <f>AW2835+AX2835</f>
      </c>
      <c r="AW2835" s="111">
        <f>G2835*AO2835</f>
      </c>
      <c r="AX2835" s="111">
        <f>G2835*AP2835</f>
      </c>
      <c r="AY2835" s="153" t="s">
        <v>2278</v>
      </c>
      <c r="AZ2835" s="153" t="s">
        <v>4546</v>
      </c>
      <c r="BA2835" s="132" t="s">
        <v>4138</v>
      </c>
      <c r="BC2835" s="111">
        <f>AW2835+AX2835</f>
      </c>
      <c r="BD2835" s="111">
        <f>H2835/(100-BE2835)*100</f>
      </c>
      <c r="BE2835" s="111" t="n">
        <v>0</v>
      </c>
      <c r="BF2835" s="111">
        <f>2835</f>
      </c>
      <c r="BH2835" s="111">
        <f>G2835*AO2835</f>
      </c>
      <c r="BI2835" s="111">
        <f>G2835*AP2835</f>
      </c>
      <c r="BJ2835" s="111">
        <f>G2835*H2835</f>
      </c>
      <c r="BK2835" s="111"/>
      <c r="BL2835" s="111" t="n">
        <v>767</v>
      </c>
      <c r="BW2835" s="111" t="n">
        <v>21</v>
      </c>
      <c r="BX2835" s="14" t="s">
        <v>4088</v>
      </c>
    </row>
    <row r="2836">
      <c r="A2836" s="9" t="s">
        <v>4554</v>
      </c>
      <c r="B2836" s="10" t="s">
        <v>91</v>
      </c>
      <c r="C2836" s="10" t="s">
        <v>4555</v>
      </c>
      <c r="D2836" s="14" t="s">
        <v>4556</v>
      </c>
      <c r="E2836" s="10"/>
      <c r="F2836" s="10" t="s">
        <v>3860</v>
      </c>
      <c r="G2836" s="111" t="n">
        <v>2</v>
      </c>
      <c r="H2836" s="152" t="n">
        <v>0</v>
      </c>
      <c r="I2836" s="111">
        <f>G2836*H2836</f>
      </c>
      <c r="J2836" s="153" t="s">
        <v>4</v>
      </c>
      <c r="K2836" s="146"/>
      <c r="Z2836" s="111">
        <f>IF(AQ2836="5",BJ2836,0)</f>
      </c>
      <c r="AB2836" s="111">
        <f>IF(AQ2836="1",BH2836,0)</f>
      </c>
      <c r="AC2836" s="111">
        <f>IF(AQ2836="1",BI2836,0)</f>
      </c>
      <c r="AD2836" s="111">
        <f>IF(AQ2836="7",BH2836,0)</f>
      </c>
      <c r="AE2836" s="111">
        <f>IF(AQ2836="7",BI2836,0)</f>
      </c>
      <c r="AF2836" s="111">
        <f>IF(AQ2836="2",BH2836,0)</f>
      </c>
      <c r="AG2836" s="111">
        <f>IF(AQ2836="2",BI2836,0)</f>
      </c>
      <c r="AH2836" s="111">
        <f>IF(AQ2836="0",BJ2836,0)</f>
      </c>
      <c r="AI2836" s="132" t="s">
        <v>91</v>
      </c>
      <c r="AJ2836" s="111">
        <f>IF(AN2836=0,I2836,0)</f>
      </c>
      <c r="AK2836" s="111">
        <f>IF(AN2836=12,I2836,0)</f>
      </c>
      <c r="AL2836" s="111">
        <f>IF(AN2836=21,I2836,0)</f>
      </c>
      <c r="AN2836" s="111" t="n">
        <v>21</v>
      </c>
      <c r="AO2836" s="111">
        <f>H2836*1</f>
      </c>
      <c r="AP2836" s="111">
        <f>H2836*(1-1)</f>
      </c>
      <c r="AQ2836" s="153" t="s">
        <v>173</v>
      </c>
      <c r="AV2836" s="111">
        <f>AW2836+AX2836</f>
      </c>
      <c r="AW2836" s="111">
        <f>G2836*AO2836</f>
      </c>
      <c r="AX2836" s="111">
        <f>G2836*AP2836</f>
      </c>
      <c r="AY2836" s="153" t="s">
        <v>2278</v>
      </c>
      <c r="AZ2836" s="153" t="s">
        <v>4546</v>
      </c>
      <c r="BA2836" s="132" t="s">
        <v>4138</v>
      </c>
      <c r="BC2836" s="111">
        <f>AW2836+AX2836</f>
      </c>
      <c r="BD2836" s="111">
        <f>H2836/(100-BE2836)*100</f>
      </c>
      <c r="BE2836" s="111" t="n">
        <v>0</v>
      </c>
      <c r="BF2836" s="111">
        <f>2836</f>
      </c>
      <c r="BH2836" s="111">
        <f>G2836*AO2836</f>
      </c>
      <c r="BI2836" s="111">
        <f>G2836*AP2836</f>
      </c>
      <c r="BJ2836" s="111">
        <f>G2836*H2836</f>
      </c>
      <c r="BK2836" s="111"/>
      <c r="BL2836" s="111" t="n">
        <v>767</v>
      </c>
      <c r="BW2836" s="111" t="n">
        <v>21</v>
      </c>
      <c r="BX2836" s="14" t="s">
        <v>4556</v>
      </c>
    </row>
    <row r="2837">
      <c r="A2837" s="147" t="s">
        <v>4</v>
      </c>
      <c r="B2837" s="148" t="s">
        <v>91</v>
      </c>
      <c r="C2837" s="148" t="s">
        <v>4107</v>
      </c>
      <c r="D2837" s="149" t="s">
        <v>4108</v>
      </c>
      <c r="E2837" s="148"/>
      <c r="F2837" s="150" t="s">
        <v>79</v>
      </c>
      <c r="G2837" s="150" t="s">
        <v>79</v>
      </c>
      <c r="H2837" s="151" t="s">
        <v>79</v>
      </c>
      <c r="I2837" s="117">
        <f>SUM(I2838:I2846)</f>
      </c>
      <c r="J2837" s="132" t="s">
        <v>4</v>
      </c>
      <c r="K2837" s="146"/>
      <c r="AI2837" s="132" t="s">
        <v>91</v>
      </c>
      <c r="AS2837" s="117">
        <f>SUM(AJ2838:AJ2846)</f>
      </c>
      <c r="AT2837" s="117">
        <f>SUM(AK2838:AK2846)</f>
      </c>
      <c r="AU2837" s="117">
        <f>SUM(AL2838:AL2846)</f>
      </c>
    </row>
    <row r="2838">
      <c r="A2838" s="9" t="s">
        <v>4557</v>
      </c>
      <c r="B2838" s="10" t="s">
        <v>91</v>
      </c>
      <c r="C2838" s="10" t="s">
        <v>4558</v>
      </c>
      <c r="D2838" s="14" t="s">
        <v>4559</v>
      </c>
      <c r="E2838" s="10"/>
      <c r="F2838" s="10" t="s">
        <v>1324</v>
      </c>
      <c r="G2838" s="111" t="n">
        <v>16</v>
      </c>
      <c r="H2838" s="152" t="n">
        <v>0</v>
      </c>
      <c r="I2838" s="111">
        <f>G2838*H2838</f>
      </c>
      <c r="J2838" s="153" t="s">
        <v>4</v>
      </c>
      <c r="K2838" s="146"/>
      <c r="Z2838" s="111">
        <f>IF(AQ2838="5",BJ2838,0)</f>
      </c>
      <c r="AB2838" s="111">
        <f>IF(AQ2838="1",BH2838,0)</f>
      </c>
      <c r="AC2838" s="111">
        <f>IF(AQ2838="1",BI2838,0)</f>
      </c>
      <c r="AD2838" s="111">
        <f>IF(AQ2838="7",BH2838,0)</f>
      </c>
      <c r="AE2838" s="111">
        <f>IF(AQ2838="7",BI2838,0)</f>
      </c>
      <c r="AF2838" s="111">
        <f>IF(AQ2838="2",BH2838,0)</f>
      </c>
      <c r="AG2838" s="111">
        <f>IF(AQ2838="2",BI2838,0)</f>
      </c>
      <c r="AH2838" s="111">
        <f>IF(AQ2838="0",BJ2838,0)</f>
      </c>
      <c r="AI2838" s="132" t="s">
        <v>91</v>
      </c>
      <c r="AJ2838" s="111">
        <f>IF(AN2838=0,I2838,0)</f>
      </c>
      <c r="AK2838" s="111">
        <f>IF(AN2838=12,I2838,0)</f>
      </c>
      <c r="AL2838" s="111">
        <f>IF(AN2838=21,I2838,0)</f>
      </c>
      <c r="AN2838" s="111" t="n">
        <v>21</v>
      </c>
      <c r="AO2838" s="111">
        <f>H2838*0</f>
      </c>
      <c r="AP2838" s="111">
        <f>H2838*(1-0)</f>
      </c>
      <c r="AQ2838" s="153" t="s">
        <v>130</v>
      </c>
      <c r="AV2838" s="111">
        <f>AW2838+AX2838</f>
      </c>
      <c r="AW2838" s="111">
        <f>G2838*AO2838</f>
      </c>
      <c r="AX2838" s="111">
        <f>G2838*AP2838</f>
      </c>
      <c r="AY2838" s="153" t="s">
        <v>4112</v>
      </c>
      <c r="AZ2838" s="153" t="s">
        <v>4137</v>
      </c>
      <c r="BA2838" s="132" t="s">
        <v>4138</v>
      </c>
      <c r="BC2838" s="111">
        <f>AW2838+AX2838</f>
      </c>
      <c r="BD2838" s="111">
        <f>H2838/(100-BE2838)*100</f>
      </c>
      <c r="BE2838" s="111" t="n">
        <v>0</v>
      </c>
      <c r="BF2838" s="111">
        <f>2838</f>
      </c>
      <c r="BH2838" s="111">
        <f>G2838*AO2838</f>
      </c>
      <c r="BI2838" s="111">
        <f>G2838*AP2838</f>
      </c>
      <c r="BJ2838" s="111">
        <f>G2838*H2838</f>
      </c>
      <c r="BK2838" s="111"/>
      <c r="BL2838" s="111"/>
      <c r="BW2838" s="111" t="n">
        <v>21</v>
      </c>
      <c r="BX2838" s="14" t="s">
        <v>4559</v>
      </c>
    </row>
    <row r="2839" customHeight="true" ht="13.5">
      <c r="A2839" s="159"/>
      <c r="C2839" s="160" t="s">
        <v>146</v>
      </c>
      <c r="D2839" s="161" t="s">
        <v>4560</v>
      </c>
      <c r="E2839" s="156"/>
      <c r="F2839" s="156"/>
      <c r="G2839" s="156"/>
      <c r="H2839" s="162"/>
      <c r="I2839" s="156"/>
      <c r="J2839" s="156"/>
      <c r="K2839" s="163"/>
    </row>
    <row r="2840">
      <c r="A2840" s="154"/>
      <c r="B2840" s="155"/>
      <c r="C2840" s="155"/>
      <c r="D2840" s="156" t="s">
        <v>202</v>
      </c>
      <c r="E2840" s="156" t="s">
        <v>4561</v>
      </c>
      <c r="F2840" s="155"/>
      <c r="G2840" s="157" t="n">
        <v>16</v>
      </c>
      <c r="H2840" s="158"/>
      <c r="I2840" s="155"/>
      <c r="J2840" s="155"/>
      <c r="K2840" s="146"/>
    </row>
    <row r="2841">
      <c r="A2841" s="154"/>
      <c r="B2841" s="155"/>
      <c r="C2841" s="155"/>
      <c r="D2841" s="156" t="s">
        <v>4</v>
      </c>
      <c r="E2841" s="156" t="s">
        <v>4562</v>
      </c>
      <c r="F2841" s="155"/>
      <c r="G2841" s="157" t="n">
        <v>0</v>
      </c>
      <c r="H2841" s="158"/>
      <c r="I2841" s="155"/>
      <c r="J2841" s="155"/>
      <c r="K2841" s="146"/>
    </row>
    <row r="2842" ht="24.75">
      <c r="A2842" s="9" t="s">
        <v>4563</v>
      </c>
      <c r="B2842" s="10" t="s">
        <v>91</v>
      </c>
      <c r="C2842" s="10" t="s">
        <v>4564</v>
      </c>
      <c r="D2842" s="14" t="s">
        <v>4565</v>
      </c>
      <c r="E2842" s="10"/>
      <c r="F2842" s="10" t="s">
        <v>3860</v>
      </c>
      <c r="G2842" s="111" t="n">
        <v>1</v>
      </c>
      <c r="H2842" s="152" t="n">
        <v>0</v>
      </c>
      <c r="I2842" s="111">
        <f>G2842*H2842</f>
      </c>
      <c r="J2842" s="153" t="s">
        <v>4</v>
      </c>
      <c r="K2842" s="146"/>
      <c r="Z2842" s="111">
        <f>IF(AQ2842="5",BJ2842,0)</f>
      </c>
      <c r="AB2842" s="111">
        <f>IF(AQ2842="1",BH2842,0)</f>
      </c>
      <c r="AC2842" s="111">
        <f>IF(AQ2842="1",BI2842,0)</f>
      </c>
      <c r="AD2842" s="111">
        <f>IF(AQ2842="7",BH2842,0)</f>
      </c>
      <c r="AE2842" s="111">
        <f>IF(AQ2842="7",BI2842,0)</f>
      </c>
      <c r="AF2842" s="111">
        <f>IF(AQ2842="2",BH2842,0)</f>
      </c>
      <c r="AG2842" s="111">
        <f>IF(AQ2842="2",BI2842,0)</f>
      </c>
      <c r="AH2842" s="111">
        <f>IF(AQ2842="0",BJ2842,0)</f>
      </c>
      <c r="AI2842" s="132" t="s">
        <v>91</v>
      </c>
      <c r="AJ2842" s="111">
        <f>IF(AN2842=0,I2842,0)</f>
      </c>
      <c r="AK2842" s="111">
        <f>IF(AN2842=12,I2842,0)</f>
      </c>
      <c r="AL2842" s="111">
        <f>IF(AN2842=21,I2842,0)</f>
      </c>
      <c r="AN2842" s="111" t="n">
        <v>21</v>
      </c>
      <c r="AO2842" s="111">
        <f>H2842*0</f>
      </c>
      <c r="AP2842" s="111">
        <f>H2842*(1-0)</f>
      </c>
      <c r="AQ2842" s="153" t="s">
        <v>130</v>
      </c>
      <c r="AV2842" s="111">
        <f>AW2842+AX2842</f>
      </c>
      <c r="AW2842" s="111">
        <f>G2842*AO2842</f>
      </c>
      <c r="AX2842" s="111">
        <f>G2842*AP2842</f>
      </c>
      <c r="AY2842" s="153" t="s">
        <v>4112</v>
      </c>
      <c r="AZ2842" s="153" t="s">
        <v>4137</v>
      </c>
      <c r="BA2842" s="132" t="s">
        <v>4138</v>
      </c>
      <c r="BC2842" s="111">
        <f>AW2842+AX2842</f>
      </c>
      <c r="BD2842" s="111">
        <f>H2842/(100-BE2842)*100</f>
      </c>
      <c r="BE2842" s="111" t="n">
        <v>0</v>
      </c>
      <c r="BF2842" s="111">
        <f>2842</f>
      </c>
      <c r="BH2842" s="111">
        <f>G2842*AO2842</f>
      </c>
      <c r="BI2842" s="111">
        <f>G2842*AP2842</f>
      </c>
      <c r="BJ2842" s="111">
        <f>G2842*H2842</f>
      </c>
      <c r="BK2842" s="111"/>
      <c r="BL2842" s="111"/>
      <c r="BW2842" s="111" t="n">
        <v>21</v>
      </c>
      <c r="BX2842" s="14" t="s">
        <v>4565</v>
      </c>
    </row>
    <row r="2843" ht="24.75">
      <c r="A2843" s="9" t="s">
        <v>4566</v>
      </c>
      <c r="B2843" s="10" t="s">
        <v>91</v>
      </c>
      <c r="C2843" s="10" t="s">
        <v>4567</v>
      </c>
      <c r="D2843" s="14" t="s">
        <v>4568</v>
      </c>
      <c r="E2843" s="10"/>
      <c r="F2843" s="10" t="s">
        <v>3860</v>
      </c>
      <c r="G2843" s="111" t="n">
        <v>1</v>
      </c>
      <c r="H2843" s="152" t="n">
        <v>0</v>
      </c>
      <c r="I2843" s="111">
        <f>G2843*H2843</f>
      </c>
      <c r="J2843" s="153" t="s">
        <v>4</v>
      </c>
      <c r="K2843" s="146"/>
      <c r="Z2843" s="111">
        <f>IF(AQ2843="5",BJ2843,0)</f>
      </c>
      <c r="AB2843" s="111">
        <f>IF(AQ2843="1",BH2843,0)</f>
      </c>
      <c r="AC2843" s="111">
        <f>IF(AQ2843="1",BI2843,0)</f>
      </c>
      <c r="AD2843" s="111">
        <f>IF(AQ2843="7",BH2843,0)</f>
      </c>
      <c r="AE2843" s="111">
        <f>IF(AQ2843="7",BI2843,0)</f>
      </c>
      <c r="AF2843" s="111">
        <f>IF(AQ2843="2",BH2843,0)</f>
      </c>
      <c r="AG2843" s="111">
        <f>IF(AQ2843="2",BI2843,0)</f>
      </c>
      <c r="AH2843" s="111">
        <f>IF(AQ2843="0",BJ2843,0)</f>
      </c>
      <c r="AI2843" s="132" t="s">
        <v>91</v>
      </c>
      <c r="AJ2843" s="111">
        <f>IF(AN2843=0,I2843,0)</f>
      </c>
      <c r="AK2843" s="111">
        <f>IF(AN2843=12,I2843,0)</f>
      </c>
      <c r="AL2843" s="111">
        <f>IF(AN2843=21,I2843,0)</f>
      </c>
      <c r="AN2843" s="111" t="n">
        <v>21</v>
      </c>
      <c r="AO2843" s="111">
        <f>H2843*0</f>
      </c>
      <c r="AP2843" s="111">
        <f>H2843*(1-0)</f>
      </c>
      <c r="AQ2843" s="153" t="s">
        <v>130</v>
      </c>
      <c r="AV2843" s="111">
        <f>AW2843+AX2843</f>
      </c>
      <c r="AW2843" s="111">
        <f>G2843*AO2843</f>
      </c>
      <c r="AX2843" s="111">
        <f>G2843*AP2843</f>
      </c>
      <c r="AY2843" s="153" t="s">
        <v>4112</v>
      </c>
      <c r="AZ2843" s="153" t="s">
        <v>4137</v>
      </c>
      <c r="BA2843" s="132" t="s">
        <v>4138</v>
      </c>
      <c r="BC2843" s="111">
        <f>AW2843+AX2843</f>
      </c>
      <c r="BD2843" s="111">
        <f>H2843/(100-BE2843)*100</f>
      </c>
      <c r="BE2843" s="111" t="n">
        <v>0</v>
      </c>
      <c r="BF2843" s="111">
        <f>2843</f>
      </c>
      <c r="BH2843" s="111">
        <f>G2843*AO2843</f>
      </c>
      <c r="BI2843" s="111">
        <f>G2843*AP2843</f>
      </c>
      <c r="BJ2843" s="111">
        <f>G2843*H2843</f>
      </c>
      <c r="BK2843" s="111"/>
      <c r="BL2843" s="111"/>
      <c r="BW2843" s="111" t="n">
        <v>21</v>
      </c>
      <c r="BX2843" s="14" t="s">
        <v>4568</v>
      </c>
    </row>
    <row r="2844">
      <c r="A2844" s="9" t="s">
        <v>4569</v>
      </c>
      <c r="B2844" s="10" t="s">
        <v>91</v>
      </c>
      <c r="C2844" s="10" t="s">
        <v>4570</v>
      </c>
      <c r="D2844" s="14" t="s">
        <v>4571</v>
      </c>
      <c r="E2844" s="10"/>
      <c r="F2844" s="10" t="s">
        <v>2277</v>
      </c>
      <c r="G2844" s="111" t="n">
        <v>27</v>
      </c>
      <c r="H2844" s="152" t="n">
        <v>0</v>
      </c>
      <c r="I2844" s="111">
        <f>G2844*H2844</f>
      </c>
      <c r="J2844" s="153" t="s">
        <v>4</v>
      </c>
      <c r="K2844" s="146"/>
      <c r="Z2844" s="111">
        <f>IF(AQ2844="5",BJ2844,0)</f>
      </c>
      <c r="AB2844" s="111">
        <f>IF(AQ2844="1",BH2844,0)</f>
      </c>
      <c r="AC2844" s="111">
        <f>IF(AQ2844="1",BI2844,0)</f>
      </c>
      <c r="AD2844" s="111">
        <f>IF(AQ2844="7",BH2844,0)</f>
      </c>
      <c r="AE2844" s="111">
        <f>IF(AQ2844="7",BI2844,0)</f>
      </c>
      <c r="AF2844" s="111">
        <f>IF(AQ2844="2",BH2844,0)</f>
      </c>
      <c r="AG2844" s="111">
        <f>IF(AQ2844="2",BI2844,0)</f>
      </c>
      <c r="AH2844" s="111">
        <f>IF(AQ2844="0",BJ2844,0)</f>
      </c>
      <c r="AI2844" s="132" t="s">
        <v>91</v>
      </c>
      <c r="AJ2844" s="111">
        <f>IF(AN2844=0,I2844,0)</f>
      </c>
      <c r="AK2844" s="111">
        <f>IF(AN2844=12,I2844,0)</f>
      </c>
      <c r="AL2844" s="111">
        <f>IF(AN2844=21,I2844,0)</f>
      </c>
      <c r="AN2844" s="111" t="n">
        <v>21</v>
      </c>
      <c r="AO2844" s="111">
        <f>H2844*1</f>
      </c>
      <c r="AP2844" s="111">
        <f>H2844*(1-1)</f>
      </c>
      <c r="AQ2844" s="153" t="s">
        <v>130</v>
      </c>
      <c r="AV2844" s="111">
        <f>AW2844+AX2844</f>
      </c>
      <c r="AW2844" s="111">
        <f>G2844*AO2844</f>
      </c>
      <c r="AX2844" s="111">
        <f>G2844*AP2844</f>
      </c>
      <c r="AY2844" s="153" t="s">
        <v>4112</v>
      </c>
      <c r="AZ2844" s="153" t="s">
        <v>4137</v>
      </c>
      <c r="BA2844" s="132" t="s">
        <v>4138</v>
      </c>
      <c r="BC2844" s="111">
        <f>AW2844+AX2844</f>
      </c>
      <c r="BD2844" s="111">
        <f>H2844/(100-BE2844)*100</f>
      </c>
      <c r="BE2844" s="111" t="n">
        <v>0</v>
      </c>
      <c r="BF2844" s="111">
        <f>2844</f>
      </c>
      <c r="BH2844" s="111">
        <f>G2844*AO2844</f>
      </c>
      <c r="BI2844" s="111">
        <f>G2844*AP2844</f>
      </c>
      <c r="BJ2844" s="111">
        <f>G2844*H2844</f>
      </c>
      <c r="BK2844" s="111"/>
      <c r="BL2844" s="111"/>
      <c r="BW2844" s="111" t="n">
        <v>21</v>
      </c>
      <c r="BX2844" s="14" t="s">
        <v>4571</v>
      </c>
    </row>
    <row r="2845">
      <c r="A2845" s="9" t="s">
        <v>4572</v>
      </c>
      <c r="B2845" s="10" t="s">
        <v>91</v>
      </c>
      <c r="C2845" s="10" t="s">
        <v>4573</v>
      </c>
      <c r="D2845" s="14" t="s">
        <v>4574</v>
      </c>
      <c r="E2845" s="10"/>
      <c r="F2845" s="10" t="s">
        <v>2277</v>
      </c>
      <c r="G2845" s="111" t="n">
        <v>2</v>
      </c>
      <c r="H2845" s="152" t="n">
        <v>0</v>
      </c>
      <c r="I2845" s="111">
        <f>G2845*H2845</f>
      </c>
      <c r="J2845" s="153" t="s">
        <v>4</v>
      </c>
      <c r="K2845" s="146"/>
      <c r="Z2845" s="111">
        <f>IF(AQ2845="5",BJ2845,0)</f>
      </c>
      <c r="AB2845" s="111">
        <f>IF(AQ2845="1",BH2845,0)</f>
      </c>
      <c r="AC2845" s="111">
        <f>IF(AQ2845="1",BI2845,0)</f>
      </c>
      <c r="AD2845" s="111">
        <f>IF(AQ2845="7",BH2845,0)</f>
      </c>
      <c r="AE2845" s="111">
        <f>IF(AQ2845="7",BI2845,0)</f>
      </c>
      <c r="AF2845" s="111">
        <f>IF(AQ2845="2",BH2845,0)</f>
      </c>
      <c r="AG2845" s="111">
        <f>IF(AQ2845="2",BI2845,0)</f>
      </c>
      <c r="AH2845" s="111">
        <f>IF(AQ2845="0",BJ2845,0)</f>
      </c>
      <c r="AI2845" s="132" t="s">
        <v>91</v>
      </c>
      <c r="AJ2845" s="111">
        <f>IF(AN2845=0,I2845,0)</f>
      </c>
      <c r="AK2845" s="111">
        <f>IF(AN2845=12,I2845,0)</f>
      </c>
      <c r="AL2845" s="111">
        <f>IF(AN2845=21,I2845,0)</f>
      </c>
      <c r="AN2845" s="111" t="n">
        <v>21</v>
      </c>
      <c r="AO2845" s="111">
        <f>H2845*1</f>
      </c>
      <c r="AP2845" s="111">
        <f>H2845*(1-1)</f>
      </c>
      <c r="AQ2845" s="153" t="s">
        <v>130</v>
      </c>
      <c r="AV2845" s="111">
        <f>AW2845+AX2845</f>
      </c>
      <c r="AW2845" s="111">
        <f>G2845*AO2845</f>
      </c>
      <c r="AX2845" s="111">
        <f>G2845*AP2845</f>
      </c>
      <c r="AY2845" s="153" t="s">
        <v>4112</v>
      </c>
      <c r="AZ2845" s="153" t="s">
        <v>4137</v>
      </c>
      <c r="BA2845" s="132" t="s">
        <v>4138</v>
      </c>
      <c r="BC2845" s="111">
        <f>AW2845+AX2845</f>
      </c>
      <c r="BD2845" s="111">
        <f>H2845/(100-BE2845)*100</f>
      </c>
      <c r="BE2845" s="111" t="n">
        <v>0</v>
      </c>
      <c r="BF2845" s="111">
        <f>2845</f>
      </c>
      <c r="BH2845" s="111">
        <f>G2845*AO2845</f>
      </c>
      <c r="BI2845" s="111">
        <f>G2845*AP2845</f>
      </c>
      <c r="BJ2845" s="111">
        <f>G2845*H2845</f>
      </c>
      <c r="BK2845" s="111"/>
      <c r="BL2845" s="111"/>
      <c r="BW2845" s="111" t="n">
        <v>21</v>
      </c>
      <c r="BX2845" s="14" t="s">
        <v>4574</v>
      </c>
    </row>
    <row r="2846">
      <c r="A2846" s="9" t="s">
        <v>4575</v>
      </c>
      <c r="B2846" s="10" t="s">
        <v>91</v>
      </c>
      <c r="C2846" s="10" t="s">
        <v>4576</v>
      </c>
      <c r="D2846" s="14" t="s">
        <v>4577</v>
      </c>
      <c r="E2846" s="10"/>
      <c r="F2846" s="10" t="s">
        <v>2277</v>
      </c>
      <c r="G2846" s="111" t="n">
        <v>1</v>
      </c>
      <c r="H2846" s="152" t="n">
        <v>0</v>
      </c>
      <c r="I2846" s="111">
        <f>G2846*H2846</f>
      </c>
      <c r="J2846" s="153" t="s">
        <v>4</v>
      </c>
      <c r="K2846" s="146"/>
      <c r="Z2846" s="111">
        <f>IF(AQ2846="5",BJ2846,0)</f>
      </c>
      <c r="AB2846" s="111">
        <f>IF(AQ2846="1",BH2846,0)</f>
      </c>
      <c r="AC2846" s="111">
        <f>IF(AQ2846="1",BI2846,0)</f>
      </c>
      <c r="AD2846" s="111">
        <f>IF(AQ2846="7",BH2846,0)</f>
      </c>
      <c r="AE2846" s="111">
        <f>IF(AQ2846="7",BI2846,0)</f>
      </c>
      <c r="AF2846" s="111">
        <f>IF(AQ2846="2",BH2846,0)</f>
      </c>
      <c r="AG2846" s="111">
        <f>IF(AQ2846="2",BI2846,0)</f>
      </c>
      <c r="AH2846" s="111">
        <f>IF(AQ2846="0",BJ2846,0)</f>
      </c>
      <c r="AI2846" s="132" t="s">
        <v>91</v>
      </c>
      <c r="AJ2846" s="111">
        <f>IF(AN2846=0,I2846,0)</f>
      </c>
      <c r="AK2846" s="111">
        <f>IF(AN2846=12,I2846,0)</f>
      </c>
      <c r="AL2846" s="111">
        <f>IF(AN2846=21,I2846,0)</f>
      </c>
      <c r="AN2846" s="111" t="n">
        <v>21</v>
      </c>
      <c r="AO2846" s="111">
        <f>H2846*1</f>
      </c>
      <c r="AP2846" s="111">
        <f>H2846*(1-1)</f>
      </c>
      <c r="AQ2846" s="153" t="s">
        <v>130</v>
      </c>
      <c r="AV2846" s="111">
        <f>AW2846+AX2846</f>
      </c>
      <c r="AW2846" s="111">
        <f>G2846*AO2846</f>
      </c>
      <c r="AX2846" s="111">
        <f>G2846*AP2846</f>
      </c>
      <c r="AY2846" s="153" t="s">
        <v>4112</v>
      </c>
      <c r="AZ2846" s="153" t="s">
        <v>4137</v>
      </c>
      <c r="BA2846" s="132" t="s">
        <v>4138</v>
      </c>
      <c r="BC2846" s="111">
        <f>AW2846+AX2846</f>
      </c>
      <c r="BD2846" s="111">
        <f>H2846/(100-BE2846)*100</f>
      </c>
      <c r="BE2846" s="111" t="n">
        <v>0</v>
      </c>
      <c r="BF2846" s="111">
        <f>2846</f>
      </c>
      <c r="BH2846" s="111">
        <f>G2846*AO2846</f>
      </c>
      <c r="BI2846" s="111">
        <f>G2846*AP2846</f>
      </c>
      <c r="BJ2846" s="111">
        <f>G2846*H2846</f>
      </c>
      <c r="BK2846" s="111"/>
      <c r="BL2846" s="111"/>
      <c r="BW2846" s="111" t="n">
        <v>21</v>
      </c>
      <c r="BX2846" s="14" t="s">
        <v>4577</v>
      </c>
    </row>
    <row r="2847">
      <c r="A2847" s="147" t="s">
        <v>4</v>
      </c>
      <c r="B2847" s="148" t="s">
        <v>91</v>
      </c>
      <c r="C2847" s="148" t="s">
        <v>4578</v>
      </c>
      <c r="D2847" s="149" t="s">
        <v>4579</v>
      </c>
      <c r="E2847" s="148"/>
      <c r="F2847" s="150" t="s">
        <v>79</v>
      </c>
      <c r="G2847" s="150" t="s">
        <v>79</v>
      </c>
      <c r="H2847" s="151" t="s">
        <v>79</v>
      </c>
      <c r="I2847" s="117">
        <f>SUM(I2848:I2850)</f>
      </c>
      <c r="J2847" s="132" t="s">
        <v>4</v>
      </c>
      <c r="K2847" s="146"/>
      <c r="AI2847" s="132" t="s">
        <v>91</v>
      </c>
      <c r="AS2847" s="117">
        <f>SUM(AJ2848:AJ2850)</f>
      </c>
      <c r="AT2847" s="117">
        <f>SUM(AK2848:AK2850)</f>
      </c>
      <c r="AU2847" s="117">
        <f>SUM(AL2848:AL2850)</f>
      </c>
    </row>
    <row r="2848">
      <c r="A2848" s="9" t="s">
        <v>4580</v>
      </c>
      <c r="B2848" s="10" t="s">
        <v>91</v>
      </c>
      <c r="C2848" s="10" t="s">
        <v>4581</v>
      </c>
      <c r="D2848" s="14" t="s">
        <v>4582</v>
      </c>
      <c r="E2848" s="10"/>
      <c r="F2848" s="10" t="s">
        <v>133</v>
      </c>
      <c r="G2848" s="111" t="n">
        <v>3</v>
      </c>
      <c r="H2848" s="152" t="n">
        <v>0</v>
      </c>
      <c r="I2848" s="111">
        <f>G2848*H2848</f>
      </c>
      <c r="J2848" s="153" t="s">
        <v>4</v>
      </c>
      <c r="K2848" s="146"/>
      <c r="Z2848" s="111">
        <f>IF(AQ2848="5",BJ2848,0)</f>
      </c>
      <c r="AB2848" s="111">
        <f>IF(AQ2848="1",BH2848,0)</f>
      </c>
      <c r="AC2848" s="111">
        <f>IF(AQ2848="1",BI2848,0)</f>
      </c>
      <c r="AD2848" s="111">
        <f>IF(AQ2848="7",BH2848,0)</f>
      </c>
      <c r="AE2848" s="111">
        <f>IF(AQ2848="7",BI2848,0)</f>
      </c>
      <c r="AF2848" s="111">
        <f>IF(AQ2848="2",BH2848,0)</f>
      </c>
      <c r="AG2848" s="111">
        <f>IF(AQ2848="2",BI2848,0)</f>
      </c>
      <c r="AH2848" s="111">
        <f>IF(AQ2848="0",BJ2848,0)</f>
      </c>
      <c r="AI2848" s="132" t="s">
        <v>91</v>
      </c>
      <c r="AJ2848" s="111">
        <f>IF(AN2848=0,I2848,0)</f>
      </c>
      <c r="AK2848" s="111">
        <f>IF(AN2848=12,I2848,0)</f>
      </c>
      <c r="AL2848" s="111">
        <f>IF(AN2848=21,I2848,0)</f>
      </c>
      <c r="AN2848" s="111" t="n">
        <v>21</v>
      </c>
      <c r="AO2848" s="111">
        <f>H2848*0</f>
      </c>
      <c r="AP2848" s="111">
        <f>H2848*(1-0)</f>
      </c>
      <c r="AQ2848" s="153" t="s">
        <v>130</v>
      </c>
      <c r="AV2848" s="111">
        <f>AW2848+AX2848</f>
      </c>
      <c r="AW2848" s="111">
        <f>G2848*AO2848</f>
      </c>
      <c r="AX2848" s="111">
        <f>G2848*AP2848</f>
      </c>
      <c r="AY2848" s="153" t="s">
        <v>4583</v>
      </c>
      <c r="AZ2848" s="153" t="s">
        <v>4137</v>
      </c>
      <c r="BA2848" s="132" t="s">
        <v>4138</v>
      </c>
      <c r="BC2848" s="111">
        <f>AW2848+AX2848</f>
      </c>
      <c r="BD2848" s="111">
        <f>H2848/(100-BE2848)*100</f>
      </c>
      <c r="BE2848" s="111" t="n">
        <v>0</v>
      </c>
      <c r="BF2848" s="111">
        <f>2848</f>
      </c>
      <c r="BH2848" s="111">
        <f>G2848*AO2848</f>
      </c>
      <c r="BI2848" s="111">
        <f>G2848*AP2848</f>
      </c>
      <c r="BJ2848" s="111">
        <f>G2848*H2848</f>
      </c>
      <c r="BK2848" s="111"/>
      <c r="BL2848" s="111"/>
      <c r="BW2848" s="111" t="n">
        <v>21</v>
      </c>
      <c r="BX2848" s="14" t="s">
        <v>4582</v>
      </c>
    </row>
    <row r="2849">
      <c r="A2849" s="9" t="s">
        <v>4584</v>
      </c>
      <c r="B2849" s="10" t="s">
        <v>91</v>
      </c>
      <c r="C2849" s="10" t="s">
        <v>4585</v>
      </c>
      <c r="D2849" s="14" t="s">
        <v>4586</v>
      </c>
      <c r="E2849" s="10"/>
      <c r="F2849" s="10" t="s">
        <v>133</v>
      </c>
      <c r="G2849" s="111" t="n">
        <v>2</v>
      </c>
      <c r="H2849" s="152" t="n">
        <v>0</v>
      </c>
      <c r="I2849" s="111">
        <f>G2849*H2849</f>
      </c>
      <c r="J2849" s="153" t="s">
        <v>4</v>
      </c>
      <c r="K2849" s="146"/>
      <c r="Z2849" s="111">
        <f>IF(AQ2849="5",BJ2849,0)</f>
      </c>
      <c r="AB2849" s="111">
        <f>IF(AQ2849="1",BH2849,0)</f>
      </c>
      <c r="AC2849" s="111">
        <f>IF(AQ2849="1",BI2849,0)</f>
      </c>
      <c r="AD2849" s="111">
        <f>IF(AQ2849="7",BH2849,0)</f>
      </c>
      <c r="AE2849" s="111">
        <f>IF(AQ2849="7",BI2849,0)</f>
      </c>
      <c r="AF2849" s="111">
        <f>IF(AQ2849="2",BH2849,0)</f>
      </c>
      <c r="AG2849" s="111">
        <f>IF(AQ2849="2",BI2849,0)</f>
      </c>
      <c r="AH2849" s="111">
        <f>IF(AQ2849="0",BJ2849,0)</f>
      </c>
      <c r="AI2849" s="132" t="s">
        <v>91</v>
      </c>
      <c r="AJ2849" s="111">
        <f>IF(AN2849=0,I2849,0)</f>
      </c>
      <c r="AK2849" s="111">
        <f>IF(AN2849=12,I2849,0)</f>
      </c>
      <c r="AL2849" s="111">
        <f>IF(AN2849=21,I2849,0)</f>
      </c>
      <c r="AN2849" s="111" t="n">
        <v>21</v>
      </c>
      <c r="AO2849" s="111">
        <f>H2849*1</f>
      </c>
      <c r="AP2849" s="111">
        <f>H2849*(1-1)</f>
      </c>
      <c r="AQ2849" s="153" t="s">
        <v>130</v>
      </c>
      <c r="AV2849" s="111">
        <f>AW2849+AX2849</f>
      </c>
      <c r="AW2849" s="111">
        <f>G2849*AO2849</f>
      </c>
      <c r="AX2849" s="111">
        <f>G2849*AP2849</f>
      </c>
      <c r="AY2849" s="153" t="s">
        <v>4583</v>
      </c>
      <c r="AZ2849" s="153" t="s">
        <v>4137</v>
      </c>
      <c r="BA2849" s="132" t="s">
        <v>4138</v>
      </c>
      <c r="BC2849" s="111">
        <f>AW2849+AX2849</f>
      </c>
      <c r="BD2849" s="111">
        <f>H2849/(100-BE2849)*100</f>
      </c>
      <c r="BE2849" s="111" t="n">
        <v>0</v>
      </c>
      <c r="BF2849" s="111">
        <f>2849</f>
      </c>
      <c r="BH2849" s="111">
        <f>G2849*AO2849</f>
      </c>
      <c r="BI2849" s="111">
        <f>G2849*AP2849</f>
      </c>
      <c r="BJ2849" s="111">
        <f>G2849*H2849</f>
      </c>
      <c r="BK2849" s="111"/>
      <c r="BL2849" s="111"/>
      <c r="BW2849" s="111" t="n">
        <v>21</v>
      </c>
      <c r="BX2849" s="14" t="s">
        <v>4586</v>
      </c>
    </row>
    <row r="2850">
      <c r="A2850" s="9" t="s">
        <v>4587</v>
      </c>
      <c r="B2850" s="10" t="s">
        <v>91</v>
      </c>
      <c r="C2850" s="10" t="s">
        <v>4588</v>
      </c>
      <c r="D2850" s="14" t="s">
        <v>4589</v>
      </c>
      <c r="E2850" s="10"/>
      <c r="F2850" s="10" t="s">
        <v>2277</v>
      </c>
      <c r="G2850" s="111" t="n">
        <v>1</v>
      </c>
      <c r="H2850" s="152" t="n">
        <v>0</v>
      </c>
      <c r="I2850" s="111">
        <f>G2850*H2850</f>
      </c>
      <c r="J2850" s="153" t="s">
        <v>4</v>
      </c>
      <c r="K2850" s="146"/>
      <c r="Z2850" s="111">
        <f>IF(AQ2850="5",BJ2850,0)</f>
      </c>
      <c r="AB2850" s="111">
        <f>IF(AQ2850="1",BH2850,0)</f>
      </c>
      <c r="AC2850" s="111">
        <f>IF(AQ2850="1",BI2850,0)</f>
      </c>
      <c r="AD2850" s="111">
        <f>IF(AQ2850="7",BH2850,0)</f>
      </c>
      <c r="AE2850" s="111">
        <f>IF(AQ2850="7",BI2850,0)</f>
      </c>
      <c r="AF2850" s="111">
        <f>IF(AQ2850="2",BH2850,0)</f>
      </c>
      <c r="AG2850" s="111">
        <f>IF(AQ2850="2",BI2850,0)</f>
      </c>
      <c r="AH2850" s="111">
        <f>IF(AQ2850="0",BJ2850,0)</f>
      </c>
      <c r="AI2850" s="132" t="s">
        <v>91</v>
      </c>
      <c r="AJ2850" s="111">
        <f>IF(AN2850=0,I2850,0)</f>
      </c>
      <c r="AK2850" s="111">
        <f>IF(AN2850=12,I2850,0)</f>
      </c>
      <c r="AL2850" s="111">
        <f>IF(AN2850=21,I2850,0)</f>
      </c>
      <c r="AN2850" s="111" t="n">
        <v>21</v>
      </c>
      <c r="AO2850" s="111">
        <f>H2850*1</f>
      </c>
      <c r="AP2850" s="111">
        <f>H2850*(1-1)</f>
      </c>
      <c r="AQ2850" s="153" t="s">
        <v>130</v>
      </c>
      <c r="AV2850" s="111">
        <f>AW2850+AX2850</f>
      </c>
      <c r="AW2850" s="111">
        <f>G2850*AO2850</f>
      </c>
      <c r="AX2850" s="111">
        <f>G2850*AP2850</f>
      </c>
      <c r="AY2850" s="153" t="s">
        <v>4583</v>
      </c>
      <c r="AZ2850" s="153" t="s">
        <v>4137</v>
      </c>
      <c r="BA2850" s="132" t="s">
        <v>4138</v>
      </c>
      <c r="BC2850" s="111">
        <f>AW2850+AX2850</f>
      </c>
      <c r="BD2850" s="111">
        <f>H2850/(100-BE2850)*100</f>
      </c>
      <c r="BE2850" s="111" t="n">
        <v>0</v>
      </c>
      <c r="BF2850" s="111">
        <f>2850</f>
      </c>
      <c r="BH2850" s="111">
        <f>G2850*AO2850</f>
      </c>
      <c r="BI2850" s="111">
        <f>G2850*AP2850</f>
      </c>
      <c r="BJ2850" s="111">
        <f>G2850*H2850</f>
      </c>
      <c r="BK2850" s="111"/>
      <c r="BL2850" s="111"/>
      <c r="BW2850" s="111" t="n">
        <v>21</v>
      </c>
      <c r="BX2850" s="14" t="s">
        <v>4589</v>
      </c>
    </row>
    <row r="2851">
      <c r="A2851" s="147" t="s">
        <v>4</v>
      </c>
      <c r="B2851" s="148" t="s">
        <v>93</v>
      </c>
      <c r="C2851" s="148" t="s">
        <v>4</v>
      </c>
      <c r="D2851" s="149" t="s">
        <v>94</v>
      </c>
      <c r="E2851" s="148"/>
      <c r="F2851" s="150" t="s">
        <v>79</v>
      </c>
      <c r="G2851" s="150" t="s">
        <v>79</v>
      </c>
      <c r="H2851" s="151" t="s">
        <v>79</v>
      </c>
      <c r="I2851" s="117">
        <f>I2852+I2860+I2898+I2901+I2917+I2921+I2951+I2954+I3075+I3092</f>
      </c>
      <c r="J2851" s="132" t="s">
        <v>4</v>
      </c>
      <c r="K2851" s="146"/>
    </row>
    <row r="2852">
      <c r="A2852" s="147" t="s">
        <v>4</v>
      </c>
      <c r="B2852" s="148" t="s">
        <v>93</v>
      </c>
      <c r="C2852" s="148" t="s">
        <v>534</v>
      </c>
      <c r="D2852" s="149" t="s">
        <v>970</v>
      </c>
      <c r="E2852" s="148"/>
      <c r="F2852" s="150" t="s">
        <v>79</v>
      </c>
      <c r="G2852" s="150" t="s">
        <v>79</v>
      </c>
      <c r="H2852" s="151" t="s">
        <v>79</v>
      </c>
      <c r="I2852" s="117">
        <f>SUM(I2853:I2857)</f>
      </c>
      <c r="J2852" s="132" t="s">
        <v>4</v>
      </c>
      <c r="K2852" s="146"/>
      <c r="AI2852" s="132" t="s">
        <v>93</v>
      </c>
      <c r="AS2852" s="117">
        <f>SUM(AJ2853:AJ2857)</f>
      </c>
      <c r="AT2852" s="117">
        <f>SUM(AK2853:AK2857)</f>
      </c>
      <c r="AU2852" s="117">
        <f>SUM(AL2853:AL2857)</f>
      </c>
    </row>
    <row r="2853">
      <c r="A2853" s="9" t="s">
        <v>4590</v>
      </c>
      <c r="B2853" s="10" t="s">
        <v>93</v>
      </c>
      <c r="C2853" s="10" t="s">
        <v>4591</v>
      </c>
      <c r="D2853" s="14" t="s">
        <v>4592</v>
      </c>
      <c r="E2853" s="10"/>
      <c r="F2853" s="10" t="s">
        <v>145</v>
      </c>
      <c r="G2853" s="111" t="n">
        <v>29.65</v>
      </c>
      <c r="H2853" s="152" t="n">
        <v>0</v>
      </c>
      <c r="I2853" s="111">
        <f>G2853*H2853</f>
      </c>
      <c r="J2853" s="153" t="s">
        <v>134</v>
      </c>
      <c r="K2853" s="146"/>
      <c r="Z2853" s="111">
        <f>IF(AQ2853="5",BJ2853,0)</f>
      </c>
      <c r="AB2853" s="111">
        <f>IF(AQ2853="1",BH2853,0)</f>
      </c>
      <c r="AC2853" s="111">
        <f>IF(AQ2853="1",BI2853,0)</f>
      </c>
      <c r="AD2853" s="111">
        <f>IF(AQ2853="7",BH2853,0)</f>
      </c>
      <c r="AE2853" s="111">
        <f>IF(AQ2853="7",BI2853,0)</f>
      </c>
      <c r="AF2853" s="111">
        <f>IF(AQ2853="2",BH2853,0)</f>
      </c>
      <c r="AG2853" s="111">
        <f>IF(AQ2853="2",BI2853,0)</f>
      </c>
      <c r="AH2853" s="111">
        <f>IF(AQ2853="0",BJ2853,0)</f>
      </c>
      <c r="AI2853" s="132" t="s">
        <v>93</v>
      </c>
      <c r="AJ2853" s="111">
        <f>IF(AN2853=0,I2853,0)</f>
      </c>
      <c r="AK2853" s="111">
        <f>IF(AN2853=12,I2853,0)</f>
      </c>
      <c r="AL2853" s="111">
        <f>IF(AN2853=21,I2853,0)</f>
      </c>
      <c r="AN2853" s="111" t="n">
        <v>21</v>
      </c>
      <c r="AO2853" s="111">
        <f>H2853*0.17222408</f>
      </c>
      <c r="AP2853" s="111">
        <f>H2853*(1-0.17222408)</f>
      </c>
      <c r="AQ2853" s="153" t="s">
        <v>130</v>
      </c>
      <c r="AV2853" s="111">
        <f>AW2853+AX2853</f>
      </c>
      <c r="AW2853" s="111">
        <f>G2853*AO2853</f>
      </c>
      <c r="AX2853" s="111">
        <f>G2853*AP2853</f>
      </c>
      <c r="AY2853" s="153" t="s">
        <v>974</v>
      </c>
      <c r="AZ2853" s="153" t="s">
        <v>4593</v>
      </c>
      <c r="BA2853" s="132" t="s">
        <v>4594</v>
      </c>
      <c r="BC2853" s="111">
        <f>AW2853+AX2853</f>
      </c>
      <c r="BD2853" s="111">
        <f>H2853/(100-BE2853)*100</f>
      </c>
      <c r="BE2853" s="111" t="n">
        <v>0</v>
      </c>
      <c r="BF2853" s="111">
        <f>2853</f>
      </c>
      <c r="BH2853" s="111">
        <f>G2853*AO2853</f>
      </c>
      <c r="BI2853" s="111">
        <f>G2853*AP2853</f>
      </c>
      <c r="BJ2853" s="111">
        <f>G2853*H2853</f>
      </c>
      <c r="BK2853" s="111"/>
      <c r="BL2853" s="111" t="n">
        <v>61</v>
      </c>
      <c r="BW2853" s="111" t="n">
        <v>21</v>
      </c>
      <c r="BX2853" s="14" t="s">
        <v>4592</v>
      </c>
    </row>
    <row r="2854" customHeight="true" ht="13.5">
      <c r="A2854" s="159"/>
      <c r="C2854" s="160" t="s">
        <v>146</v>
      </c>
      <c r="D2854" s="161" t="s">
        <v>4595</v>
      </c>
      <c r="E2854" s="156"/>
      <c r="F2854" s="156"/>
      <c r="G2854" s="156"/>
      <c r="H2854" s="162"/>
      <c r="I2854" s="156"/>
      <c r="J2854" s="156"/>
      <c r="K2854" s="163"/>
    </row>
    <row r="2855">
      <c r="A2855" s="154"/>
      <c r="B2855" s="155"/>
      <c r="C2855" s="155"/>
      <c r="D2855" s="156" t="s">
        <v>4596</v>
      </c>
      <c r="E2855" s="156" t="s">
        <v>4597</v>
      </c>
      <c r="F2855" s="155"/>
      <c r="G2855" s="157" t="n">
        <v>17.9</v>
      </c>
      <c r="H2855" s="158"/>
      <c r="I2855" s="155"/>
      <c r="J2855" s="155"/>
      <c r="K2855" s="146"/>
    </row>
    <row r="2856">
      <c r="A2856" s="154"/>
      <c r="B2856" s="155"/>
      <c r="C2856" s="155"/>
      <c r="D2856" s="156" t="s">
        <v>4598</v>
      </c>
      <c r="E2856" s="156" t="s">
        <v>4599</v>
      </c>
      <c r="F2856" s="155"/>
      <c r="G2856" s="157" t="n">
        <v>11.75</v>
      </c>
      <c r="H2856" s="158"/>
      <c r="I2856" s="155"/>
      <c r="J2856" s="155"/>
      <c r="K2856" s="146"/>
    </row>
    <row r="2857">
      <c r="A2857" s="9" t="s">
        <v>4600</v>
      </c>
      <c r="B2857" s="10" t="s">
        <v>93</v>
      </c>
      <c r="C2857" s="10" t="s">
        <v>4601</v>
      </c>
      <c r="D2857" s="14" t="s">
        <v>4602</v>
      </c>
      <c r="E2857" s="10"/>
      <c r="F2857" s="10" t="s">
        <v>2426</v>
      </c>
      <c r="G2857" s="111" t="n">
        <v>240</v>
      </c>
      <c r="H2857" s="152" t="n">
        <v>0</v>
      </c>
      <c r="I2857" s="111">
        <f>G2857*H2857</f>
      </c>
      <c r="J2857" s="153" t="s">
        <v>134</v>
      </c>
      <c r="K2857" s="146"/>
      <c r="Z2857" s="111">
        <f>IF(AQ2857="5",BJ2857,0)</f>
      </c>
      <c r="AB2857" s="111">
        <f>IF(AQ2857="1",BH2857,0)</f>
      </c>
      <c r="AC2857" s="111">
        <f>IF(AQ2857="1",BI2857,0)</f>
      </c>
      <c r="AD2857" s="111">
        <f>IF(AQ2857="7",BH2857,0)</f>
      </c>
      <c r="AE2857" s="111">
        <f>IF(AQ2857="7",BI2857,0)</f>
      </c>
      <c r="AF2857" s="111">
        <f>IF(AQ2857="2",BH2857,0)</f>
      </c>
      <c r="AG2857" s="111">
        <f>IF(AQ2857="2",BI2857,0)</f>
      </c>
      <c r="AH2857" s="111">
        <f>IF(AQ2857="0",BJ2857,0)</f>
      </c>
      <c r="AI2857" s="132" t="s">
        <v>93</v>
      </c>
      <c r="AJ2857" s="111">
        <f>IF(AN2857=0,I2857,0)</f>
      </c>
      <c r="AK2857" s="111">
        <f>IF(AN2857=12,I2857,0)</f>
      </c>
      <c r="AL2857" s="111">
        <f>IF(AN2857=21,I2857,0)</f>
      </c>
      <c r="AN2857" s="111" t="n">
        <v>21</v>
      </c>
      <c r="AO2857" s="111">
        <f>H2857*1</f>
      </c>
      <c r="AP2857" s="111">
        <f>H2857*(1-1)</f>
      </c>
      <c r="AQ2857" s="153" t="s">
        <v>130</v>
      </c>
      <c r="AV2857" s="111">
        <f>AW2857+AX2857</f>
      </c>
      <c r="AW2857" s="111">
        <f>G2857*AO2857</f>
      </c>
      <c r="AX2857" s="111">
        <f>G2857*AP2857</f>
      </c>
      <c r="AY2857" s="153" t="s">
        <v>974</v>
      </c>
      <c r="AZ2857" s="153" t="s">
        <v>4593</v>
      </c>
      <c r="BA2857" s="132" t="s">
        <v>4594</v>
      </c>
      <c r="BC2857" s="111">
        <f>AW2857+AX2857</f>
      </c>
      <c r="BD2857" s="111">
        <f>H2857/(100-BE2857)*100</f>
      </c>
      <c r="BE2857" s="111" t="n">
        <v>0</v>
      </c>
      <c r="BF2857" s="111">
        <f>2857</f>
      </c>
      <c r="BH2857" s="111">
        <f>G2857*AO2857</f>
      </c>
      <c r="BI2857" s="111">
        <f>G2857*AP2857</f>
      </c>
      <c r="BJ2857" s="111">
        <f>G2857*H2857</f>
      </c>
      <c r="BK2857" s="111"/>
      <c r="BL2857" s="111" t="n">
        <v>61</v>
      </c>
      <c r="BW2857" s="111" t="n">
        <v>21</v>
      </c>
      <c r="BX2857" s="14" t="s">
        <v>4602</v>
      </c>
    </row>
    <row r="2858">
      <c r="A2858" s="154"/>
      <c r="B2858" s="155"/>
      <c r="C2858" s="155"/>
      <c r="D2858" s="156" t="s">
        <v>1202</v>
      </c>
      <c r="E2858" s="156" t="s">
        <v>4597</v>
      </c>
      <c r="F2858" s="155"/>
      <c r="G2858" s="157" t="n">
        <v>150</v>
      </c>
      <c r="H2858" s="158"/>
      <c r="I2858" s="155"/>
      <c r="J2858" s="155"/>
      <c r="K2858" s="146"/>
    </row>
    <row r="2859">
      <c r="A2859" s="154"/>
      <c r="B2859" s="155"/>
      <c r="C2859" s="155"/>
      <c r="D2859" s="156" t="s">
        <v>737</v>
      </c>
      <c r="E2859" s="156" t="s">
        <v>4599</v>
      </c>
      <c r="F2859" s="155"/>
      <c r="G2859" s="157" t="n">
        <v>90</v>
      </c>
      <c r="H2859" s="158"/>
      <c r="I2859" s="155"/>
      <c r="J2859" s="155"/>
      <c r="K2859" s="146"/>
    </row>
    <row r="2860">
      <c r="A2860" s="147" t="s">
        <v>4</v>
      </c>
      <c r="B2860" s="148" t="s">
        <v>93</v>
      </c>
      <c r="C2860" s="148" t="s">
        <v>737</v>
      </c>
      <c r="D2860" s="149" t="s">
        <v>1320</v>
      </c>
      <c r="E2860" s="148"/>
      <c r="F2860" s="150" t="s">
        <v>79</v>
      </c>
      <c r="G2860" s="150" t="s">
        <v>79</v>
      </c>
      <c r="H2860" s="151" t="s">
        <v>79</v>
      </c>
      <c r="I2860" s="117">
        <f>SUM(I2861:I2896)</f>
      </c>
      <c r="J2860" s="132" t="s">
        <v>4</v>
      </c>
      <c r="K2860" s="146"/>
      <c r="AI2860" s="132" t="s">
        <v>93</v>
      </c>
      <c r="AS2860" s="117">
        <f>SUM(AJ2861:AJ2896)</f>
      </c>
      <c r="AT2860" s="117">
        <f>SUM(AK2861:AK2896)</f>
      </c>
      <c r="AU2860" s="117">
        <f>SUM(AL2861:AL2896)</f>
      </c>
    </row>
    <row r="2861">
      <c r="A2861" s="9" t="s">
        <v>4603</v>
      </c>
      <c r="B2861" s="10" t="s">
        <v>93</v>
      </c>
      <c r="C2861" s="10" t="s">
        <v>4604</v>
      </c>
      <c r="D2861" s="14" t="s">
        <v>4605</v>
      </c>
      <c r="E2861" s="10"/>
      <c r="F2861" s="10" t="s">
        <v>3854</v>
      </c>
      <c r="G2861" s="111" t="n">
        <v>8</v>
      </c>
      <c r="H2861" s="152" t="n">
        <v>0</v>
      </c>
      <c r="I2861" s="111">
        <f>G2861*H2861</f>
      </c>
      <c r="J2861" s="153" t="s">
        <v>2936</v>
      </c>
      <c r="K2861" s="146"/>
      <c r="Z2861" s="111">
        <f>IF(AQ2861="5",BJ2861,0)</f>
      </c>
      <c r="AB2861" s="111">
        <f>IF(AQ2861="1",BH2861,0)</f>
      </c>
      <c r="AC2861" s="111">
        <f>IF(AQ2861="1",BI2861,0)</f>
      </c>
      <c r="AD2861" s="111">
        <f>IF(AQ2861="7",BH2861,0)</f>
      </c>
      <c r="AE2861" s="111">
        <f>IF(AQ2861="7",BI2861,0)</f>
      </c>
      <c r="AF2861" s="111">
        <f>IF(AQ2861="2",BH2861,0)</f>
      </c>
      <c r="AG2861" s="111">
        <f>IF(AQ2861="2",BI2861,0)</f>
      </c>
      <c r="AH2861" s="111">
        <f>IF(AQ2861="0",BJ2861,0)</f>
      </c>
      <c r="AI2861" s="132" t="s">
        <v>93</v>
      </c>
      <c r="AJ2861" s="111">
        <f>IF(AN2861=0,I2861,0)</f>
      </c>
      <c r="AK2861" s="111">
        <f>IF(AN2861=12,I2861,0)</f>
      </c>
      <c r="AL2861" s="111">
        <f>IF(AN2861=21,I2861,0)</f>
      </c>
      <c r="AN2861" s="111" t="n">
        <v>21</v>
      </c>
      <c r="AO2861" s="111">
        <f>H2861*0</f>
      </c>
      <c r="AP2861" s="111">
        <f>H2861*(1-0)</f>
      </c>
      <c r="AQ2861" s="153" t="s">
        <v>130</v>
      </c>
      <c r="AV2861" s="111">
        <f>AW2861+AX2861</f>
      </c>
      <c r="AW2861" s="111">
        <f>G2861*AO2861</f>
      </c>
      <c r="AX2861" s="111">
        <f>G2861*AP2861</f>
      </c>
      <c r="AY2861" s="153" t="s">
        <v>1325</v>
      </c>
      <c r="AZ2861" s="153" t="s">
        <v>4606</v>
      </c>
      <c r="BA2861" s="132" t="s">
        <v>4594</v>
      </c>
      <c r="BC2861" s="111">
        <f>AW2861+AX2861</f>
      </c>
      <c r="BD2861" s="111">
        <f>H2861/(100-BE2861)*100</f>
      </c>
      <c r="BE2861" s="111" t="n">
        <v>0</v>
      </c>
      <c r="BF2861" s="111">
        <f>2861</f>
      </c>
      <c r="BH2861" s="111">
        <f>G2861*AO2861</f>
      </c>
      <c r="BI2861" s="111">
        <f>G2861*AP2861</f>
      </c>
      <c r="BJ2861" s="111">
        <f>G2861*H2861</f>
      </c>
      <c r="BK2861" s="111"/>
      <c r="BL2861" s="111" t="n">
        <v>90</v>
      </c>
      <c r="BW2861" s="111" t="n">
        <v>21</v>
      </c>
      <c r="BX2861" s="14" t="s">
        <v>4605</v>
      </c>
    </row>
    <row r="2862" customHeight="true" ht="13.5">
      <c r="A2862" s="159"/>
      <c r="C2862" s="160" t="s">
        <v>146</v>
      </c>
      <c r="D2862" s="161" t="s">
        <v>4607</v>
      </c>
      <c r="E2862" s="156"/>
      <c r="F2862" s="156"/>
      <c r="G2862" s="156"/>
      <c r="H2862" s="162"/>
      <c r="I2862" s="156"/>
      <c r="J2862" s="156"/>
      <c r="K2862" s="163"/>
    </row>
    <row r="2863">
      <c r="A2863" s="9" t="s">
        <v>4608</v>
      </c>
      <c r="B2863" s="10" t="s">
        <v>93</v>
      </c>
      <c r="C2863" s="10" t="s">
        <v>4604</v>
      </c>
      <c r="D2863" s="14" t="s">
        <v>4609</v>
      </c>
      <c r="E2863" s="10"/>
      <c r="F2863" s="10" t="s">
        <v>3854</v>
      </c>
      <c r="G2863" s="111" t="n">
        <v>4</v>
      </c>
      <c r="H2863" s="152" t="n">
        <v>0</v>
      </c>
      <c r="I2863" s="111">
        <f>G2863*H2863</f>
      </c>
      <c r="J2863" s="153" t="s">
        <v>2936</v>
      </c>
      <c r="K2863" s="146"/>
      <c r="Z2863" s="111">
        <f>IF(AQ2863="5",BJ2863,0)</f>
      </c>
      <c r="AB2863" s="111">
        <f>IF(AQ2863="1",BH2863,0)</f>
      </c>
      <c r="AC2863" s="111">
        <f>IF(AQ2863="1",BI2863,0)</f>
      </c>
      <c r="AD2863" s="111">
        <f>IF(AQ2863="7",BH2863,0)</f>
      </c>
      <c r="AE2863" s="111">
        <f>IF(AQ2863="7",BI2863,0)</f>
      </c>
      <c r="AF2863" s="111">
        <f>IF(AQ2863="2",BH2863,0)</f>
      </c>
      <c r="AG2863" s="111">
        <f>IF(AQ2863="2",BI2863,0)</f>
      </c>
      <c r="AH2863" s="111">
        <f>IF(AQ2863="0",BJ2863,0)</f>
      </c>
      <c r="AI2863" s="132" t="s">
        <v>93</v>
      </c>
      <c r="AJ2863" s="111">
        <f>IF(AN2863=0,I2863,0)</f>
      </c>
      <c r="AK2863" s="111">
        <f>IF(AN2863=12,I2863,0)</f>
      </c>
      <c r="AL2863" s="111">
        <f>IF(AN2863=21,I2863,0)</f>
      </c>
      <c r="AN2863" s="111" t="n">
        <v>21</v>
      </c>
      <c r="AO2863" s="111">
        <f>H2863*0</f>
      </c>
      <c r="AP2863" s="111">
        <f>H2863*(1-0)</f>
      </c>
      <c r="AQ2863" s="153" t="s">
        <v>130</v>
      </c>
      <c r="AV2863" s="111">
        <f>AW2863+AX2863</f>
      </c>
      <c r="AW2863" s="111">
        <f>G2863*AO2863</f>
      </c>
      <c r="AX2863" s="111">
        <f>G2863*AP2863</f>
      </c>
      <c r="AY2863" s="153" t="s">
        <v>1325</v>
      </c>
      <c r="AZ2863" s="153" t="s">
        <v>4606</v>
      </c>
      <c r="BA2863" s="132" t="s">
        <v>4594</v>
      </c>
      <c r="BC2863" s="111">
        <f>AW2863+AX2863</f>
      </c>
      <c r="BD2863" s="111">
        <f>H2863/(100-BE2863)*100</f>
      </c>
      <c r="BE2863" s="111" t="n">
        <v>0</v>
      </c>
      <c r="BF2863" s="111">
        <f>2863</f>
      </c>
      <c r="BH2863" s="111">
        <f>G2863*AO2863</f>
      </c>
      <c r="BI2863" s="111">
        <f>G2863*AP2863</f>
      </c>
      <c r="BJ2863" s="111">
        <f>G2863*H2863</f>
      </c>
      <c r="BK2863" s="111"/>
      <c r="BL2863" s="111" t="n">
        <v>90</v>
      </c>
      <c r="BW2863" s="111" t="n">
        <v>21</v>
      </c>
      <c r="BX2863" s="14" t="s">
        <v>4609</v>
      </c>
    </row>
    <row r="2864" customHeight="true" ht="13.5">
      <c r="A2864" s="159"/>
      <c r="C2864" s="160" t="s">
        <v>146</v>
      </c>
      <c r="D2864" s="161" t="s">
        <v>4610</v>
      </c>
      <c r="E2864" s="156"/>
      <c r="F2864" s="156"/>
      <c r="G2864" s="156"/>
      <c r="H2864" s="162"/>
      <c r="I2864" s="156"/>
      <c r="J2864" s="156"/>
      <c r="K2864" s="163"/>
    </row>
    <row r="2865">
      <c r="A2865" s="9" t="s">
        <v>4611</v>
      </c>
      <c r="B2865" s="10" t="s">
        <v>93</v>
      </c>
      <c r="C2865" s="10" t="s">
        <v>4604</v>
      </c>
      <c r="D2865" s="14" t="s">
        <v>4612</v>
      </c>
      <c r="E2865" s="10"/>
      <c r="F2865" s="10" t="s">
        <v>3854</v>
      </c>
      <c r="G2865" s="111" t="n">
        <v>12</v>
      </c>
      <c r="H2865" s="152" t="n">
        <v>0</v>
      </c>
      <c r="I2865" s="111">
        <f>G2865*H2865</f>
      </c>
      <c r="J2865" s="153" t="s">
        <v>2936</v>
      </c>
      <c r="K2865" s="146"/>
      <c r="Z2865" s="111">
        <f>IF(AQ2865="5",BJ2865,0)</f>
      </c>
      <c r="AB2865" s="111">
        <f>IF(AQ2865="1",BH2865,0)</f>
      </c>
      <c r="AC2865" s="111">
        <f>IF(AQ2865="1",BI2865,0)</f>
      </c>
      <c r="AD2865" s="111">
        <f>IF(AQ2865="7",BH2865,0)</f>
      </c>
      <c r="AE2865" s="111">
        <f>IF(AQ2865="7",BI2865,0)</f>
      </c>
      <c r="AF2865" s="111">
        <f>IF(AQ2865="2",BH2865,0)</f>
      </c>
      <c r="AG2865" s="111">
        <f>IF(AQ2865="2",BI2865,0)</f>
      </c>
      <c r="AH2865" s="111">
        <f>IF(AQ2865="0",BJ2865,0)</f>
      </c>
      <c r="AI2865" s="132" t="s">
        <v>93</v>
      </c>
      <c r="AJ2865" s="111">
        <f>IF(AN2865=0,I2865,0)</f>
      </c>
      <c r="AK2865" s="111">
        <f>IF(AN2865=12,I2865,0)</f>
      </c>
      <c r="AL2865" s="111">
        <f>IF(AN2865=21,I2865,0)</f>
      </c>
      <c r="AN2865" s="111" t="n">
        <v>21</v>
      </c>
      <c r="AO2865" s="111">
        <f>H2865*0</f>
      </c>
      <c r="AP2865" s="111">
        <f>H2865*(1-0)</f>
      </c>
      <c r="AQ2865" s="153" t="s">
        <v>130</v>
      </c>
      <c r="AV2865" s="111">
        <f>AW2865+AX2865</f>
      </c>
      <c r="AW2865" s="111">
        <f>G2865*AO2865</f>
      </c>
      <c r="AX2865" s="111">
        <f>G2865*AP2865</f>
      </c>
      <c r="AY2865" s="153" t="s">
        <v>1325</v>
      </c>
      <c r="AZ2865" s="153" t="s">
        <v>4606</v>
      </c>
      <c r="BA2865" s="132" t="s">
        <v>4594</v>
      </c>
      <c r="BC2865" s="111">
        <f>AW2865+AX2865</f>
      </c>
      <c r="BD2865" s="111">
        <f>H2865/(100-BE2865)*100</f>
      </c>
      <c r="BE2865" s="111" t="n">
        <v>0</v>
      </c>
      <c r="BF2865" s="111">
        <f>2865</f>
      </c>
      <c r="BH2865" s="111">
        <f>G2865*AO2865</f>
      </c>
      <c r="BI2865" s="111">
        <f>G2865*AP2865</f>
      </c>
      <c r="BJ2865" s="111">
        <f>G2865*H2865</f>
      </c>
      <c r="BK2865" s="111"/>
      <c r="BL2865" s="111" t="n">
        <v>90</v>
      </c>
      <c r="BW2865" s="111" t="n">
        <v>21</v>
      </c>
      <c r="BX2865" s="14" t="s">
        <v>4612</v>
      </c>
    </row>
    <row r="2866" customHeight="true" ht="13.5">
      <c r="A2866" s="159"/>
      <c r="C2866" s="160" t="s">
        <v>146</v>
      </c>
      <c r="D2866" s="161" t="s">
        <v>4613</v>
      </c>
      <c r="E2866" s="156"/>
      <c r="F2866" s="156"/>
      <c r="G2866" s="156"/>
      <c r="H2866" s="162"/>
      <c r="I2866" s="156"/>
      <c r="J2866" s="156"/>
      <c r="K2866" s="163"/>
    </row>
    <row r="2867">
      <c r="A2867" s="154"/>
      <c r="B2867" s="155"/>
      <c r="C2867" s="155"/>
      <c r="D2867" s="156" t="s">
        <v>154</v>
      </c>
      <c r="E2867" s="156" t="s">
        <v>4</v>
      </c>
      <c r="F2867" s="155"/>
      <c r="G2867" s="157" t="n">
        <v>12</v>
      </c>
      <c r="H2867" s="158"/>
      <c r="I2867" s="155"/>
      <c r="J2867" s="155"/>
      <c r="K2867" s="146"/>
    </row>
    <row r="2868">
      <c r="A2868" s="9" t="s">
        <v>4614</v>
      </c>
      <c r="B2868" s="10" t="s">
        <v>93</v>
      </c>
      <c r="C2868" s="10" t="s">
        <v>4604</v>
      </c>
      <c r="D2868" s="14" t="s">
        <v>4615</v>
      </c>
      <c r="E2868" s="10"/>
      <c r="F2868" s="10" t="s">
        <v>3854</v>
      </c>
      <c r="G2868" s="111" t="n">
        <v>12</v>
      </c>
      <c r="H2868" s="152" t="n">
        <v>0</v>
      </c>
      <c r="I2868" s="111">
        <f>G2868*H2868</f>
      </c>
      <c r="J2868" s="153" t="s">
        <v>2936</v>
      </c>
      <c r="K2868" s="146"/>
      <c r="Z2868" s="111">
        <f>IF(AQ2868="5",BJ2868,0)</f>
      </c>
      <c r="AB2868" s="111">
        <f>IF(AQ2868="1",BH2868,0)</f>
      </c>
      <c r="AC2868" s="111">
        <f>IF(AQ2868="1",BI2868,0)</f>
      </c>
      <c r="AD2868" s="111">
        <f>IF(AQ2868="7",BH2868,0)</f>
      </c>
      <c r="AE2868" s="111">
        <f>IF(AQ2868="7",BI2868,0)</f>
      </c>
      <c r="AF2868" s="111">
        <f>IF(AQ2868="2",BH2868,0)</f>
      </c>
      <c r="AG2868" s="111">
        <f>IF(AQ2868="2",BI2868,0)</f>
      </c>
      <c r="AH2868" s="111">
        <f>IF(AQ2868="0",BJ2868,0)</f>
      </c>
      <c r="AI2868" s="132" t="s">
        <v>93</v>
      </c>
      <c r="AJ2868" s="111">
        <f>IF(AN2868=0,I2868,0)</f>
      </c>
      <c r="AK2868" s="111">
        <f>IF(AN2868=12,I2868,0)</f>
      </c>
      <c r="AL2868" s="111">
        <f>IF(AN2868=21,I2868,0)</f>
      </c>
      <c r="AN2868" s="111" t="n">
        <v>21</v>
      </c>
      <c r="AO2868" s="111">
        <f>H2868*0</f>
      </c>
      <c r="AP2868" s="111">
        <f>H2868*(1-0)</f>
      </c>
      <c r="AQ2868" s="153" t="s">
        <v>130</v>
      </c>
      <c r="AV2868" s="111">
        <f>AW2868+AX2868</f>
      </c>
      <c r="AW2868" s="111">
        <f>G2868*AO2868</f>
      </c>
      <c r="AX2868" s="111">
        <f>G2868*AP2868</f>
      </c>
      <c r="AY2868" s="153" t="s">
        <v>1325</v>
      </c>
      <c r="AZ2868" s="153" t="s">
        <v>4606</v>
      </c>
      <c r="BA2868" s="132" t="s">
        <v>4594</v>
      </c>
      <c r="BC2868" s="111">
        <f>AW2868+AX2868</f>
      </c>
      <c r="BD2868" s="111">
        <f>H2868/(100-BE2868)*100</f>
      </c>
      <c r="BE2868" s="111" t="n">
        <v>0</v>
      </c>
      <c r="BF2868" s="111">
        <f>2868</f>
      </c>
      <c r="BH2868" s="111">
        <f>G2868*AO2868</f>
      </c>
      <c r="BI2868" s="111">
        <f>G2868*AP2868</f>
      </c>
      <c r="BJ2868" s="111">
        <f>G2868*H2868</f>
      </c>
      <c r="BK2868" s="111"/>
      <c r="BL2868" s="111" t="n">
        <v>90</v>
      </c>
      <c r="BW2868" s="111" t="n">
        <v>21</v>
      </c>
      <c r="BX2868" s="14" t="s">
        <v>4615</v>
      </c>
    </row>
    <row r="2869" customHeight="true" ht="13.5">
      <c r="A2869" s="159"/>
      <c r="C2869" s="160" t="s">
        <v>146</v>
      </c>
      <c r="D2869" s="161" t="s">
        <v>4613</v>
      </c>
      <c r="E2869" s="156"/>
      <c r="F2869" s="156"/>
      <c r="G2869" s="156"/>
      <c r="H2869" s="162"/>
      <c r="I2869" s="156"/>
      <c r="J2869" s="156"/>
      <c r="K2869" s="163"/>
    </row>
    <row r="2870">
      <c r="A2870" s="154"/>
      <c r="B2870" s="155"/>
      <c r="C2870" s="155"/>
      <c r="D2870" s="156" t="s">
        <v>154</v>
      </c>
      <c r="E2870" s="156" t="s">
        <v>4</v>
      </c>
      <c r="F2870" s="155"/>
      <c r="G2870" s="157" t="n">
        <v>12</v>
      </c>
      <c r="H2870" s="158"/>
      <c r="I2870" s="155"/>
      <c r="J2870" s="155"/>
      <c r="K2870" s="146"/>
    </row>
    <row r="2871">
      <c r="A2871" s="9" t="s">
        <v>4616</v>
      </c>
      <c r="B2871" s="10" t="s">
        <v>93</v>
      </c>
      <c r="C2871" s="10" t="s">
        <v>4604</v>
      </c>
      <c r="D2871" s="14" t="s">
        <v>4617</v>
      </c>
      <c r="E2871" s="10"/>
      <c r="F2871" s="10" t="s">
        <v>3854</v>
      </c>
      <c r="G2871" s="111" t="n">
        <v>8</v>
      </c>
      <c r="H2871" s="152" t="n">
        <v>0</v>
      </c>
      <c r="I2871" s="111">
        <f>G2871*H2871</f>
      </c>
      <c r="J2871" s="153" t="s">
        <v>2936</v>
      </c>
      <c r="K2871" s="146"/>
      <c r="Z2871" s="111">
        <f>IF(AQ2871="5",BJ2871,0)</f>
      </c>
      <c r="AB2871" s="111">
        <f>IF(AQ2871="1",BH2871,0)</f>
      </c>
      <c r="AC2871" s="111">
        <f>IF(AQ2871="1",BI2871,0)</f>
      </c>
      <c r="AD2871" s="111">
        <f>IF(AQ2871="7",BH2871,0)</f>
      </c>
      <c r="AE2871" s="111">
        <f>IF(AQ2871="7",BI2871,0)</f>
      </c>
      <c r="AF2871" s="111">
        <f>IF(AQ2871="2",BH2871,0)</f>
      </c>
      <c r="AG2871" s="111">
        <f>IF(AQ2871="2",BI2871,0)</f>
      </c>
      <c r="AH2871" s="111">
        <f>IF(AQ2871="0",BJ2871,0)</f>
      </c>
      <c r="AI2871" s="132" t="s">
        <v>93</v>
      </c>
      <c r="AJ2871" s="111">
        <f>IF(AN2871=0,I2871,0)</f>
      </c>
      <c r="AK2871" s="111">
        <f>IF(AN2871=12,I2871,0)</f>
      </c>
      <c r="AL2871" s="111">
        <f>IF(AN2871=21,I2871,0)</f>
      </c>
      <c r="AN2871" s="111" t="n">
        <v>21</v>
      </c>
      <c r="AO2871" s="111">
        <f>H2871*0</f>
      </c>
      <c r="AP2871" s="111">
        <f>H2871*(1-0)</f>
      </c>
      <c r="AQ2871" s="153" t="s">
        <v>130</v>
      </c>
      <c r="AV2871" s="111">
        <f>AW2871+AX2871</f>
      </c>
      <c r="AW2871" s="111">
        <f>G2871*AO2871</f>
      </c>
      <c r="AX2871" s="111">
        <f>G2871*AP2871</f>
      </c>
      <c r="AY2871" s="153" t="s">
        <v>1325</v>
      </c>
      <c r="AZ2871" s="153" t="s">
        <v>4606</v>
      </c>
      <c r="BA2871" s="132" t="s">
        <v>4594</v>
      </c>
      <c r="BC2871" s="111">
        <f>AW2871+AX2871</f>
      </c>
      <c r="BD2871" s="111">
        <f>H2871/(100-BE2871)*100</f>
      </c>
      <c r="BE2871" s="111" t="n">
        <v>0</v>
      </c>
      <c r="BF2871" s="111">
        <f>2871</f>
      </c>
      <c r="BH2871" s="111">
        <f>G2871*AO2871</f>
      </c>
      <c r="BI2871" s="111">
        <f>G2871*AP2871</f>
      </c>
      <c r="BJ2871" s="111">
        <f>G2871*H2871</f>
      </c>
      <c r="BK2871" s="111"/>
      <c r="BL2871" s="111" t="n">
        <v>90</v>
      </c>
      <c r="BW2871" s="111" t="n">
        <v>21</v>
      </c>
      <c r="BX2871" s="14" t="s">
        <v>4617</v>
      </c>
    </row>
    <row r="2872">
      <c r="A2872" s="154"/>
      <c r="B2872" s="155"/>
      <c r="C2872" s="155"/>
      <c r="D2872" s="156" t="s">
        <v>176</v>
      </c>
      <c r="E2872" s="156" t="s">
        <v>4</v>
      </c>
      <c r="F2872" s="155"/>
      <c r="G2872" s="157" t="n">
        <v>8</v>
      </c>
      <c r="H2872" s="158"/>
      <c r="I2872" s="155"/>
      <c r="J2872" s="155"/>
      <c r="K2872" s="146"/>
    </row>
    <row r="2873">
      <c r="A2873" s="9" t="s">
        <v>4618</v>
      </c>
      <c r="B2873" s="10" t="s">
        <v>93</v>
      </c>
      <c r="C2873" s="10" t="s">
        <v>4604</v>
      </c>
      <c r="D2873" s="14" t="s">
        <v>4619</v>
      </c>
      <c r="E2873" s="10"/>
      <c r="F2873" s="10" t="s">
        <v>3854</v>
      </c>
      <c r="G2873" s="111" t="n">
        <v>4</v>
      </c>
      <c r="H2873" s="152" t="n">
        <v>0</v>
      </c>
      <c r="I2873" s="111">
        <f>G2873*H2873</f>
      </c>
      <c r="J2873" s="153" t="s">
        <v>2936</v>
      </c>
      <c r="K2873" s="146"/>
      <c r="Z2873" s="111">
        <f>IF(AQ2873="5",BJ2873,0)</f>
      </c>
      <c r="AB2873" s="111">
        <f>IF(AQ2873="1",BH2873,0)</f>
      </c>
      <c r="AC2873" s="111">
        <f>IF(AQ2873="1",BI2873,0)</f>
      </c>
      <c r="AD2873" s="111">
        <f>IF(AQ2873="7",BH2873,0)</f>
      </c>
      <c r="AE2873" s="111">
        <f>IF(AQ2873="7",BI2873,0)</f>
      </c>
      <c r="AF2873" s="111">
        <f>IF(AQ2873="2",BH2873,0)</f>
      </c>
      <c r="AG2873" s="111">
        <f>IF(AQ2873="2",BI2873,0)</f>
      </c>
      <c r="AH2873" s="111">
        <f>IF(AQ2873="0",BJ2873,0)</f>
      </c>
      <c r="AI2873" s="132" t="s">
        <v>93</v>
      </c>
      <c r="AJ2873" s="111">
        <f>IF(AN2873=0,I2873,0)</f>
      </c>
      <c r="AK2873" s="111">
        <f>IF(AN2873=12,I2873,0)</f>
      </c>
      <c r="AL2873" s="111">
        <f>IF(AN2873=21,I2873,0)</f>
      </c>
      <c r="AN2873" s="111" t="n">
        <v>21</v>
      </c>
      <c r="AO2873" s="111">
        <f>H2873*0</f>
      </c>
      <c r="AP2873" s="111">
        <f>H2873*(1-0)</f>
      </c>
      <c r="AQ2873" s="153" t="s">
        <v>130</v>
      </c>
      <c r="AV2873" s="111">
        <f>AW2873+AX2873</f>
      </c>
      <c r="AW2873" s="111">
        <f>G2873*AO2873</f>
      </c>
      <c r="AX2873" s="111">
        <f>G2873*AP2873</f>
      </c>
      <c r="AY2873" s="153" t="s">
        <v>1325</v>
      </c>
      <c r="AZ2873" s="153" t="s">
        <v>4606</v>
      </c>
      <c r="BA2873" s="132" t="s">
        <v>4594</v>
      </c>
      <c r="BC2873" s="111">
        <f>AW2873+AX2873</f>
      </c>
      <c r="BD2873" s="111">
        <f>H2873/(100-BE2873)*100</f>
      </c>
      <c r="BE2873" s="111" t="n">
        <v>0</v>
      </c>
      <c r="BF2873" s="111">
        <f>2873</f>
      </c>
      <c r="BH2873" s="111">
        <f>G2873*AO2873</f>
      </c>
      <c r="BI2873" s="111">
        <f>G2873*AP2873</f>
      </c>
      <c r="BJ2873" s="111">
        <f>G2873*H2873</f>
      </c>
      <c r="BK2873" s="111"/>
      <c r="BL2873" s="111" t="n">
        <v>90</v>
      </c>
      <c r="BW2873" s="111" t="n">
        <v>21</v>
      </c>
      <c r="BX2873" s="14" t="s">
        <v>4619</v>
      </c>
    </row>
    <row r="2874">
      <c r="A2874" s="9" t="s">
        <v>4620</v>
      </c>
      <c r="B2874" s="10" t="s">
        <v>93</v>
      </c>
      <c r="C2874" s="10" t="s">
        <v>4604</v>
      </c>
      <c r="D2874" s="14" t="s">
        <v>4621</v>
      </c>
      <c r="E2874" s="10"/>
      <c r="F2874" s="10" t="s">
        <v>3854</v>
      </c>
      <c r="G2874" s="111" t="n">
        <v>4</v>
      </c>
      <c r="H2874" s="152" t="n">
        <v>0</v>
      </c>
      <c r="I2874" s="111">
        <f>G2874*H2874</f>
      </c>
      <c r="J2874" s="153" t="s">
        <v>2936</v>
      </c>
      <c r="K2874" s="146"/>
      <c r="Z2874" s="111">
        <f>IF(AQ2874="5",BJ2874,0)</f>
      </c>
      <c r="AB2874" s="111">
        <f>IF(AQ2874="1",BH2874,0)</f>
      </c>
      <c r="AC2874" s="111">
        <f>IF(AQ2874="1",BI2874,0)</f>
      </c>
      <c r="AD2874" s="111">
        <f>IF(AQ2874="7",BH2874,0)</f>
      </c>
      <c r="AE2874" s="111">
        <f>IF(AQ2874="7",BI2874,0)</f>
      </c>
      <c r="AF2874" s="111">
        <f>IF(AQ2874="2",BH2874,0)</f>
      </c>
      <c r="AG2874" s="111">
        <f>IF(AQ2874="2",BI2874,0)</f>
      </c>
      <c r="AH2874" s="111">
        <f>IF(AQ2874="0",BJ2874,0)</f>
      </c>
      <c r="AI2874" s="132" t="s">
        <v>93</v>
      </c>
      <c r="AJ2874" s="111">
        <f>IF(AN2874=0,I2874,0)</f>
      </c>
      <c r="AK2874" s="111">
        <f>IF(AN2874=12,I2874,0)</f>
      </c>
      <c r="AL2874" s="111">
        <f>IF(AN2874=21,I2874,0)</f>
      </c>
      <c r="AN2874" s="111" t="n">
        <v>21</v>
      </c>
      <c r="AO2874" s="111">
        <f>H2874*0</f>
      </c>
      <c r="AP2874" s="111">
        <f>H2874*(1-0)</f>
      </c>
      <c r="AQ2874" s="153" t="s">
        <v>130</v>
      </c>
      <c r="AV2874" s="111">
        <f>AW2874+AX2874</f>
      </c>
      <c r="AW2874" s="111">
        <f>G2874*AO2874</f>
      </c>
      <c r="AX2874" s="111">
        <f>G2874*AP2874</f>
      </c>
      <c r="AY2874" s="153" t="s">
        <v>1325</v>
      </c>
      <c r="AZ2874" s="153" t="s">
        <v>4606</v>
      </c>
      <c r="BA2874" s="132" t="s">
        <v>4594</v>
      </c>
      <c r="BC2874" s="111">
        <f>AW2874+AX2874</f>
      </c>
      <c r="BD2874" s="111">
        <f>H2874/(100-BE2874)*100</f>
      </c>
      <c r="BE2874" s="111" t="n">
        <v>0</v>
      </c>
      <c r="BF2874" s="111">
        <f>2874</f>
      </c>
      <c r="BH2874" s="111">
        <f>G2874*AO2874</f>
      </c>
      <c r="BI2874" s="111">
        <f>G2874*AP2874</f>
      </c>
      <c r="BJ2874" s="111">
        <f>G2874*H2874</f>
      </c>
      <c r="BK2874" s="111"/>
      <c r="BL2874" s="111" t="n">
        <v>90</v>
      </c>
      <c r="BW2874" s="111" t="n">
        <v>21</v>
      </c>
      <c r="BX2874" s="14" t="s">
        <v>4621</v>
      </c>
    </row>
    <row r="2875">
      <c r="A2875" s="9" t="s">
        <v>4622</v>
      </c>
      <c r="B2875" s="10" t="s">
        <v>93</v>
      </c>
      <c r="C2875" s="10" t="s">
        <v>4604</v>
      </c>
      <c r="D2875" s="14" t="s">
        <v>4623</v>
      </c>
      <c r="E2875" s="10"/>
      <c r="F2875" s="10" t="s">
        <v>3854</v>
      </c>
      <c r="G2875" s="111" t="n">
        <v>16</v>
      </c>
      <c r="H2875" s="152" t="n">
        <v>0</v>
      </c>
      <c r="I2875" s="111">
        <f>G2875*H2875</f>
      </c>
      <c r="J2875" s="153" t="s">
        <v>2936</v>
      </c>
      <c r="K2875" s="146"/>
      <c r="Z2875" s="111">
        <f>IF(AQ2875="5",BJ2875,0)</f>
      </c>
      <c r="AB2875" s="111">
        <f>IF(AQ2875="1",BH2875,0)</f>
      </c>
      <c r="AC2875" s="111">
        <f>IF(AQ2875="1",BI2875,0)</f>
      </c>
      <c r="AD2875" s="111">
        <f>IF(AQ2875="7",BH2875,0)</f>
      </c>
      <c r="AE2875" s="111">
        <f>IF(AQ2875="7",BI2875,0)</f>
      </c>
      <c r="AF2875" s="111">
        <f>IF(AQ2875="2",BH2875,0)</f>
      </c>
      <c r="AG2875" s="111">
        <f>IF(AQ2875="2",BI2875,0)</f>
      </c>
      <c r="AH2875" s="111">
        <f>IF(AQ2875="0",BJ2875,0)</f>
      </c>
      <c r="AI2875" s="132" t="s">
        <v>93</v>
      </c>
      <c r="AJ2875" s="111">
        <f>IF(AN2875=0,I2875,0)</f>
      </c>
      <c r="AK2875" s="111">
        <f>IF(AN2875=12,I2875,0)</f>
      </c>
      <c r="AL2875" s="111">
        <f>IF(AN2875=21,I2875,0)</f>
      </c>
      <c r="AN2875" s="111" t="n">
        <v>21</v>
      </c>
      <c r="AO2875" s="111">
        <f>H2875*0</f>
      </c>
      <c r="AP2875" s="111">
        <f>H2875*(1-0)</f>
      </c>
      <c r="AQ2875" s="153" t="s">
        <v>130</v>
      </c>
      <c r="AV2875" s="111">
        <f>AW2875+AX2875</f>
      </c>
      <c r="AW2875" s="111">
        <f>G2875*AO2875</f>
      </c>
      <c r="AX2875" s="111">
        <f>G2875*AP2875</f>
      </c>
      <c r="AY2875" s="153" t="s">
        <v>1325</v>
      </c>
      <c r="AZ2875" s="153" t="s">
        <v>4606</v>
      </c>
      <c r="BA2875" s="132" t="s">
        <v>4594</v>
      </c>
      <c r="BC2875" s="111">
        <f>AW2875+AX2875</f>
      </c>
      <c r="BD2875" s="111">
        <f>H2875/(100-BE2875)*100</f>
      </c>
      <c r="BE2875" s="111" t="n">
        <v>0</v>
      </c>
      <c r="BF2875" s="111">
        <f>2875</f>
      </c>
      <c r="BH2875" s="111">
        <f>G2875*AO2875</f>
      </c>
      <c r="BI2875" s="111">
        <f>G2875*AP2875</f>
      </c>
      <c r="BJ2875" s="111">
        <f>G2875*H2875</f>
      </c>
      <c r="BK2875" s="111"/>
      <c r="BL2875" s="111" t="n">
        <v>90</v>
      </c>
      <c r="BW2875" s="111" t="n">
        <v>21</v>
      </c>
      <c r="BX2875" s="14" t="s">
        <v>4623</v>
      </c>
    </row>
    <row r="2876">
      <c r="A2876" s="9" t="s">
        <v>4624</v>
      </c>
      <c r="B2876" s="10" t="s">
        <v>93</v>
      </c>
      <c r="C2876" s="10" t="s">
        <v>4604</v>
      </c>
      <c r="D2876" s="14" t="s">
        <v>4625</v>
      </c>
      <c r="E2876" s="10"/>
      <c r="F2876" s="10" t="s">
        <v>3854</v>
      </c>
      <c r="G2876" s="111" t="n">
        <v>20</v>
      </c>
      <c r="H2876" s="152" t="n">
        <v>0</v>
      </c>
      <c r="I2876" s="111">
        <f>G2876*H2876</f>
      </c>
      <c r="J2876" s="153" t="s">
        <v>2936</v>
      </c>
      <c r="K2876" s="146"/>
      <c r="Z2876" s="111">
        <f>IF(AQ2876="5",BJ2876,0)</f>
      </c>
      <c r="AB2876" s="111">
        <f>IF(AQ2876="1",BH2876,0)</f>
      </c>
      <c r="AC2876" s="111">
        <f>IF(AQ2876="1",BI2876,0)</f>
      </c>
      <c r="AD2876" s="111">
        <f>IF(AQ2876="7",BH2876,0)</f>
      </c>
      <c r="AE2876" s="111">
        <f>IF(AQ2876="7",BI2876,0)</f>
      </c>
      <c r="AF2876" s="111">
        <f>IF(AQ2876="2",BH2876,0)</f>
      </c>
      <c r="AG2876" s="111">
        <f>IF(AQ2876="2",BI2876,0)</f>
      </c>
      <c r="AH2876" s="111">
        <f>IF(AQ2876="0",BJ2876,0)</f>
      </c>
      <c r="AI2876" s="132" t="s">
        <v>93</v>
      </c>
      <c r="AJ2876" s="111">
        <f>IF(AN2876=0,I2876,0)</f>
      </c>
      <c r="AK2876" s="111">
        <f>IF(AN2876=12,I2876,0)</f>
      </c>
      <c r="AL2876" s="111">
        <f>IF(AN2876=21,I2876,0)</f>
      </c>
      <c r="AN2876" s="111" t="n">
        <v>21</v>
      </c>
      <c r="AO2876" s="111">
        <f>H2876*0</f>
      </c>
      <c r="AP2876" s="111">
        <f>H2876*(1-0)</f>
      </c>
      <c r="AQ2876" s="153" t="s">
        <v>130</v>
      </c>
      <c r="AV2876" s="111">
        <f>AW2876+AX2876</f>
      </c>
      <c r="AW2876" s="111">
        <f>G2876*AO2876</f>
      </c>
      <c r="AX2876" s="111">
        <f>G2876*AP2876</f>
      </c>
      <c r="AY2876" s="153" t="s">
        <v>1325</v>
      </c>
      <c r="AZ2876" s="153" t="s">
        <v>4606</v>
      </c>
      <c r="BA2876" s="132" t="s">
        <v>4594</v>
      </c>
      <c r="BC2876" s="111">
        <f>AW2876+AX2876</f>
      </c>
      <c r="BD2876" s="111">
        <f>H2876/(100-BE2876)*100</f>
      </c>
      <c r="BE2876" s="111" t="n">
        <v>0</v>
      </c>
      <c r="BF2876" s="111">
        <f>2876</f>
      </c>
      <c r="BH2876" s="111">
        <f>G2876*AO2876</f>
      </c>
      <c r="BI2876" s="111">
        <f>G2876*AP2876</f>
      </c>
      <c r="BJ2876" s="111">
        <f>G2876*H2876</f>
      </c>
      <c r="BK2876" s="111"/>
      <c r="BL2876" s="111" t="n">
        <v>90</v>
      </c>
      <c r="BW2876" s="111" t="n">
        <v>21</v>
      </c>
      <c r="BX2876" s="14" t="s">
        <v>4625</v>
      </c>
    </row>
    <row r="2877">
      <c r="A2877" s="9" t="s">
        <v>4626</v>
      </c>
      <c r="B2877" s="10" t="s">
        <v>93</v>
      </c>
      <c r="C2877" s="10" t="s">
        <v>4604</v>
      </c>
      <c r="D2877" s="14" t="s">
        <v>4627</v>
      </c>
      <c r="E2877" s="10"/>
      <c r="F2877" s="10" t="s">
        <v>3854</v>
      </c>
      <c r="G2877" s="111" t="n">
        <v>1</v>
      </c>
      <c r="H2877" s="152" t="n">
        <v>0</v>
      </c>
      <c r="I2877" s="111">
        <f>G2877*H2877</f>
      </c>
      <c r="J2877" s="153" t="s">
        <v>2936</v>
      </c>
      <c r="K2877" s="146"/>
      <c r="Z2877" s="111">
        <f>IF(AQ2877="5",BJ2877,0)</f>
      </c>
      <c r="AB2877" s="111">
        <f>IF(AQ2877="1",BH2877,0)</f>
      </c>
      <c r="AC2877" s="111">
        <f>IF(AQ2877="1",BI2877,0)</f>
      </c>
      <c r="AD2877" s="111">
        <f>IF(AQ2877="7",BH2877,0)</f>
      </c>
      <c r="AE2877" s="111">
        <f>IF(AQ2877="7",BI2877,0)</f>
      </c>
      <c r="AF2877" s="111">
        <f>IF(AQ2877="2",BH2877,0)</f>
      </c>
      <c r="AG2877" s="111">
        <f>IF(AQ2877="2",BI2877,0)</f>
      </c>
      <c r="AH2877" s="111">
        <f>IF(AQ2877="0",BJ2877,0)</f>
      </c>
      <c r="AI2877" s="132" t="s">
        <v>93</v>
      </c>
      <c r="AJ2877" s="111">
        <f>IF(AN2877=0,I2877,0)</f>
      </c>
      <c r="AK2877" s="111">
        <f>IF(AN2877=12,I2877,0)</f>
      </c>
      <c r="AL2877" s="111">
        <f>IF(AN2877=21,I2877,0)</f>
      </c>
      <c r="AN2877" s="111" t="n">
        <v>21</v>
      </c>
      <c r="AO2877" s="111">
        <f>H2877*0</f>
      </c>
      <c r="AP2877" s="111">
        <f>H2877*(1-0)</f>
      </c>
      <c r="AQ2877" s="153" t="s">
        <v>130</v>
      </c>
      <c r="AV2877" s="111">
        <f>AW2877+AX2877</f>
      </c>
      <c r="AW2877" s="111">
        <f>G2877*AO2877</f>
      </c>
      <c r="AX2877" s="111">
        <f>G2877*AP2877</f>
      </c>
      <c r="AY2877" s="153" t="s">
        <v>1325</v>
      </c>
      <c r="AZ2877" s="153" t="s">
        <v>4606</v>
      </c>
      <c r="BA2877" s="132" t="s">
        <v>4594</v>
      </c>
      <c r="BC2877" s="111">
        <f>AW2877+AX2877</f>
      </c>
      <c r="BD2877" s="111">
        <f>H2877/(100-BE2877)*100</f>
      </c>
      <c r="BE2877" s="111" t="n">
        <v>0</v>
      </c>
      <c r="BF2877" s="111">
        <f>2877</f>
      </c>
      <c r="BH2877" s="111">
        <f>G2877*AO2877</f>
      </c>
      <c r="BI2877" s="111">
        <f>G2877*AP2877</f>
      </c>
      <c r="BJ2877" s="111">
        <f>G2877*H2877</f>
      </c>
      <c r="BK2877" s="111"/>
      <c r="BL2877" s="111" t="n">
        <v>90</v>
      </c>
      <c r="BW2877" s="111" t="n">
        <v>21</v>
      </c>
      <c r="BX2877" s="14" t="s">
        <v>4627</v>
      </c>
    </row>
    <row r="2878" customHeight="true" ht="13.5">
      <c r="A2878" s="159"/>
      <c r="C2878" s="160" t="s">
        <v>146</v>
      </c>
      <c r="D2878" s="161" t="s">
        <v>4597</v>
      </c>
      <c r="E2878" s="156"/>
      <c r="F2878" s="156"/>
      <c r="G2878" s="156"/>
      <c r="H2878" s="162"/>
      <c r="I2878" s="156"/>
      <c r="J2878" s="156"/>
      <c r="K2878" s="163"/>
    </row>
    <row r="2879">
      <c r="A2879" s="154"/>
      <c r="B2879" s="155"/>
      <c r="C2879" s="155"/>
      <c r="D2879" s="156" t="s">
        <v>130</v>
      </c>
      <c r="E2879" s="156" t="s">
        <v>4597</v>
      </c>
      <c r="F2879" s="155"/>
      <c r="G2879" s="157" t="n">
        <v>1</v>
      </c>
      <c r="H2879" s="158"/>
      <c r="I2879" s="155"/>
      <c r="J2879" s="155"/>
      <c r="K2879" s="146"/>
    </row>
    <row r="2880">
      <c r="A2880" s="9" t="s">
        <v>4628</v>
      </c>
      <c r="B2880" s="10" t="s">
        <v>93</v>
      </c>
      <c r="C2880" s="10" t="s">
        <v>4604</v>
      </c>
      <c r="D2880" s="14" t="s">
        <v>4629</v>
      </c>
      <c r="E2880" s="10"/>
      <c r="F2880" s="10" t="s">
        <v>3854</v>
      </c>
      <c r="G2880" s="111" t="n">
        <v>16</v>
      </c>
      <c r="H2880" s="152" t="n">
        <v>0</v>
      </c>
      <c r="I2880" s="111">
        <f>G2880*H2880</f>
      </c>
      <c r="J2880" s="153" t="s">
        <v>2936</v>
      </c>
      <c r="K2880" s="146"/>
      <c r="Z2880" s="111">
        <f>IF(AQ2880="5",BJ2880,0)</f>
      </c>
      <c r="AB2880" s="111">
        <f>IF(AQ2880="1",BH2880,0)</f>
      </c>
      <c r="AC2880" s="111">
        <f>IF(AQ2880="1",BI2880,0)</f>
      </c>
      <c r="AD2880" s="111">
        <f>IF(AQ2880="7",BH2880,0)</f>
      </c>
      <c r="AE2880" s="111">
        <f>IF(AQ2880="7",BI2880,0)</f>
      </c>
      <c r="AF2880" s="111">
        <f>IF(AQ2880="2",BH2880,0)</f>
      </c>
      <c r="AG2880" s="111">
        <f>IF(AQ2880="2",BI2880,0)</f>
      </c>
      <c r="AH2880" s="111">
        <f>IF(AQ2880="0",BJ2880,0)</f>
      </c>
      <c r="AI2880" s="132" t="s">
        <v>93</v>
      </c>
      <c r="AJ2880" s="111">
        <f>IF(AN2880=0,I2880,0)</f>
      </c>
      <c r="AK2880" s="111">
        <f>IF(AN2880=12,I2880,0)</f>
      </c>
      <c r="AL2880" s="111">
        <f>IF(AN2880=21,I2880,0)</f>
      </c>
      <c r="AN2880" s="111" t="n">
        <v>21</v>
      </c>
      <c r="AO2880" s="111">
        <f>H2880*0</f>
      </c>
      <c r="AP2880" s="111">
        <f>H2880*(1-0)</f>
      </c>
      <c r="AQ2880" s="153" t="s">
        <v>130</v>
      </c>
      <c r="AV2880" s="111">
        <f>AW2880+AX2880</f>
      </c>
      <c r="AW2880" s="111">
        <f>G2880*AO2880</f>
      </c>
      <c r="AX2880" s="111">
        <f>G2880*AP2880</f>
      </c>
      <c r="AY2880" s="153" t="s">
        <v>1325</v>
      </c>
      <c r="AZ2880" s="153" t="s">
        <v>4606</v>
      </c>
      <c r="BA2880" s="132" t="s">
        <v>4594</v>
      </c>
      <c r="BC2880" s="111">
        <f>AW2880+AX2880</f>
      </c>
      <c r="BD2880" s="111">
        <f>H2880/(100-BE2880)*100</f>
      </c>
      <c r="BE2880" s="111" t="n">
        <v>0</v>
      </c>
      <c r="BF2880" s="111">
        <f>2880</f>
      </c>
      <c r="BH2880" s="111">
        <f>G2880*AO2880</f>
      </c>
      <c r="BI2880" s="111">
        <f>G2880*AP2880</f>
      </c>
      <c r="BJ2880" s="111">
        <f>G2880*H2880</f>
      </c>
      <c r="BK2880" s="111"/>
      <c r="BL2880" s="111" t="n">
        <v>90</v>
      </c>
      <c r="BW2880" s="111" t="n">
        <v>21</v>
      </c>
      <c r="BX2880" s="14" t="s">
        <v>4629</v>
      </c>
    </row>
    <row r="2881" customHeight="true" ht="13.5">
      <c r="A2881" s="159"/>
      <c r="C2881" s="160" t="s">
        <v>146</v>
      </c>
      <c r="D2881" s="161" t="s">
        <v>4630</v>
      </c>
      <c r="E2881" s="156"/>
      <c r="F2881" s="156"/>
      <c r="G2881" s="156"/>
      <c r="H2881" s="162"/>
      <c r="I2881" s="156"/>
      <c r="J2881" s="156"/>
      <c r="K2881" s="163"/>
    </row>
    <row r="2882">
      <c r="A2882" s="154"/>
      <c r="B2882" s="155"/>
      <c r="C2882" s="155"/>
      <c r="D2882" s="156" t="s">
        <v>202</v>
      </c>
      <c r="E2882" s="156" t="s">
        <v>4631</v>
      </c>
      <c r="F2882" s="155"/>
      <c r="G2882" s="157" t="n">
        <v>16</v>
      </c>
      <c r="H2882" s="158"/>
      <c r="I2882" s="155"/>
      <c r="J2882" s="155"/>
      <c r="K2882" s="146"/>
    </row>
    <row r="2883">
      <c r="A2883" s="9" t="s">
        <v>4632</v>
      </c>
      <c r="B2883" s="10" t="s">
        <v>93</v>
      </c>
      <c r="C2883" s="10" t="s">
        <v>4604</v>
      </c>
      <c r="D2883" s="14" t="s">
        <v>4633</v>
      </c>
      <c r="E2883" s="10"/>
      <c r="F2883" s="10" t="s">
        <v>3854</v>
      </c>
      <c r="G2883" s="111" t="n">
        <v>40</v>
      </c>
      <c r="H2883" s="152" t="n">
        <v>0</v>
      </c>
      <c r="I2883" s="111">
        <f>G2883*H2883</f>
      </c>
      <c r="J2883" s="153" t="s">
        <v>2936</v>
      </c>
      <c r="K2883" s="146"/>
      <c r="Z2883" s="111">
        <f>IF(AQ2883="5",BJ2883,0)</f>
      </c>
      <c r="AB2883" s="111">
        <f>IF(AQ2883="1",BH2883,0)</f>
      </c>
      <c r="AC2883" s="111">
        <f>IF(AQ2883="1",BI2883,0)</f>
      </c>
      <c r="AD2883" s="111">
        <f>IF(AQ2883="7",BH2883,0)</f>
      </c>
      <c r="AE2883" s="111">
        <f>IF(AQ2883="7",BI2883,0)</f>
      </c>
      <c r="AF2883" s="111">
        <f>IF(AQ2883="2",BH2883,0)</f>
      </c>
      <c r="AG2883" s="111">
        <f>IF(AQ2883="2",BI2883,0)</f>
      </c>
      <c r="AH2883" s="111">
        <f>IF(AQ2883="0",BJ2883,0)</f>
      </c>
      <c r="AI2883" s="132" t="s">
        <v>93</v>
      </c>
      <c r="AJ2883" s="111">
        <f>IF(AN2883=0,I2883,0)</f>
      </c>
      <c r="AK2883" s="111">
        <f>IF(AN2883=12,I2883,0)</f>
      </c>
      <c r="AL2883" s="111">
        <f>IF(AN2883=21,I2883,0)</f>
      </c>
      <c r="AN2883" s="111" t="n">
        <v>21</v>
      </c>
      <c r="AO2883" s="111">
        <f>H2883*0</f>
      </c>
      <c r="AP2883" s="111">
        <f>H2883*(1-0)</f>
      </c>
      <c r="AQ2883" s="153" t="s">
        <v>130</v>
      </c>
      <c r="AV2883" s="111">
        <f>AW2883+AX2883</f>
      </c>
      <c r="AW2883" s="111">
        <f>G2883*AO2883</f>
      </c>
      <c r="AX2883" s="111">
        <f>G2883*AP2883</f>
      </c>
      <c r="AY2883" s="153" t="s">
        <v>1325</v>
      </c>
      <c r="AZ2883" s="153" t="s">
        <v>4606</v>
      </c>
      <c r="BA2883" s="132" t="s">
        <v>4594</v>
      </c>
      <c r="BC2883" s="111">
        <f>AW2883+AX2883</f>
      </c>
      <c r="BD2883" s="111">
        <f>H2883/(100-BE2883)*100</f>
      </c>
      <c r="BE2883" s="111" t="n">
        <v>0</v>
      </c>
      <c r="BF2883" s="111">
        <f>2883</f>
      </c>
      <c r="BH2883" s="111">
        <f>G2883*AO2883</f>
      </c>
      <c r="BI2883" s="111">
        <f>G2883*AP2883</f>
      </c>
      <c r="BJ2883" s="111">
        <f>G2883*H2883</f>
      </c>
      <c r="BK2883" s="111"/>
      <c r="BL2883" s="111" t="n">
        <v>90</v>
      </c>
      <c r="BW2883" s="111" t="n">
        <v>21</v>
      </c>
      <c r="BX2883" s="14" t="s">
        <v>4633</v>
      </c>
    </row>
    <row r="2884" customHeight="true" ht="13.5">
      <c r="A2884" s="159"/>
      <c r="C2884" s="160" t="s">
        <v>146</v>
      </c>
      <c r="D2884" s="161" t="s">
        <v>4634</v>
      </c>
      <c r="E2884" s="156"/>
      <c r="F2884" s="156"/>
      <c r="G2884" s="156"/>
      <c r="H2884" s="162"/>
      <c r="I2884" s="156"/>
      <c r="J2884" s="156"/>
      <c r="K2884" s="163"/>
    </row>
    <row r="2885">
      <c r="A2885" s="154"/>
      <c r="B2885" s="155"/>
      <c r="C2885" s="155"/>
      <c r="D2885" s="156" t="s">
        <v>395</v>
      </c>
      <c r="E2885" s="156" t="s">
        <v>4631</v>
      </c>
      <c r="F2885" s="155"/>
      <c r="G2885" s="157" t="n">
        <v>40</v>
      </c>
      <c r="H2885" s="158"/>
      <c r="I2885" s="155"/>
      <c r="J2885" s="155"/>
      <c r="K2885" s="146"/>
    </row>
    <row r="2886">
      <c r="A2886" s="9" t="s">
        <v>4635</v>
      </c>
      <c r="B2886" s="10" t="s">
        <v>93</v>
      </c>
      <c r="C2886" s="10" t="s">
        <v>4604</v>
      </c>
      <c r="D2886" s="14" t="s">
        <v>4636</v>
      </c>
      <c r="E2886" s="10"/>
      <c r="F2886" s="10" t="s">
        <v>3854</v>
      </c>
      <c r="G2886" s="111" t="n">
        <v>14</v>
      </c>
      <c r="H2886" s="152" t="n">
        <v>0</v>
      </c>
      <c r="I2886" s="111">
        <f>G2886*H2886</f>
      </c>
      <c r="J2886" s="153" t="s">
        <v>2936</v>
      </c>
      <c r="K2886" s="146"/>
      <c r="Z2886" s="111">
        <f>IF(AQ2886="5",BJ2886,0)</f>
      </c>
      <c r="AB2886" s="111">
        <f>IF(AQ2886="1",BH2886,0)</f>
      </c>
      <c r="AC2886" s="111">
        <f>IF(AQ2886="1",BI2886,0)</f>
      </c>
      <c r="AD2886" s="111">
        <f>IF(AQ2886="7",BH2886,0)</f>
      </c>
      <c r="AE2886" s="111">
        <f>IF(AQ2886="7",BI2886,0)</f>
      </c>
      <c r="AF2886" s="111">
        <f>IF(AQ2886="2",BH2886,0)</f>
      </c>
      <c r="AG2886" s="111">
        <f>IF(AQ2886="2",BI2886,0)</f>
      </c>
      <c r="AH2886" s="111">
        <f>IF(AQ2886="0",BJ2886,0)</f>
      </c>
      <c r="AI2886" s="132" t="s">
        <v>93</v>
      </c>
      <c r="AJ2886" s="111">
        <f>IF(AN2886=0,I2886,0)</f>
      </c>
      <c r="AK2886" s="111">
        <f>IF(AN2886=12,I2886,0)</f>
      </c>
      <c r="AL2886" s="111">
        <f>IF(AN2886=21,I2886,0)</f>
      </c>
      <c r="AN2886" s="111" t="n">
        <v>21</v>
      </c>
      <c r="AO2886" s="111">
        <f>H2886*0</f>
      </c>
      <c r="AP2886" s="111">
        <f>H2886*(1-0)</f>
      </c>
      <c r="AQ2886" s="153" t="s">
        <v>130</v>
      </c>
      <c r="AV2886" s="111">
        <f>AW2886+AX2886</f>
      </c>
      <c r="AW2886" s="111">
        <f>G2886*AO2886</f>
      </c>
      <c r="AX2886" s="111">
        <f>G2886*AP2886</f>
      </c>
      <c r="AY2886" s="153" t="s">
        <v>1325</v>
      </c>
      <c r="AZ2886" s="153" t="s">
        <v>4606</v>
      </c>
      <c r="BA2886" s="132" t="s">
        <v>4594</v>
      </c>
      <c r="BC2886" s="111">
        <f>AW2886+AX2886</f>
      </c>
      <c r="BD2886" s="111">
        <f>H2886/(100-BE2886)*100</f>
      </c>
      <c r="BE2886" s="111" t="n">
        <v>0</v>
      </c>
      <c r="BF2886" s="111">
        <f>2886</f>
      </c>
      <c r="BH2886" s="111">
        <f>G2886*AO2886</f>
      </c>
      <c r="BI2886" s="111">
        <f>G2886*AP2886</f>
      </c>
      <c r="BJ2886" s="111">
        <f>G2886*H2886</f>
      </c>
      <c r="BK2886" s="111"/>
      <c r="BL2886" s="111" t="n">
        <v>90</v>
      </c>
      <c r="BW2886" s="111" t="n">
        <v>21</v>
      </c>
      <c r="BX2886" s="14" t="s">
        <v>4636</v>
      </c>
    </row>
    <row r="2887" customHeight="true" ht="13.5">
      <c r="A2887" s="159"/>
      <c r="C2887" s="160" t="s">
        <v>146</v>
      </c>
      <c r="D2887" s="161" t="s">
        <v>4597</v>
      </c>
      <c r="E2887" s="156"/>
      <c r="F2887" s="156"/>
      <c r="G2887" s="156"/>
      <c r="H2887" s="162"/>
      <c r="I2887" s="156"/>
      <c r="J2887" s="156"/>
      <c r="K2887" s="163"/>
    </row>
    <row r="2888">
      <c r="A2888" s="154"/>
      <c r="B2888" s="155"/>
      <c r="C2888" s="155"/>
      <c r="D2888" s="156" t="s">
        <v>212</v>
      </c>
      <c r="E2888" s="156" t="s">
        <v>4631</v>
      </c>
      <c r="F2888" s="155"/>
      <c r="G2888" s="157" t="n">
        <v>14</v>
      </c>
      <c r="H2888" s="158"/>
      <c r="I2888" s="155"/>
      <c r="J2888" s="155"/>
      <c r="K2888" s="146"/>
    </row>
    <row r="2889">
      <c r="A2889" s="9" t="s">
        <v>4637</v>
      </c>
      <c r="B2889" s="10" t="s">
        <v>93</v>
      </c>
      <c r="C2889" s="10" t="s">
        <v>4604</v>
      </c>
      <c r="D2889" s="14" t="s">
        <v>4638</v>
      </c>
      <c r="E2889" s="10"/>
      <c r="F2889" s="10" t="s">
        <v>3854</v>
      </c>
      <c r="G2889" s="111" t="n">
        <v>4</v>
      </c>
      <c r="H2889" s="152" t="n">
        <v>0</v>
      </c>
      <c r="I2889" s="111">
        <f>G2889*H2889</f>
      </c>
      <c r="J2889" s="153" t="s">
        <v>2936</v>
      </c>
      <c r="K2889" s="146"/>
      <c r="Z2889" s="111">
        <f>IF(AQ2889="5",BJ2889,0)</f>
      </c>
      <c r="AB2889" s="111">
        <f>IF(AQ2889="1",BH2889,0)</f>
      </c>
      <c r="AC2889" s="111">
        <f>IF(AQ2889="1",BI2889,0)</f>
      </c>
      <c r="AD2889" s="111">
        <f>IF(AQ2889="7",BH2889,0)</f>
      </c>
      <c r="AE2889" s="111">
        <f>IF(AQ2889="7",BI2889,0)</f>
      </c>
      <c r="AF2889" s="111">
        <f>IF(AQ2889="2",BH2889,0)</f>
      </c>
      <c r="AG2889" s="111">
        <f>IF(AQ2889="2",BI2889,0)</f>
      </c>
      <c r="AH2889" s="111">
        <f>IF(AQ2889="0",BJ2889,0)</f>
      </c>
      <c r="AI2889" s="132" t="s">
        <v>93</v>
      </c>
      <c r="AJ2889" s="111">
        <f>IF(AN2889=0,I2889,0)</f>
      </c>
      <c r="AK2889" s="111">
        <f>IF(AN2889=12,I2889,0)</f>
      </c>
      <c r="AL2889" s="111">
        <f>IF(AN2889=21,I2889,0)</f>
      </c>
      <c r="AN2889" s="111" t="n">
        <v>21</v>
      </c>
      <c r="AO2889" s="111">
        <f>H2889*0</f>
      </c>
      <c r="AP2889" s="111">
        <f>H2889*(1-0)</f>
      </c>
      <c r="AQ2889" s="153" t="s">
        <v>130</v>
      </c>
      <c r="AV2889" s="111">
        <f>AW2889+AX2889</f>
      </c>
      <c r="AW2889" s="111">
        <f>G2889*AO2889</f>
      </c>
      <c r="AX2889" s="111">
        <f>G2889*AP2889</f>
      </c>
      <c r="AY2889" s="153" t="s">
        <v>1325</v>
      </c>
      <c r="AZ2889" s="153" t="s">
        <v>4606</v>
      </c>
      <c r="BA2889" s="132" t="s">
        <v>4594</v>
      </c>
      <c r="BC2889" s="111">
        <f>AW2889+AX2889</f>
      </c>
      <c r="BD2889" s="111">
        <f>H2889/(100-BE2889)*100</f>
      </c>
      <c r="BE2889" s="111" t="n">
        <v>0</v>
      </c>
      <c r="BF2889" s="111">
        <f>2889</f>
      </c>
      <c r="BH2889" s="111">
        <f>G2889*AO2889</f>
      </c>
      <c r="BI2889" s="111">
        <f>G2889*AP2889</f>
      </c>
      <c r="BJ2889" s="111">
        <f>G2889*H2889</f>
      </c>
      <c r="BK2889" s="111"/>
      <c r="BL2889" s="111" t="n">
        <v>90</v>
      </c>
      <c r="BW2889" s="111" t="n">
        <v>21</v>
      </c>
      <c r="BX2889" s="14" t="s">
        <v>4638</v>
      </c>
    </row>
    <row r="2890">
      <c r="A2890" s="9" t="s">
        <v>4639</v>
      </c>
      <c r="B2890" s="10" t="s">
        <v>93</v>
      </c>
      <c r="C2890" s="10" t="s">
        <v>4604</v>
      </c>
      <c r="D2890" s="14" t="s">
        <v>4640</v>
      </c>
      <c r="E2890" s="10"/>
      <c r="F2890" s="10" t="s">
        <v>3854</v>
      </c>
      <c r="G2890" s="111" t="n">
        <v>12</v>
      </c>
      <c r="H2890" s="152" t="n">
        <v>0</v>
      </c>
      <c r="I2890" s="111">
        <f>G2890*H2890</f>
      </c>
      <c r="J2890" s="153" t="s">
        <v>2936</v>
      </c>
      <c r="K2890" s="146"/>
      <c r="Z2890" s="111">
        <f>IF(AQ2890="5",BJ2890,0)</f>
      </c>
      <c r="AB2890" s="111">
        <f>IF(AQ2890="1",BH2890,0)</f>
      </c>
      <c r="AC2890" s="111">
        <f>IF(AQ2890="1",BI2890,0)</f>
      </c>
      <c r="AD2890" s="111">
        <f>IF(AQ2890="7",BH2890,0)</f>
      </c>
      <c r="AE2890" s="111">
        <f>IF(AQ2890="7",BI2890,0)</f>
      </c>
      <c r="AF2890" s="111">
        <f>IF(AQ2890="2",BH2890,0)</f>
      </c>
      <c r="AG2890" s="111">
        <f>IF(AQ2890="2",BI2890,0)</f>
      </c>
      <c r="AH2890" s="111">
        <f>IF(AQ2890="0",BJ2890,0)</f>
      </c>
      <c r="AI2890" s="132" t="s">
        <v>93</v>
      </c>
      <c r="AJ2890" s="111">
        <f>IF(AN2890=0,I2890,0)</f>
      </c>
      <c r="AK2890" s="111">
        <f>IF(AN2890=12,I2890,0)</f>
      </c>
      <c r="AL2890" s="111">
        <f>IF(AN2890=21,I2890,0)</f>
      </c>
      <c r="AN2890" s="111" t="n">
        <v>21</v>
      </c>
      <c r="AO2890" s="111">
        <f>H2890*0</f>
      </c>
      <c r="AP2890" s="111">
        <f>H2890*(1-0)</f>
      </c>
      <c r="AQ2890" s="153" t="s">
        <v>130</v>
      </c>
      <c r="AV2890" s="111">
        <f>AW2890+AX2890</f>
      </c>
      <c r="AW2890" s="111">
        <f>G2890*AO2890</f>
      </c>
      <c r="AX2890" s="111">
        <f>G2890*AP2890</f>
      </c>
      <c r="AY2890" s="153" t="s">
        <v>1325</v>
      </c>
      <c r="AZ2890" s="153" t="s">
        <v>4606</v>
      </c>
      <c r="BA2890" s="132" t="s">
        <v>4594</v>
      </c>
      <c r="BC2890" s="111">
        <f>AW2890+AX2890</f>
      </c>
      <c r="BD2890" s="111">
        <f>H2890/(100-BE2890)*100</f>
      </c>
      <c r="BE2890" s="111" t="n">
        <v>0</v>
      </c>
      <c r="BF2890" s="111">
        <f>2890</f>
      </c>
      <c r="BH2890" s="111">
        <f>G2890*AO2890</f>
      </c>
      <c r="BI2890" s="111">
        <f>G2890*AP2890</f>
      </c>
      <c r="BJ2890" s="111">
        <f>G2890*H2890</f>
      </c>
      <c r="BK2890" s="111"/>
      <c r="BL2890" s="111" t="n">
        <v>90</v>
      </c>
      <c r="BW2890" s="111" t="n">
        <v>21</v>
      </c>
      <c r="BX2890" s="14" t="s">
        <v>4640</v>
      </c>
    </row>
    <row r="2891">
      <c r="A2891" s="9" t="s">
        <v>4641</v>
      </c>
      <c r="B2891" s="10" t="s">
        <v>93</v>
      </c>
      <c r="C2891" s="10" t="s">
        <v>4604</v>
      </c>
      <c r="D2891" s="14" t="s">
        <v>4642</v>
      </c>
      <c r="E2891" s="10"/>
      <c r="F2891" s="10" t="s">
        <v>3854</v>
      </c>
      <c r="G2891" s="111" t="n">
        <v>16</v>
      </c>
      <c r="H2891" s="152" t="n">
        <v>0</v>
      </c>
      <c r="I2891" s="111">
        <f>G2891*H2891</f>
      </c>
      <c r="J2891" s="153" t="s">
        <v>2936</v>
      </c>
      <c r="K2891" s="146"/>
      <c r="Z2891" s="111">
        <f>IF(AQ2891="5",BJ2891,0)</f>
      </c>
      <c r="AB2891" s="111">
        <f>IF(AQ2891="1",BH2891,0)</f>
      </c>
      <c r="AC2891" s="111">
        <f>IF(AQ2891="1",BI2891,0)</f>
      </c>
      <c r="AD2891" s="111">
        <f>IF(AQ2891="7",BH2891,0)</f>
      </c>
      <c r="AE2891" s="111">
        <f>IF(AQ2891="7",BI2891,0)</f>
      </c>
      <c r="AF2891" s="111">
        <f>IF(AQ2891="2",BH2891,0)</f>
      </c>
      <c r="AG2891" s="111">
        <f>IF(AQ2891="2",BI2891,0)</f>
      </c>
      <c r="AH2891" s="111">
        <f>IF(AQ2891="0",BJ2891,0)</f>
      </c>
      <c r="AI2891" s="132" t="s">
        <v>93</v>
      </c>
      <c r="AJ2891" s="111">
        <f>IF(AN2891=0,I2891,0)</f>
      </c>
      <c r="AK2891" s="111">
        <f>IF(AN2891=12,I2891,0)</f>
      </c>
      <c r="AL2891" s="111">
        <f>IF(AN2891=21,I2891,0)</f>
      </c>
      <c r="AN2891" s="111" t="n">
        <v>21</v>
      </c>
      <c r="AO2891" s="111">
        <f>H2891*0</f>
      </c>
      <c r="AP2891" s="111">
        <f>H2891*(1-0)</f>
      </c>
      <c r="AQ2891" s="153" t="s">
        <v>130</v>
      </c>
      <c r="AV2891" s="111">
        <f>AW2891+AX2891</f>
      </c>
      <c r="AW2891" s="111">
        <f>G2891*AO2891</f>
      </c>
      <c r="AX2891" s="111">
        <f>G2891*AP2891</f>
      </c>
      <c r="AY2891" s="153" t="s">
        <v>1325</v>
      </c>
      <c r="AZ2891" s="153" t="s">
        <v>4606</v>
      </c>
      <c r="BA2891" s="132" t="s">
        <v>4594</v>
      </c>
      <c r="BC2891" s="111">
        <f>AW2891+AX2891</f>
      </c>
      <c r="BD2891" s="111">
        <f>H2891/(100-BE2891)*100</f>
      </c>
      <c r="BE2891" s="111" t="n">
        <v>0</v>
      </c>
      <c r="BF2891" s="111">
        <f>2891</f>
      </c>
      <c r="BH2891" s="111">
        <f>G2891*AO2891</f>
      </c>
      <c r="BI2891" s="111">
        <f>G2891*AP2891</f>
      </c>
      <c r="BJ2891" s="111">
        <f>G2891*H2891</f>
      </c>
      <c r="BK2891" s="111"/>
      <c r="BL2891" s="111" t="n">
        <v>90</v>
      </c>
      <c r="BW2891" s="111" t="n">
        <v>21</v>
      </c>
      <c r="BX2891" s="14" t="s">
        <v>4642</v>
      </c>
    </row>
    <row r="2892" ht="24.75">
      <c r="A2892" s="9" t="s">
        <v>4643</v>
      </c>
      <c r="B2892" s="10" t="s">
        <v>93</v>
      </c>
      <c r="C2892" s="10" t="s">
        <v>4604</v>
      </c>
      <c r="D2892" s="14" t="s">
        <v>4644</v>
      </c>
      <c r="E2892" s="10"/>
      <c r="F2892" s="10" t="s">
        <v>3854</v>
      </c>
      <c r="G2892" s="111" t="n">
        <v>40</v>
      </c>
      <c r="H2892" s="152" t="n">
        <v>0</v>
      </c>
      <c r="I2892" s="111">
        <f>G2892*H2892</f>
      </c>
      <c r="J2892" s="153" t="s">
        <v>2936</v>
      </c>
      <c r="K2892" s="146"/>
      <c r="Z2892" s="111">
        <f>IF(AQ2892="5",BJ2892,0)</f>
      </c>
      <c r="AB2892" s="111">
        <f>IF(AQ2892="1",BH2892,0)</f>
      </c>
      <c r="AC2892" s="111">
        <f>IF(AQ2892="1",BI2892,0)</f>
      </c>
      <c r="AD2892" s="111">
        <f>IF(AQ2892="7",BH2892,0)</f>
      </c>
      <c r="AE2892" s="111">
        <f>IF(AQ2892="7",BI2892,0)</f>
      </c>
      <c r="AF2892" s="111">
        <f>IF(AQ2892="2",BH2892,0)</f>
      </c>
      <c r="AG2892" s="111">
        <f>IF(AQ2892="2",BI2892,0)</f>
      </c>
      <c r="AH2892" s="111">
        <f>IF(AQ2892="0",BJ2892,0)</f>
      </c>
      <c r="AI2892" s="132" t="s">
        <v>93</v>
      </c>
      <c r="AJ2892" s="111">
        <f>IF(AN2892=0,I2892,0)</f>
      </c>
      <c r="AK2892" s="111">
        <f>IF(AN2892=12,I2892,0)</f>
      </c>
      <c r="AL2892" s="111">
        <f>IF(AN2892=21,I2892,0)</f>
      </c>
      <c r="AN2892" s="111" t="n">
        <v>21</v>
      </c>
      <c r="AO2892" s="111">
        <f>H2892*0</f>
      </c>
      <c r="AP2892" s="111">
        <f>H2892*(1-0)</f>
      </c>
      <c r="AQ2892" s="153" t="s">
        <v>130</v>
      </c>
      <c r="AV2892" s="111">
        <f>AW2892+AX2892</f>
      </c>
      <c r="AW2892" s="111">
        <f>G2892*AO2892</f>
      </c>
      <c r="AX2892" s="111">
        <f>G2892*AP2892</f>
      </c>
      <c r="AY2892" s="153" t="s">
        <v>1325</v>
      </c>
      <c r="AZ2892" s="153" t="s">
        <v>4606</v>
      </c>
      <c r="BA2892" s="132" t="s">
        <v>4594</v>
      </c>
      <c r="BC2892" s="111">
        <f>AW2892+AX2892</f>
      </c>
      <c r="BD2892" s="111">
        <f>H2892/(100-BE2892)*100</f>
      </c>
      <c r="BE2892" s="111" t="n">
        <v>0</v>
      </c>
      <c r="BF2892" s="111">
        <f>2892</f>
      </c>
      <c r="BH2892" s="111">
        <f>G2892*AO2892</f>
      </c>
      <c r="BI2892" s="111">
        <f>G2892*AP2892</f>
      </c>
      <c r="BJ2892" s="111">
        <f>G2892*H2892</f>
      </c>
      <c r="BK2892" s="111"/>
      <c r="BL2892" s="111" t="n">
        <v>90</v>
      </c>
      <c r="BW2892" s="111" t="n">
        <v>21</v>
      </c>
      <c r="BX2892" s="14" t="s">
        <v>4644</v>
      </c>
    </row>
    <row r="2893">
      <c r="A2893" s="9" t="s">
        <v>4645</v>
      </c>
      <c r="B2893" s="10" t="s">
        <v>93</v>
      </c>
      <c r="C2893" s="10" t="s">
        <v>4604</v>
      </c>
      <c r="D2893" s="14" t="s">
        <v>4646</v>
      </c>
      <c r="E2893" s="10"/>
      <c r="F2893" s="10" t="s">
        <v>3854</v>
      </c>
      <c r="G2893" s="111" t="n">
        <v>10</v>
      </c>
      <c r="H2893" s="152" t="n">
        <v>0</v>
      </c>
      <c r="I2893" s="111">
        <f>G2893*H2893</f>
      </c>
      <c r="J2893" s="153" t="s">
        <v>2936</v>
      </c>
      <c r="K2893" s="146"/>
      <c r="Z2893" s="111">
        <f>IF(AQ2893="5",BJ2893,0)</f>
      </c>
      <c r="AB2893" s="111">
        <f>IF(AQ2893="1",BH2893,0)</f>
      </c>
      <c r="AC2893" s="111">
        <f>IF(AQ2893="1",BI2893,0)</f>
      </c>
      <c r="AD2893" s="111">
        <f>IF(AQ2893="7",BH2893,0)</f>
      </c>
      <c r="AE2893" s="111">
        <f>IF(AQ2893="7",BI2893,0)</f>
      </c>
      <c r="AF2893" s="111">
        <f>IF(AQ2893="2",BH2893,0)</f>
      </c>
      <c r="AG2893" s="111">
        <f>IF(AQ2893="2",BI2893,0)</f>
      </c>
      <c r="AH2893" s="111">
        <f>IF(AQ2893="0",BJ2893,0)</f>
      </c>
      <c r="AI2893" s="132" t="s">
        <v>93</v>
      </c>
      <c r="AJ2893" s="111">
        <f>IF(AN2893=0,I2893,0)</f>
      </c>
      <c r="AK2893" s="111">
        <f>IF(AN2893=12,I2893,0)</f>
      </c>
      <c r="AL2893" s="111">
        <f>IF(AN2893=21,I2893,0)</f>
      </c>
      <c r="AN2893" s="111" t="n">
        <v>21</v>
      </c>
      <c r="AO2893" s="111">
        <f>H2893*0</f>
      </c>
      <c r="AP2893" s="111">
        <f>H2893*(1-0)</f>
      </c>
      <c r="AQ2893" s="153" t="s">
        <v>130</v>
      </c>
      <c r="AV2893" s="111">
        <f>AW2893+AX2893</f>
      </c>
      <c r="AW2893" s="111">
        <f>G2893*AO2893</f>
      </c>
      <c r="AX2893" s="111">
        <f>G2893*AP2893</f>
      </c>
      <c r="AY2893" s="153" t="s">
        <v>1325</v>
      </c>
      <c r="AZ2893" s="153" t="s">
        <v>4606</v>
      </c>
      <c r="BA2893" s="132" t="s">
        <v>4594</v>
      </c>
      <c r="BC2893" s="111">
        <f>AW2893+AX2893</f>
      </c>
      <c r="BD2893" s="111">
        <f>H2893/(100-BE2893)*100</f>
      </c>
      <c r="BE2893" s="111" t="n">
        <v>0</v>
      </c>
      <c r="BF2893" s="111">
        <f>2893</f>
      </c>
      <c r="BH2893" s="111">
        <f>G2893*AO2893</f>
      </c>
      <c r="BI2893" s="111">
        <f>G2893*AP2893</f>
      </c>
      <c r="BJ2893" s="111">
        <f>G2893*H2893</f>
      </c>
      <c r="BK2893" s="111"/>
      <c r="BL2893" s="111" t="n">
        <v>90</v>
      </c>
      <c r="BW2893" s="111" t="n">
        <v>21</v>
      </c>
      <c r="BX2893" s="14" t="s">
        <v>4646</v>
      </c>
    </row>
    <row r="2894">
      <c r="A2894" s="9" t="s">
        <v>4647</v>
      </c>
      <c r="B2894" s="10" t="s">
        <v>93</v>
      </c>
      <c r="C2894" s="10" t="s">
        <v>4648</v>
      </c>
      <c r="D2894" s="14" t="s">
        <v>4649</v>
      </c>
      <c r="E2894" s="10"/>
      <c r="F2894" s="10" t="s">
        <v>1324</v>
      </c>
      <c r="G2894" s="111" t="n">
        <v>8</v>
      </c>
      <c r="H2894" s="152" t="n">
        <v>0</v>
      </c>
      <c r="I2894" s="111">
        <f>G2894*H2894</f>
      </c>
      <c r="J2894" s="153" t="s">
        <v>134</v>
      </c>
      <c r="K2894" s="146"/>
      <c r="Z2894" s="111">
        <f>IF(AQ2894="5",BJ2894,0)</f>
      </c>
      <c r="AB2894" s="111">
        <f>IF(AQ2894="1",BH2894,0)</f>
      </c>
      <c r="AC2894" s="111">
        <f>IF(AQ2894="1",BI2894,0)</f>
      </c>
      <c r="AD2894" s="111">
        <f>IF(AQ2894="7",BH2894,0)</f>
      </c>
      <c r="AE2894" s="111">
        <f>IF(AQ2894="7",BI2894,0)</f>
      </c>
      <c r="AF2894" s="111">
        <f>IF(AQ2894="2",BH2894,0)</f>
      </c>
      <c r="AG2894" s="111">
        <f>IF(AQ2894="2",BI2894,0)</f>
      </c>
      <c r="AH2894" s="111">
        <f>IF(AQ2894="0",BJ2894,0)</f>
      </c>
      <c r="AI2894" s="132" t="s">
        <v>93</v>
      </c>
      <c r="AJ2894" s="111">
        <f>IF(AN2894=0,I2894,0)</f>
      </c>
      <c r="AK2894" s="111">
        <f>IF(AN2894=12,I2894,0)</f>
      </c>
      <c r="AL2894" s="111">
        <f>IF(AN2894=21,I2894,0)</f>
      </c>
      <c r="AN2894" s="111" t="n">
        <v>21</v>
      </c>
      <c r="AO2894" s="111">
        <f>H2894*0</f>
      </c>
      <c r="AP2894" s="111">
        <f>H2894*(1-0)</f>
      </c>
      <c r="AQ2894" s="153" t="s">
        <v>130</v>
      </c>
      <c r="AV2894" s="111">
        <f>AW2894+AX2894</f>
      </c>
      <c r="AW2894" s="111">
        <f>G2894*AO2894</f>
      </c>
      <c r="AX2894" s="111">
        <f>G2894*AP2894</f>
      </c>
      <c r="AY2894" s="153" t="s">
        <v>1325</v>
      </c>
      <c r="AZ2894" s="153" t="s">
        <v>4606</v>
      </c>
      <c r="BA2894" s="132" t="s">
        <v>4594</v>
      </c>
      <c r="BC2894" s="111">
        <f>AW2894+AX2894</f>
      </c>
      <c r="BD2894" s="111">
        <f>H2894/(100-BE2894)*100</f>
      </c>
      <c r="BE2894" s="111" t="n">
        <v>0</v>
      </c>
      <c r="BF2894" s="111">
        <f>2894</f>
      </c>
      <c r="BH2894" s="111">
        <f>G2894*AO2894</f>
      </c>
      <c r="BI2894" s="111">
        <f>G2894*AP2894</f>
      </c>
      <c r="BJ2894" s="111">
        <f>G2894*H2894</f>
      </c>
      <c r="BK2894" s="111"/>
      <c r="BL2894" s="111" t="n">
        <v>90</v>
      </c>
      <c r="BW2894" s="111" t="n">
        <v>21</v>
      </c>
      <c r="BX2894" s="14" t="s">
        <v>4649</v>
      </c>
    </row>
    <row r="2895" customHeight="true" ht="13.5">
      <c r="A2895" s="159"/>
      <c r="C2895" s="160" t="s">
        <v>146</v>
      </c>
      <c r="D2895" s="161" t="s">
        <v>4650</v>
      </c>
      <c r="E2895" s="156"/>
      <c r="F2895" s="156"/>
      <c r="G2895" s="156"/>
      <c r="H2895" s="162"/>
      <c r="I2895" s="156"/>
      <c r="J2895" s="156"/>
      <c r="K2895" s="163"/>
    </row>
    <row r="2896">
      <c r="A2896" s="9" t="s">
        <v>4651</v>
      </c>
      <c r="B2896" s="10" t="s">
        <v>93</v>
      </c>
      <c r="C2896" s="10" t="s">
        <v>4652</v>
      </c>
      <c r="D2896" s="14" t="s">
        <v>4653</v>
      </c>
      <c r="E2896" s="10"/>
      <c r="F2896" s="10" t="s">
        <v>1324</v>
      </c>
      <c r="G2896" s="111" t="n">
        <v>60</v>
      </c>
      <c r="H2896" s="152" t="n">
        <v>0</v>
      </c>
      <c r="I2896" s="111">
        <f>G2896*H2896</f>
      </c>
      <c r="J2896" s="153" t="s">
        <v>134</v>
      </c>
      <c r="K2896" s="146"/>
      <c r="Z2896" s="111">
        <f>IF(AQ2896="5",BJ2896,0)</f>
      </c>
      <c r="AB2896" s="111">
        <f>IF(AQ2896="1",BH2896,0)</f>
      </c>
      <c r="AC2896" s="111">
        <f>IF(AQ2896="1",BI2896,0)</f>
      </c>
      <c r="AD2896" s="111">
        <f>IF(AQ2896="7",BH2896,0)</f>
      </c>
      <c r="AE2896" s="111">
        <f>IF(AQ2896="7",BI2896,0)</f>
      </c>
      <c r="AF2896" s="111">
        <f>IF(AQ2896="2",BH2896,0)</f>
      </c>
      <c r="AG2896" s="111">
        <f>IF(AQ2896="2",BI2896,0)</f>
      </c>
      <c r="AH2896" s="111">
        <f>IF(AQ2896="0",BJ2896,0)</f>
      </c>
      <c r="AI2896" s="132" t="s">
        <v>93</v>
      </c>
      <c r="AJ2896" s="111">
        <f>IF(AN2896=0,I2896,0)</f>
      </c>
      <c r="AK2896" s="111">
        <f>IF(AN2896=12,I2896,0)</f>
      </c>
      <c r="AL2896" s="111">
        <f>IF(AN2896=21,I2896,0)</f>
      </c>
      <c r="AN2896" s="111" t="n">
        <v>21</v>
      </c>
      <c r="AO2896" s="111">
        <f>H2896*0</f>
      </c>
      <c r="AP2896" s="111">
        <f>H2896*(1-0)</f>
      </c>
      <c r="AQ2896" s="153" t="s">
        <v>130</v>
      </c>
      <c r="AV2896" s="111">
        <f>AW2896+AX2896</f>
      </c>
      <c r="AW2896" s="111">
        <f>G2896*AO2896</f>
      </c>
      <c r="AX2896" s="111">
        <f>G2896*AP2896</f>
      </c>
      <c r="AY2896" s="153" t="s">
        <v>1325</v>
      </c>
      <c r="AZ2896" s="153" t="s">
        <v>4606</v>
      </c>
      <c r="BA2896" s="132" t="s">
        <v>4594</v>
      </c>
      <c r="BC2896" s="111">
        <f>AW2896+AX2896</f>
      </c>
      <c r="BD2896" s="111">
        <f>H2896/(100-BE2896)*100</f>
      </c>
      <c r="BE2896" s="111" t="n">
        <v>0</v>
      </c>
      <c r="BF2896" s="111">
        <f>2896</f>
      </c>
      <c r="BH2896" s="111">
        <f>G2896*AO2896</f>
      </c>
      <c r="BI2896" s="111">
        <f>G2896*AP2896</f>
      </c>
      <c r="BJ2896" s="111">
        <f>G2896*H2896</f>
      </c>
      <c r="BK2896" s="111"/>
      <c r="BL2896" s="111" t="n">
        <v>90</v>
      </c>
      <c r="BW2896" s="111" t="n">
        <v>21</v>
      </c>
      <c r="BX2896" s="14" t="s">
        <v>4653</v>
      </c>
    </row>
    <row r="2897" customHeight="true" ht="13.5">
      <c r="A2897" s="159"/>
      <c r="C2897" s="160" t="s">
        <v>146</v>
      </c>
      <c r="D2897" s="161" t="s">
        <v>4654</v>
      </c>
      <c r="E2897" s="156"/>
      <c r="F2897" s="156"/>
      <c r="G2897" s="156"/>
      <c r="H2897" s="162"/>
      <c r="I2897" s="156"/>
      <c r="J2897" s="156"/>
      <c r="K2897" s="163"/>
    </row>
    <row r="2898">
      <c r="A2898" s="147" t="s">
        <v>4</v>
      </c>
      <c r="B2898" s="148" t="s">
        <v>93</v>
      </c>
      <c r="C2898" s="148" t="s">
        <v>761</v>
      </c>
      <c r="D2898" s="149" t="s">
        <v>1362</v>
      </c>
      <c r="E2898" s="148"/>
      <c r="F2898" s="150" t="s">
        <v>79</v>
      </c>
      <c r="G2898" s="150" t="s">
        <v>79</v>
      </c>
      <c r="H2898" s="151" t="s">
        <v>79</v>
      </c>
      <c r="I2898" s="117">
        <f>SUM(I2899:I2900)</f>
      </c>
      <c r="J2898" s="132" t="s">
        <v>4</v>
      </c>
      <c r="K2898" s="146"/>
      <c r="AI2898" s="132" t="s">
        <v>93</v>
      </c>
      <c r="AS2898" s="117">
        <f>SUM(AJ2899:AJ2900)</f>
      </c>
      <c r="AT2898" s="117">
        <f>SUM(AK2899:AK2900)</f>
      </c>
      <c r="AU2898" s="117">
        <f>SUM(AL2899:AL2900)</f>
      </c>
    </row>
    <row r="2899">
      <c r="A2899" s="9" t="s">
        <v>4655</v>
      </c>
      <c r="B2899" s="10" t="s">
        <v>93</v>
      </c>
      <c r="C2899" s="10" t="s">
        <v>4656</v>
      </c>
      <c r="D2899" s="14" t="s">
        <v>4657</v>
      </c>
      <c r="E2899" s="10"/>
      <c r="F2899" s="10" t="s">
        <v>145</v>
      </c>
      <c r="G2899" s="111" t="n">
        <v>80</v>
      </c>
      <c r="H2899" s="152" t="n">
        <v>0</v>
      </c>
      <c r="I2899" s="111">
        <f>G2899*H2899</f>
      </c>
      <c r="J2899" s="153" t="s">
        <v>134</v>
      </c>
      <c r="K2899" s="146"/>
      <c r="Z2899" s="111">
        <f>IF(AQ2899="5",BJ2899,0)</f>
      </c>
      <c r="AB2899" s="111">
        <f>IF(AQ2899="1",BH2899,0)</f>
      </c>
      <c r="AC2899" s="111">
        <f>IF(AQ2899="1",BI2899,0)</f>
      </c>
      <c r="AD2899" s="111">
        <f>IF(AQ2899="7",BH2899,0)</f>
      </c>
      <c r="AE2899" s="111">
        <f>IF(AQ2899="7",BI2899,0)</f>
      </c>
      <c r="AF2899" s="111">
        <f>IF(AQ2899="2",BH2899,0)</f>
      </c>
      <c r="AG2899" s="111">
        <f>IF(AQ2899="2",BI2899,0)</f>
      </c>
      <c r="AH2899" s="111">
        <f>IF(AQ2899="0",BJ2899,0)</f>
      </c>
      <c r="AI2899" s="132" t="s">
        <v>93</v>
      </c>
      <c r="AJ2899" s="111">
        <f>IF(AN2899=0,I2899,0)</f>
      </c>
      <c r="AK2899" s="111">
        <f>IF(AN2899=12,I2899,0)</f>
      </c>
      <c r="AL2899" s="111">
        <f>IF(AN2899=21,I2899,0)</f>
      </c>
      <c r="AN2899" s="111" t="n">
        <v>21</v>
      </c>
      <c r="AO2899" s="111">
        <f>H2899*0.401849366</f>
      </c>
      <c r="AP2899" s="111">
        <f>H2899*(1-0.401849366)</f>
      </c>
      <c r="AQ2899" s="153" t="s">
        <v>130</v>
      </c>
      <c r="AV2899" s="111">
        <f>AW2899+AX2899</f>
      </c>
      <c r="AW2899" s="111">
        <f>G2899*AO2899</f>
      </c>
      <c r="AX2899" s="111">
        <f>G2899*AP2899</f>
      </c>
      <c r="AY2899" s="153" t="s">
        <v>1366</v>
      </c>
      <c r="AZ2899" s="153" t="s">
        <v>4606</v>
      </c>
      <c r="BA2899" s="132" t="s">
        <v>4594</v>
      </c>
      <c r="BC2899" s="111">
        <f>AW2899+AX2899</f>
      </c>
      <c r="BD2899" s="111">
        <f>H2899/(100-BE2899)*100</f>
      </c>
      <c r="BE2899" s="111" t="n">
        <v>0</v>
      </c>
      <c r="BF2899" s="111">
        <f>2899</f>
      </c>
      <c r="BH2899" s="111">
        <f>G2899*AO2899</f>
      </c>
      <c r="BI2899" s="111">
        <f>G2899*AP2899</f>
      </c>
      <c r="BJ2899" s="111">
        <f>G2899*H2899</f>
      </c>
      <c r="BK2899" s="111"/>
      <c r="BL2899" s="111" t="n">
        <v>94</v>
      </c>
      <c r="BW2899" s="111" t="n">
        <v>21</v>
      </c>
      <c r="BX2899" s="14" t="s">
        <v>4657</v>
      </c>
    </row>
    <row r="2900">
      <c r="A2900" s="9" t="s">
        <v>4658</v>
      </c>
      <c r="B2900" s="10" t="s">
        <v>93</v>
      </c>
      <c r="C2900" s="10" t="s">
        <v>4659</v>
      </c>
      <c r="D2900" s="14" t="s">
        <v>4660</v>
      </c>
      <c r="E2900" s="10"/>
      <c r="F2900" s="10" t="s">
        <v>145</v>
      </c>
      <c r="G2900" s="111" t="n">
        <v>30</v>
      </c>
      <c r="H2900" s="152" t="n">
        <v>0</v>
      </c>
      <c r="I2900" s="111">
        <f>G2900*H2900</f>
      </c>
      <c r="J2900" s="153" t="s">
        <v>134</v>
      </c>
      <c r="K2900" s="146"/>
      <c r="Z2900" s="111">
        <f>IF(AQ2900="5",BJ2900,0)</f>
      </c>
      <c r="AB2900" s="111">
        <f>IF(AQ2900="1",BH2900,0)</f>
      </c>
      <c r="AC2900" s="111">
        <f>IF(AQ2900="1",BI2900,0)</f>
      </c>
      <c r="AD2900" s="111">
        <f>IF(AQ2900="7",BH2900,0)</f>
      </c>
      <c r="AE2900" s="111">
        <f>IF(AQ2900="7",BI2900,0)</f>
      </c>
      <c r="AF2900" s="111">
        <f>IF(AQ2900="2",BH2900,0)</f>
      </c>
      <c r="AG2900" s="111">
        <f>IF(AQ2900="2",BI2900,0)</f>
      </c>
      <c r="AH2900" s="111">
        <f>IF(AQ2900="0",BJ2900,0)</f>
      </c>
      <c r="AI2900" s="132" t="s">
        <v>93</v>
      </c>
      <c r="AJ2900" s="111">
        <f>IF(AN2900=0,I2900,0)</f>
      </c>
      <c r="AK2900" s="111">
        <f>IF(AN2900=12,I2900,0)</f>
      </c>
      <c r="AL2900" s="111">
        <f>IF(AN2900=21,I2900,0)</f>
      </c>
      <c r="AN2900" s="111" t="n">
        <v>21</v>
      </c>
      <c r="AO2900" s="111">
        <f>H2900*0.368662731</f>
      </c>
      <c r="AP2900" s="111">
        <f>H2900*(1-0.368662731)</f>
      </c>
      <c r="AQ2900" s="153" t="s">
        <v>130</v>
      </c>
      <c r="AV2900" s="111">
        <f>AW2900+AX2900</f>
      </c>
      <c r="AW2900" s="111">
        <f>G2900*AO2900</f>
      </c>
      <c r="AX2900" s="111">
        <f>G2900*AP2900</f>
      </c>
      <c r="AY2900" s="153" t="s">
        <v>1366</v>
      </c>
      <c r="AZ2900" s="153" t="s">
        <v>4606</v>
      </c>
      <c r="BA2900" s="132" t="s">
        <v>4594</v>
      </c>
      <c r="BC2900" s="111">
        <f>AW2900+AX2900</f>
      </c>
      <c r="BD2900" s="111">
        <f>H2900/(100-BE2900)*100</f>
      </c>
      <c r="BE2900" s="111" t="n">
        <v>0</v>
      </c>
      <c r="BF2900" s="111">
        <f>2900</f>
      </c>
      <c r="BH2900" s="111">
        <f>G2900*AO2900</f>
      </c>
      <c r="BI2900" s="111">
        <f>G2900*AP2900</f>
      </c>
      <c r="BJ2900" s="111">
        <f>G2900*H2900</f>
      </c>
      <c r="BK2900" s="111"/>
      <c r="BL2900" s="111" t="n">
        <v>94</v>
      </c>
      <c r="BW2900" s="111" t="n">
        <v>21</v>
      </c>
      <c r="BX2900" s="14" t="s">
        <v>4660</v>
      </c>
    </row>
    <row r="2901">
      <c r="A2901" s="147" t="s">
        <v>4</v>
      </c>
      <c r="B2901" s="148" t="s">
        <v>93</v>
      </c>
      <c r="C2901" s="148" t="s">
        <v>783</v>
      </c>
      <c r="D2901" s="149" t="s">
        <v>1526</v>
      </c>
      <c r="E2901" s="148"/>
      <c r="F2901" s="150" t="s">
        <v>79</v>
      </c>
      <c r="G2901" s="150" t="s">
        <v>79</v>
      </c>
      <c r="H2901" s="151" t="s">
        <v>79</v>
      </c>
      <c r="I2901" s="117">
        <f>SUM(I2902:I2913)</f>
      </c>
      <c r="J2901" s="132" t="s">
        <v>4</v>
      </c>
      <c r="K2901" s="146"/>
      <c r="AI2901" s="132" t="s">
        <v>93</v>
      </c>
      <c r="AS2901" s="117">
        <f>SUM(AJ2902:AJ2913)</f>
      </c>
      <c r="AT2901" s="117">
        <f>SUM(AK2902:AK2913)</f>
      </c>
      <c r="AU2901" s="117">
        <f>SUM(AL2902:AL2913)</f>
      </c>
    </row>
    <row r="2902">
      <c r="A2902" s="9" t="s">
        <v>4661</v>
      </c>
      <c r="B2902" s="10" t="s">
        <v>93</v>
      </c>
      <c r="C2902" s="10" t="s">
        <v>4662</v>
      </c>
      <c r="D2902" s="14" t="s">
        <v>4663</v>
      </c>
      <c r="E2902" s="10"/>
      <c r="F2902" s="10" t="s">
        <v>282</v>
      </c>
      <c r="G2902" s="111" t="n">
        <v>135</v>
      </c>
      <c r="H2902" s="152" t="n">
        <v>0</v>
      </c>
      <c r="I2902" s="111">
        <f>G2902*H2902</f>
      </c>
      <c r="J2902" s="153" t="s">
        <v>134</v>
      </c>
      <c r="K2902" s="146"/>
      <c r="Z2902" s="111">
        <f>IF(AQ2902="5",BJ2902,0)</f>
      </c>
      <c r="AB2902" s="111">
        <f>IF(AQ2902="1",BH2902,0)</f>
      </c>
      <c r="AC2902" s="111">
        <f>IF(AQ2902="1",BI2902,0)</f>
      </c>
      <c r="AD2902" s="111">
        <f>IF(AQ2902="7",BH2902,0)</f>
      </c>
      <c r="AE2902" s="111">
        <f>IF(AQ2902="7",BI2902,0)</f>
      </c>
      <c r="AF2902" s="111">
        <f>IF(AQ2902="2",BH2902,0)</f>
      </c>
      <c r="AG2902" s="111">
        <f>IF(AQ2902="2",BI2902,0)</f>
      </c>
      <c r="AH2902" s="111">
        <f>IF(AQ2902="0",BJ2902,0)</f>
      </c>
      <c r="AI2902" s="132" t="s">
        <v>93</v>
      </c>
      <c r="AJ2902" s="111">
        <f>IF(AN2902=0,I2902,0)</f>
      </c>
      <c r="AK2902" s="111">
        <f>IF(AN2902=12,I2902,0)</f>
      </c>
      <c r="AL2902" s="111">
        <f>IF(AN2902=21,I2902,0)</f>
      </c>
      <c r="AN2902" s="111" t="n">
        <v>21</v>
      </c>
      <c r="AO2902" s="111">
        <f>H2902*0.110348423</f>
      </c>
      <c r="AP2902" s="111">
        <f>H2902*(1-0.110348423)</f>
      </c>
      <c r="AQ2902" s="153" t="s">
        <v>130</v>
      </c>
      <c r="AV2902" s="111">
        <f>AW2902+AX2902</f>
      </c>
      <c r="AW2902" s="111">
        <f>G2902*AO2902</f>
      </c>
      <c r="AX2902" s="111">
        <f>G2902*AP2902</f>
      </c>
      <c r="AY2902" s="153" t="s">
        <v>1530</v>
      </c>
      <c r="AZ2902" s="153" t="s">
        <v>4606</v>
      </c>
      <c r="BA2902" s="132" t="s">
        <v>4594</v>
      </c>
      <c r="BC2902" s="111">
        <f>AW2902+AX2902</f>
      </c>
      <c r="BD2902" s="111">
        <f>H2902/(100-BE2902)*100</f>
      </c>
      <c r="BE2902" s="111" t="n">
        <v>0</v>
      </c>
      <c r="BF2902" s="111">
        <f>2902</f>
      </c>
      <c r="BH2902" s="111">
        <f>G2902*AO2902</f>
      </c>
      <c r="BI2902" s="111">
        <f>G2902*AP2902</f>
      </c>
      <c r="BJ2902" s="111">
        <f>G2902*H2902</f>
      </c>
      <c r="BK2902" s="111"/>
      <c r="BL2902" s="111" t="n">
        <v>97</v>
      </c>
      <c r="BW2902" s="111" t="n">
        <v>21</v>
      </c>
      <c r="BX2902" s="14" t="s">
        <v>4663</v>
      </c>
    </row>
    <row r="2903">
      <c r="A2903" s="154"/>
      <c r="B2903" s="155"/>
      <c r="C2903" s="155"/>
      <c r="D2903" s="156" t="s">
        <v>698</v>
      </c>
      <c r="E2903" s="156" t="s">
        <v>4597</v>
      </c>
      <c r="F2903" s="155"/>
      <c r="G2903" s="157" t="n">
        <v>85</v>
      </c>
      <c r="H2903" s="158"/>
      <c r="I2903" s="155"/>
      <c r="J2903" s="155"/>
      <c r="K2903" s="146"/>
    </row>
    <row r="2904">
      <c r="A2904" s="154"/>
      <c r="B2904" s="155"/>
      <c r="C2904" s="155"/>
      <c r="D2904" s="156" t="s">
        <v>148</v>
      </c>
      <c r="E2904" s="156" t="s">
        <v>4599</v>
      </c>
      <c r="F2904" s="155"/>
      <c r="G2904" s="157" t="n">
        <v>50</v>
      </c>
      <c r="H2904" s="158"/>
      <c r="I2904" s="155"/>
      <c r="J2904" s="155"/>
      <c r="K2904" s="146"/>
    </row>
    <row r="2905">
      <c r="A2905" s="9" t="s">
        <v>4664</v>
      </c>
      <c r="B2905" s="10" t="s">
        <v>93</v>
      </c>
      <c r="C2905" s="10" t="s">
        <v>4665</v>
      </c>
      <c r="D2905" s="14" t="s">
        <v>4666</v>
      </c>
      <c r="E2905" s="10"/>
      <c r="F2905" s="10" t="s">
        <v>282</v>
      </c>
      <c r="G2905" s="111" t="n">
        <v>175</v>
      </c>
      <c r="H2905" s="152" t="n">
        <v>0</v>
      </c>
      <c r="I2905" s="111">
        <f>G2905*H2905</f>
      </c>
      <c r="J2905" s="153" t="s">
        <v>134</v>
      </c>
      <c r="K2905" s="146"/>
      <c r="Z2905" s="111">
        <f>IF(AQ2905="5",BJ2905,0)</f>
      </c>
      <c r="AB2905" s="111">
        <f>IF(AQ2905="1",BH2905,0)</f>
      </c>
      <c r="AC2905" s="111">
        <f>IF(AQ2905="1",BI2905,0)</f>
      </c>
      <c r="AD2905" s="111">
        <f>IF(AQ2905="7",BH2905,0)</f>
      </c>
      <c r="AE2905" s="111">
        <f>IF(AQ2905="7",BI2905,0)</f>
      </c>
      <c r="AF2905" s="111">
        <f>IF(AQ2905="2",BH2905,0)</f>
      </c>
      <c r="AG2905" s="111">
        <f>IF(AQ2905="2",BI2905,0)</f>
      </c>
      <c r="AH2905" s="111">
        <f>IF(AQ2905="0",BJ2905,0)</f>
      </c>
      <c r="AI2905" s="132" t="s">
        <v>93</v>
      </c>
      <c r="AJ2905" s="111">
        <f>IF(AN2905=0,I2905,0)</f>
      </c>
      <c r="AK2905" s="111">
        <f>IF(AN2905=12,I2905,0)</f>
      </c>
      <c r="AL2905" s="111">
        <f>IF(AN2905=21,I2905,0)</f>
      </c>
      <c r="AN2905" s="111" t="n">
        <v>21</v>
      </c>
      <c r="AO2905" s="111">
        <f>H2905*0.139319236</f>
      </c>
      <c r="AP2905" s="111">
        <f>H2905*(1-0.139319236)</f>
      </c>
      <c r="AQ2905" s="153" t="s">
        <v>130</v>
      </c>
      <c r="AV2905" s="111">
        <f>AW2905+AX2905</f>
      </c>
      <c r="AW2905" s="111">
        <f>G2905*AO2905</f>
      </c>
      <c r="AX2905" s="111">
        <f>G2905*AP2905</f>
      </c>
      <c r="AY2905" s="153" t="s">
        <v>1530</v>
      </c>
      <c r="AZ2905" s="153" t="s">
        <v>4606</v>
      </c>
      <c r="BA2905" s="132" t="s">
        <v>4594</v>
      </c>
      <c r="BC2905" s="111">
        <f>AW2905+AX2905</f>
      </c>
      <c r="BD2905" s="111">
        <f>H2905/(100-BE2905)*100</f>
      </c>
      <c r="BE2905" s="111" t="n">
        <v>0</v>
      </c>
      <c r="BF2905" s="111">
        <f>2905</f>
      </c>
      <c r="BH2905" s="111">
        <f>G2905*AO2905</f>
      </c>
      <c r="BI2905" s="111">
        <f>G2905*AP2905</f>
      </c>
      <c r="BJ2905" s="111">
        <f>G2905*H2905</f>
      </c>
      <c r="BK2905" s="111"/>
      <c r="BL2905" s="111" t="n">
        <v>97</v>
      </c>
      <c r="BW2905" s="111" t="n">
        <v>21</v>
      </c>
      <c r="BX2905" s="14" t="s">
        <v>4666</v>
      </c>
    </row>
    <row r="2906">
      <c r="A2906" s="154"/>
      <c r="B2906" s="155"/>
      <c r="C2906" s="155"/>
      <c r="D2906" s="156" t="s">
        <v>805</v>
      </c>
      <c r="E2906" s="156" t="s">
        <v>4597</v>
      </c>
      <c r="F2906" s="155"/>
      <c r="G2906" s="157" t="n">
        <v>100</v>
      </c>
      <c r="H2906" s="158"/>
      <c r="I2906" s="155"/>
      <c r="J2906" s="155"/>
      <c r="K2906" s="146"/>
    </row>
    <row r="2907">
      <c r="A2907" s="154"/>
      <c r="B2907" s="155"/>
      <c r="C2907" s="155"/>
      <c r="D2907" s="156" t="s">
        <v>633</v>
      </c>
      <c r="E2907" s="156" t="s">
        <v>4599</v>
      </c>
      <c r="F2907" s="155"/>
      <c r="G2907" s="157" t="n">
        <v>75</v>
      </c>
      <c r="H2907" s="158"/>
      <c r="I2907" s="155"/>
      <c r="J2907" s="155"/>
      <c r="K2907" s="146"/>
    </row>
    <row r="2908">
      <c r="A2908" s="9" t="s">
        <v>4667</v>
      </c>
      <c r="B2908" s="10" t="s">
        <v>93</v>
      </c>
      <c r="C2908" s="10" t="s">
        <v>4668</v>
      </c>
      <c r="D2908" s="14" t="s">
        <v>4669</v>
      </c>
      <c r="E2908" s="10"/>
      <c r="F2908" s="10" t="s">
        <v>282</v>
      </c>
      <c r="G2908" s="111" t="n">
        <v>300</v>
      </c>
      <c r="H2908" s="152" t="n">
        <v>0</v>
      </c>
      <c r="I2908" s="111">
        <f>G2908*H2908</f>
      </c>
      <c r="J2908" s="153" t="s">
        <v>134</v>
      </c>
      <c r="K2908" s="146"/>
      <c r="Z2908" s="111">
        <f>IF(AQ2908="5",BJ2908,0)</f>
      </c>
      <c r="AB2908" s="111">
        <f>IF(AQ2908="1",BH2908,0)</f>
      </c>
      <c r="AC2908" s="111">
        <f>IF(AQ2908="1",BI2908,0)</f>
      </c>
      <c r="AD2908" s="111">
        <f>IF(AQ2908="7",BH2908,0)</f>
      </c>
      <c r="AE2908" s="111">
        <f>IF(AQ2908="7",BI2908,0)</f>
      </c>
      <c r="AF2908" s="111">
        <f>IF(AQ2908="2",BH2908,0)</f>
      </c>
      <c r="AG2908" s="111">
        <f>IF(AQ2908="2",BI2908,0)</f>
      </c>
      <c r="AH2908" s="111">
        <f>IF(AQ2908="0",BJ2908,0)</f>
      </c>
      <c r="AI2908" s="132" t="s">
        <v>93</v>
      </c>
      <c r="AJ2908" s="111">
        <f>IF(AN2908=0,I2908,0)</f>
      </c>
      <c r="AK2908" s="111">
        <f>IF(AN2908=12,I2908,0)</f>
      </c>
      <c r="AL2908" s="111">
        <f>IF(AN2908=21,I2908,0)</f>
      </c>
      <c r="AN2908" s="111" t="n">
        <v>21</v>
      </c>
      <c r="AO2908" s="111">
        <f>H2908*0.159642207</f>
      </c>
      <c r="AP2908" s="111">
        <f>H2908*(1-0.159642207)</f>
      </c>
      <c r="AQ2908" s="153" t="s">
        <v>130</v>
      </c>
      <c r="AV2908" s="111">
        <f>AW2908+AX2908</f>
      </c>
      <c r="AW2908" s="111">
        <f>G2908*AO2908</f>
      </c>
      <c r="AX2908" s="111">
        <f>G2908*AP2908</f>
      </c>
      <c r="AY2908" s="153" t="s">
        <v>1530</v>
      </c>
      <c r="AZ2908" s="153" t="s">
        <v>4606</v>
      </c>
      <c r="BA2908" s="132" t="s">
        <v>4594</v>
      </c>
      <c r="BC2908" s="111">
        <f>AW2908+AX2908</f>
      </c>
      <c r="BD2908" s="111">
        <f>H2908/(100-BE2908)*100</f>
      </c>
      <c r="BE2908" s="111" t="n">
        <v>0</v>
      </c>
      <c r="BF2908" s="111">
        <f>2908</f>
      </c>
      <c r="BH2908" s="111">
        <f>G2908*AO2908</f>
      </c>
      <c r="BI2908" s="111">
        <f>G2908*AP2908</f>
      </c>
      <c r="BJ2908" s="111">
        <f>G2908*H2908</f>
      </c>
      <c r="BK2908" s="111"/>
      <c r="BL2908" s="111" t="n">
        <v>97</v>
      </c>
      <c r="BW2908" s="111" t="n">
        <v>21</v>
      </c>
      <c r="BX2908" s="14" t="s">
        <v>4669</v>
      </c>
    </row>
    <row r="2909">
      <c r="A2909" s="154"/>
      <c r="B2909" s="155"/>
      <c r="C2909" s="155"/>
      <c r="D2909" s="156" t="s">
        <v>1478</v>
      </c>
      <c r="E2909" s="156" t="s">
        <v>4597</v>
      </c>
      <c r="F2909" s="155"/>
      <c r="G2909" s="157" t="n">
        <v>200</v>
      </c>
      <c r="H2909" s="158"/>
      <c r="I2909" s="155"/>
      <c r="J2909" s="155"/>
      <c r="K2909" s="146"/>
    </row>
    <row r="2910">
      <c r="A2910" s="154"/>
      <c r="B2910" s="155"/>
      <c r="C2910" s="155"/>
      <c r="D2910" s="156" t="s">
        <v>805</v>
      </c>
      <c r="E2910" s="156" t="s">
        <v>4599</v>
      </c>
      <c r="F2910" s="155"/>
      <c r="G2910" s="157" t="n">
        <v>100</v>
      </c>
      <c r="H2910" s="158"/>
      <c r="I2910" s="155"/>
      <c r="J2910" s="155"/>
      <c r="K2910" s="146"/>
    </row>
    <row r="2911">
      <c r="A2911" s="9" t="s">
        <v>4670</v>
      </c>
      <c r="B2911" s="10" t="s">
        <v>93</v>
      </c>
      <c r="C2911" s="10" t="s">
        <v>4671</v>
      </c>
      <c r="D2911" s="14" t="s">
        <v>4672</v>
      </c>
      <c r="E2911" s="10"/>
      <c r="F2911" s="10" t="s">
        <v>133</v>
      </c>
      <c r="G2911" s="111" t="n">
        <v>8</v>
      </c>
      <c r="H2911" s="152" t="n">
        <v>0</v>
      </c>
      <c r="I2911" s="111">
        <f>G2911*H2911</f>
      </c>
      <c r="J2911" s="153" t="s">
        <v>134</v>
      </c>
      <c r="K2911" s="146"/>
      <c r="Z2911" s="111">
        <f>IF(AQ2911="5",BJ2911,0)</f>
      </c>
      <c r="AB2911" s="111">
        <f>IF(AQ2911="1",BH2911,0)</f>
      </c>
      <c r="AC2911" s="111">
        <f>IF(AQ2911="1",BI2911,0)</f>
      </c>
      <c r="AD2911" s="111">
        <f>IF(AQ2911="7",BH2911,0)</f>
      </c>
      <c r="AE2911" s="111">
        <f>IF(AQ2911="7",BI2911,0)</f>
      </c>
      <c r="AF2911" s="111">
        <f>IF(AQ2911="2",BH2911,0)</f>
      </c>
      <c r="AG2911" s="111">
        <f>IF(AQ2911="2",BI2911,0)</f>
      </c>
      <c r="AH2911" s="111">
        <f>IF(AQ2911="0",BJ2911,0)</f>
      </c>
      <c r="AI2911" s="132" t="s">
        <v>93</v>
      </c>
      <c r="AJ2911" s="111">
        <f>IF(AN2911=0,I2911,0)</f>
      </c>
      <c r="AK2911" s="111">
        <f>IF(AN2911=12,I2911,0)</f>
      </c>
      <c r="AL2911" s="111">
        <f>IF(AN2911=21,I2911,0)</f>
      </c>
      <c r="AN2911" s="111" t="n">
        <v>21</v>
      </c>
      <c r="AO2911" s="111">
        <f>H2911*0.017347495</f>
      </c>
      <c r="AP2911" s="111">
        <f>H2911*(1-0.017347495)</f>
      </c>
      <c r="AQ2911" s="153" t="s">
        <v>130</v>
      </c>
      <c r="AV2911" s="111">
        <f>AW2911+AX2911</f>
      </c>
      <c r="AW2911" s="111">
        <f>G2911*AO2911</f>
      </c>
      <c r="AX2911" s="111">
        <f>G2911*AP2911</f>
      </c>
      <c r="AY2911" s="153" t="s">
        <v>1530</v>
      </c>
      <c r="AZ2911" s="153" t="s">
        <v>4606</v>
      </c>
      <c r="BA2911" s="132" t="s">
        <v>4594</v>
      </c>
      <c r="BC2911" s="111">
        <f>AW2911+AX2911</f>
      </c>
      <c r="BD2911" s="111">
        <f>H2911/(100-BE2911)*100</f>
      </c>
      <c r="BE2911" s="111" t="n">
        <v>0</v>
      </c>
      <c r="BF2911" s="111">
        <f>2911</f>
      </c>
      <c r="BH2911" s="111">
        <f>G2911*AO2911</f>
      </c>
      <c r="BI2911" s="111">
        <f>G2911*AP2911</f>
      </c>
      <c r="BJ2911" s="111">
        <f>G2911*H2911</f>
      </c>
      <c r="BK2911" s="111"/>
      <c r="BL2911" s="111" t="n">
        <v>97</v>
      </c>
      <c r="BW2911" s="111" t="n">
        <v>21</v>
      </c>
      <c r="BX2911" s="14" t="s">
        <v>4672</v>
      </c>
    </row>
    <row r="2912" customHeight="true" ht="13.5">
      <c r="A2912" s="159"/>
      <c r="C2912" s="160" t="s">
        <v>146</v>
      </c>
      <c r="D2912" s="161" t="s">
        <v>4673</v>
      </c>
      <c r="E2912" s="156"/>
      <c r="F2912" s="156"/>
      <c r="G2912" s="156"/>
      <c r="H2912" s="162"/>
      <c r="I2912" s="156"/>
      <c r="J2912" s="156"/>
      <c r="K2912" s="163"/>
    </row>
    <row r="2913">
      <c r="A2913" s="9" t="s">
        <v>270</v>
      </c>
      <c r="B2913" s="10" t="s">
        <v>93</v>
      </c>
      <c r="C2913" s="10" t="s">
        <v>4674</v>
      </c>
      <c r="D2913" s="14" t="s">
        <v>4675</v>
      </c>
      <c r="E2913" s="10"/>
      <c r="F2913" s="10" t="s">
        <v>133</v>
      </c>
      <c r="G2913" s="111" t="n">
        <v>191</v>
      </c>
      <c r="H2913" s="152" t="n">
        <v>0</v>
      </c>
      <c r="I2913" s="111">
        <f>G2913*H2913</f>
      </c>
      <c r="J2913" s="153" t="s">
        <v>134</v>
      </c>
      <c r="K2913" s="146"/>
      <c r="Z2913" s="111">
        <f>IF(AQ2913="5",BJ2913,0)</f>
      </c>
      <c r="AB2913" s="111">
        <f>IF(AQ2913="1",BH2913,0)</f>
      </c>
      <c r="AC2913" s="111">
        <f>IF(AQ2913="1",BI2913,0)</f>
      </c>
      <c r="AD2913" s="111">
        <f>IF(AQ2913="7",BH2913,0)</f>
      </c>
      <c r="AE2913" s="111">
        <f>IF(AQ2913="7",BI2913,0)</f>
      </c>
      <c r="AF2913" s="111">
        <f>IF(AQ2913="2",BH2913,0)</f>
      </c>
      <c r="AG2913" s="111">
        <f>IF(AQ2913="2",BI2913,0)</f>
      </c>
      <c r="AH2913" s="111">
        <f>IF(AQ2913="0",BJ2913,0)</f>
      </c>
      <c r="AI2913" s="132" t="s">
        <v>93</v>
      </c>
      <c r="AJ2913" s="111">
        <f>IF(AN2913=0,I2913,0)</f>
      </c>
      <c r="AK2913" s="111">
        <f>IF(AN2913=12,I2913,0)</f>
      </c>
      <c r="AL2913" s="111">
        <f>IF(AN2913=21,I2913,0)</f>
      </c>
      <c r="AN2913" s="111" t="n">
        <v>21</v>
      </c>
      <c r="AO2913" s="111">
        <f>H2913*0.03597561</f>
      </c>
      <c r="AP2913" s="111">
        <f>H2913*(1-0.03597561)</f>
      </c>
      <c r="AQ2913" s="153" t="s">
        <v>130</v>
      </c>
      <c r="AV2913" s="111">
        <f>AW2913+AX2913</f>
      </c>
      <c r="AW2913" s="111">
        <f>G2913*AO2913</f>
      </c>
      <c r="AX2913" s="111">
        <f>G2913*AP2913</f>
      </c>
      <c r="AY2913" s="153" t="s">
        <v>1530</v>
      </c>
      <c r="AZ2913" s="153" t="s">
        <v>4606</v>
      </c>
      <c r="BA2913" s="132" t="s">
        <v>4594</v>
      </c>
      <c r="BC2913" s="111">
        <f>AW2913+AX2913</f>
      </c>
      <c r="BD2913" s="111">
        <f>H2913/(100-BE2913)*100</f>
      </c>
      <c r="BE2913" s="111" t="n">
        <v>0</v>
      </c>
      <c r="BF2913" s="111">
        <f>2913</f>
      </c>
      <c r="BH2913" s="111">
        <f>G2913*AO2913</f>
      </c>
      <c r="BI2913" s="111">
        <f>G2913*AP2913</f>
      </c>
      <c r="BJ2913" s="111">
        <f>G2913*H2913</f>
      </c>
      <c r="BK2913" s="111"/>
      <c r="BL2913" s="111" t="n">
        <v>97</v>
      </c>
      <c r="BW2913" s="111" t="n">
        <v>21</v>
      </c>
      <c r="BX2913" s="14" t="s">
        <v>4675</v>
      </c>
    </row>
    <row r="2914" customHeight="true" ht="13.5">
      <c r="A2914" s="159"/>
      <c r="C2914" s="160" t="s">
        <v>146</v>
      </c>
      <c r="D2914" s="161" t="s">
        <v>4673</v>
      </c>
      <c r="E2914" s="156"/>
      <c r="F2914" s="156"/>
      <c r="G2914" s="156"/>
      <c r="H2914" s="162"/>
      <c r="I2914" s="156"/>
      <c r="J2914" s="156"/>
      <c r="K2914" s="163"/>
    </row>
    <row r="2915">
      <c r="A2915" s="154"/>
      <c r="B2915" s="155"/>
      <c r="C2915" s="155"/>
      <c r="D2915" s="156" t="s">
        <v>1059</v>
      </c>
      <c r="E2915" s="156" t="s">
        <v>4597</v>
      </c>
      <c r="F2915" s="155"/>
      <c r="G2915" s="157" t="n">
        <v>136</v>
      </c>
      <c r="H2915" s="158"/>
      <c r="I2915" s="155"/>
      <c r="J2915" s="155"/>
      <c r="K2915" s="146"/>
    </row>
    <row r="2916">
      <c r="A2916" s="154"/>
      <c r="B2916" s="155"/>
      <c r="C2916" s="155"/>
      <c r="D2916" s="156" t="s">
        <v>498</v>
      </c>
      <c r="E2916" s="156" t="s">
        <v>4599</v>
      </c>
      <c r="F2916" s="155"/>
      <c r="G2916" s="157" t="n">
        <v>55</v>
      </c>
      <c r="H2916" s="158"/>
      <c r="I2916" s="155"/>
      <c r="J2916" s="155"/>
      <c r="K2916" s="146"/>
    </row>
    <row r="2917">
      <c r="A2917" s="147" t="s">
        <v>4</v>
      </c>
      <c r="B2917" s="148" t="s">
        <v>93</v>
      </c>
      <c r="C2917" s="148" t="s">
        <v>1566</v>
      </c>
      <c r="D2917" s="149" t="s">
        <v>1567</v>
      </c>
      <c r="E2917" s="148"/>
      <c r="F2917" s="150" t="s">
        <v>79</v>
      </c>
      <c r="G2917" s="150" t="s">
        <v>79</v>
      </c>
      <c r="H2917" s="151" t="s">
        <v>79</v>
      </c>
      <c r="I2917" s="117">
        <f>SUM(I2918:I2920)</f>
      </c>
      <c r="J2917" s="132" t="s">
        <v>4</v>
      </c>
      <c r="K2917" s="146"/>
      <c r="AI2917" s="132" t="s">
        <v>93</v>
      </c>
      <c r="AS2917" s="117">
        <f>SUM(AJ2918:AJ2920)</f>
      </c>
      <c r="AT2917" s="117">
        <f>SUM(AK2918:AK2920)</f>
      </c>
      <c r="AU2917" s="117">
        <f>SUM(AL2918:AL2920)</f>
      </c>
    </row>
    <row r="2918">
      <c r="A2918" s="9" t="s">
        <v>4676</v>
      </c>
      <c r="B2918" s="10" t="s">
        <v>93</v>
      </c>
      <c r="C2918" s="10" t="s">
        <v>4677</v>
      </c>
      <c r="D2918" s="14" t="s">
        <v>4678</v>
      </c>
      <c r="E2918" s="10"/>
      <c r="F2918" s="10" t="s">
        <v>3860</v>
      </c>
      <c r="G2918" s="111" t="n">
        <v>1</v>
      </c>
      <c r="H2918" s="152" t="n">
        <v>0</v>
      </c>
      <c r="I2918" s="111">
        <f>G2918*H2918</f>
      </c>
      <c r="J2918" s="153" t="s">
        <v>134</v>
      </c>
      <c r="K2918" s="146"/>
      <c r="Z2918" s="111">
        <f>IF(AQ2918="5",BJ2918,0)</f>
      </c>
      <c r="AB2918" s="111">
        <f>IF(AQ2918="1",BH2918,0)</f>
      </c>
      <c r="AC2918" s="111">
        <f>IF(AQ2918="1",BI2918,0)</f>
      </c>
      <c r="AD2918" s="111">
        <f>IF(AQ2918="7",BH2918,0)</f>
      </c>
      <c r="AE2918" s="111">
        <f>IF(AQ2918="7",BI2918,0)</f>
      </c>
      <c r="AF2918" s="111">
        <f>IF(AQ2918="2",BH2918,0)</f>
      </c>
      <c r="AG2918" s="111">
        <f>IF(AQ2918="2",BI2918,0)</f>
      </c>
      <c r="AH2918" s="111">
        <f>IF(AQ2918="0",BJ2918,0)</f>
      </c>
      <c r="AI2918" s="132" t="s">
        <v>93</v>
      </c>
      <c r="AJ2918" s="111">
        <f>IF(AN2918=0,I2918,0)</f>
      </c>
      <c r="AK2918" s="111">
        <f>IF(AN2918=12,I2918,0)</f>
      </c>
      <c r="AL2918" s="111">
        <f>IF(AN2918=21,I2918,0)</f>
      </c>
      <c r="AN2918" s="111" t="n">
        <v>21</v>
      </c>
      <c r="AO2918" s="111">
        <f>H2918*0</f>
      </c>
      <c r="AP2918" s="111">
        <f>H2918*(1-0)</f>
      </c>
      <c r="AQ2918" s="153" t="s">
        <v>156</v>
      </c>
      <c r="AV2918" s="111">
        <f>AW2918+AX2918</f>
      </c>
      <c r="AW2918" s="111">
        <f>G2918*AO2918</f>
      </c>
      <c r="AX2918" s="111">
        <f>G2918*AP2918</f>
      </c>
      <c r="AY2918" s="153" t="s">
        <v>1571</v>
      </c>
      <c r="AZ2918" s="153" t="s">
        <v>4606</v>
      </c>
      <c r="BA2918" s="132" t="s">
        <v>4594</v>
      </c>
      <c r="BC2918" s="111">
        <f>AW2918+AX2918</f>
      </c>
      <c r="BD2918" s="111">
        <f>H2918/(100-BE2918)*100</f>
      </c>
      <c r="BE2918" s="111" t="n">
        <v>0</v>
      </c>
      <c r="BF2918" s="111">
        <f>2918</f>
      </c>
      <c r="BH2918" s="111">
        <f>G2918*AO2918</f>
      </c>
      <c r="BI2918" s="111">
        <f>G2918*AP2918</f>
      </c>
      <c r="BJ2918" s="111">
        <f>G2918*H2918</f>
      </c>
      <c r="BK2918" s="111"/>
      <c r="BL2918" s="111"/>
      <c r="BW2918" s="111" t="n">
        <v>21</v>
      </c>
      <c r="BX2918" s="14" t="s">
        <v>4678</v>
      </c>
    </row>
    <row r="2919" customHeight="true" ht="13.5">
      <c r="A2919" s="159"/>
      <c r="C2919" s="160" t="s">
        <v>146</v>
      </c>
      <c r="D2919" s="161" t="s">
        <v>4679</v>
      </c>
      <c r="E2919" s="156"/>
      <c r="F2919" s="156"/>
      <c r="G2919" s="156"/>
      <c r="H2919" s="162"/>
      <c r="I2919" s="156"/>
      <c r="J2919" s="156"/>
      <c r="K2919" s="163"/>
    </row>
    <row r="2920">
      <c r="A2920" s="9" t="s">
        <v>4680</v>
      </c>
      <c r="B2920" s="10" t="s">
        <v>93</v>
      </c>
      <c r="C2920" s="10" t="s">
        <v>4681</v>
      </c>
      <c r="D2920" s="14" t="s">
        <v>4682</v>
      </c>
      <c r="E2920" s="10"/>
      <c r="F2920" s="10" t="s">
        <v>229</v>
      </c>
      <c r="G2920" s="111" t="n">
        <v>95</v>
      </c>
      <c r="H2920" s="152" t="n">
        <v>0</v>
      </c>
      <c r="I2920" s="111">
        <f>G2920*H2920</f>
      </c>
      <c r="J2920" s="153" t="s">
        <v>134</v>
      </c>
      <c r="K2920" s="146"/>
      <c r="Z2920" s="111">
        <f>IF(AQ2920="5",BJ2920,0)</f>
      </c>
      <c r="AB2920" s="111">
        <f>IF(AQ2920="1",BH2920,0)</f>
      </c>
      <c r="AC2920" s="111">
        <f>IF(AQ2920="1",BI2920,0)</f>
      </c>
      <c r="AD2920" s="111">
        <f>IF(AQ2920="7",BH2920,0)</f>
      </c>
      <c r="AE2920" s="111">
        <f>IF(AQ2920="7",BI2920,0)</f>
      </c>
      <c r="AF2920" s="111">
        <f>IF(AQ2920="2",BH2920,0)</f>
      </c>
      <c r="AG2920" s="111">
        <f>IF(AQ2920="2",BI2920,0)</f>
      </c>
      <c r="AH2920" s="111">
        <f>IF(AQ2920="0",BJ2920,0)</f>
      </c>
      <c r="AI2920" s="132" t="s">
        <v>93</v>
      </c>
      <c r="AJ2920" s="111">
        <f>IF(AN2920=0,I2920,0)</f>
      </c>
      <c r="AK2920" s="111">
        <f>IF(AN2920=12,I2920,0)</f>
      </c>
      <c r="AL2920" s="111">
        <f>IF(AN2920=21,I2920,0)</f>
      </c>
      <c r="AN2920" s="111" t="n">
        <v>21</v>
      </c>
      <c r="AO2920" s="111">
        <f>H2920*0</f>
      </c>
      <c r="AP2920" s="111">
        <f>H2920*(1-0)</f>
      </c>
      <c r="AQ2920" s="153" t="s">
        <v>156</v>
      </c>
      <c r="AV2920" s="111">
        <f>AW2920+AX2920</f>
      </c>
      <c r="AW2920" s="111">
        <f>G2920*AO2920</f>
      </c>
      <c r="AX2920" s="111">
        <f>G2920*AP2920</f>
      </c>
      <c r="AY2920" s="153" t="s">
        <v>1571</v>
      </c>
      <c r="AZ2920" s="153" t="s">
        <v>4606</v>
      </c>
      <c r="BA2920" s="132" t="s">
        <v>4594</v>
      </c>
      <c r="BC2920" s="111">
        <f>AW2920+AX2920</f>
      </c>
      <c r="BD2920" s="111">
        <f>H2920/(100-BE2920)*100</f>
      </c>
      <c r="BE2920" s="111" t="n">
        <v>0</v>
      </c>
      <c r="BF2920" s="111">
        <f>2920</f>
      </c>
      <c r="BH2920" s="111">
        <f>G2920*AO2920</f>
      </c>
      <c r="BI2920" s="111">
        <f>G2920*AP2920</f>
      </c>
      <c r="BJ2920" s="111">
        <f>G2920*H2920</f>
      </c>
      <c r="BK2920" s="111"/>
      <c r="BL2920" s="111"/>
      <c r="BW2920" s="111" t="n">
        <v>21</v>
      </c>
      <c r="BX2920" s="14" t="s">
        <v>4682</v>
      </c>
    </row>
    <row r="2921">
      <c r="A2921" s="147" t="s">
        <v>4</v>
      </c>
      <c r="B2921" s="148" t="s">
        <v>93</v>
      </c>
      <c r="C2921" s="148" t="s">
        <v>4</v>
      </c>
      <c r="D2921" s="149" t="s">
        <v>4683</v>
      </c>
      <c r="E2921" s="148"/>
      <c r="F2921" s="150" t="s">
        <v>79</v>
      </c>
      <c r="G2921" s="150" t="s">
        <v>79</v>
      </c>
      <c r="H2921" s="151" t="s">
        <v>79</v>
      </c>
      <c r="I2921" s="117">
        <f>SUM(I2922:I2948)</f>
      </c>
      <c r="J2921" s="132" t="s">
        <v>4</v>
      </c>
      <c r="K2921" s="146"/>
      <c r="AI2921" s="132" t="s">
        <v>93</v>
      </c>
      <c r="AS2921" s="117">
        <f>SUM(AJ2922:AJ2948)</f>
      </c>
      <c r="AT2921" s="117">
        <f>SUM(AK2922:AK2948)</f>
      </c>
      <c r="AU2921" s="117">
        <f>SUM(AL2922:AL2948)</f>
      </c>
    </row>
    <row r="2922">
      <c r="A2922" s="9" t="s">
        <v>4684</v>
      </c>
      <c r="B2922" s="10" t="s">
        <v>93</v>
      </c>
      <c r="C2922" s="10" t="s">
        <v>4604</v>
      </c>
      <c r="D2922" s="14" t="s">
        <v>4685</v>
      </c>
      <c r="E2922" s="10"/>
      <c r="F2922" s="10" t="s">
        <v>2277</v>
      </c>
      <c r="G2922" s="111" t="n">
        <v>1</v>
      </c>
      <c r="H2922" s="152" t="n">
        <v>0</v>
      </c>
      <c r="I2922" s="111">
        <f>G2922*H2922</f>
      </c>
      <c r="J2922" s="153" t="s">
        <v>2936</v>
      </c>
      <c r="K2922" s="146"/>
      <c r="Z2922" s="111">
        <f>IF(AQ2922="5",BJ2922,0)</f>
      </c>
      <c r="AB2922" s="111">
        <f>IF(AQ2922="1",BH2922,0)</f>
      </c>
      <c r="AC2922" s="111">
        <f>IF(AQ2922="1",BI2922,0)</f>
      </c>
      <c r="AD2922" s="111">
        <f>IF(AQ2922="7",BH2922,0)</f>
      </c>
      <c r="AE2922" s="111">
        <f>IF(AQ2922="7",BI2922,0)</f>
      </c>
      <c r="AF2922" s="111">
        <f>IF(AQ2922="2",BH2922,0)</f>
      </c>
      <c r="AG2922" s="111">
        <f>IF(AQ2922="2",BI2922,0)</f>
      </c>
      <c r="AH2922" s="111">
        <f>IF(AQ2922="0",BJ2922,0)</f>
      </c>
      <c r="AI2922" s="132" t="s">
        <v>93</v>
      </c>
      <c r="AJ2922" s="111">
        <f>IF(AN2922=0,I2922,0)</f>
      </c>
      <c r="AK2922" s="111">
        <f>IF(AN2922=12,I2922,0)</f>
      </c>
      <c r="AL2922" s="111">
        <f>IF(AN2922=21,I2922,0)</f>
      </c>
      <c r="AN2922" s="111" t="n">
        <v>21</v>
      </c>
      <c r="AO2922" s="111">
        <f>H2922*0</f>
      </c>
      <c r="AP2922" s="111">
        <f>H2922*(1-0)</f>
      </c>
      <c r="AQ2922" s="153" t="s">
        <v>130</v>
      </c>
      <c r="AV2922" s="111">
        <f>AW2922+AX2922</f>
      </c>
      <c r="AW2922" s="111">
        <f>G2922*AO2922</f>
      </c>
      <c r="AX2922" s="111">
        <f>G2922*AP2922</f>
      </c>
      <c r="AY2922" s="153" t="s">
        <v>4686</v>
      </c>
      <c r="AZ2922" s="153" t="s">
        <v>4687</v>
      </c>
      <c r="BA2922" s="132" t="s">
        <v>4594</v>
      </c>
      <c r="BC2922" s="111">
        <f>AW2922+AX2922</f>
      </c>
      <c r="BD2922" s="111">
        <f>H2922/(100-BE2922)*100</f>
      </c>
      <c r="BE2922" s="111" t="n">
        <v>0</v>
      </c>
      <c r="BF2922" s="111">
        <f>2922</f>
      </c>
      <c r="BH2922" s="111">
        <f>G2922*AO2922</f>
      </c>
      <c r="BI2922" s="111">
        <f>G2922*AP2922</f>
      </c>
      <c r="BJ2922" s="111">
        <f>G2922*H2922</f>
      </c>
      <c r="BK2922" s="111"/>
      <c r="BL2922" s="111"/>
      <c r="BW2922" s="111" t="n">
        <v>21</v>
      </c>
      <c r="BX2922" s="14" t="s">
        <v>4685</v>
      </c>
    </row>
    <row r="2923" customHeight="true" ht="13.5">
      <c r="A2923" s="159"/>
      <c r="C2923" s="160" t="s">
        <v>146</v>
      </c>
      <c r="D2923" s="161" t="s">
        <v>4599</v>
      </c>
      <c r="E2923" s="156"/>
      <c r="F2923" s="156"/>
      <c r="G2923" s="156"/>
      <c r="H2923" s="162"/>
      <c r="I2923" s="156"/>
      <c r="J2923" s="156"/>
      <c r="K2923" s="163"/>
    </row>
    <row r="2924">
      <c r="A2924" s="154"/>
      <c r="B2924" s="155"/>
      <c r="C2924" s="155"/>
      <c r="D2924" s="156" t="s">
        <v>130</v>
      </c>
      <c r="E2924" s="156" t="s">
        <v>4599</v>
      </c>
      <c r="F2924" s="155"/>
      <c r="G2924" s="157" t="n">
        <v>1</v>
      </c>
      <c r="H2924" s="158"/>
      <c r="I2924" s="155"/>
      <c r="J2924" s="155"/>
      <c r="K2924" s="146"/>
    </row>
    <row r="2925">
      <c r="A2925" s="9" t="s">
        <v>4688</v>
      </c>
      <c r="B2925" s="10" t="s">
        <v>93</v>
      </c>
      <c r="C2925" s="10" t="s">
        <v>4648</v>
      </c>
      <c r="D2925" s="14" t="s">
        <v>4689</v>
      </c>
      <c r="E2925" s="10"/>
      <c r="F2925" s="10" t="s">
        <v>2277</v>
      </c>
      <c r="G2925" s="111" t="n">
        <v>1</v>
      </c>
      <c r="H2925" s="152" t="n">
        <v>0</v>
      </c>
      <c r="I2925" s="111">
        <f>G2925*H2925</f>
      </c>
      <c r="J2925" s="153" t="s">
        <v>134</v>
      </c>
      <c r="K2925" s="146"/>
      <c r="Z2925" s="111">
        <f>IF(AQ2925="5",BJ2925,0)</f>
      </c>
      <c r="AB2925" s="111">
        <f>IF(AQ2925="1",BH2925,0)</f>
      </c>
      <c r="AC2925" s="111">
        <f>IF(AQ2925="1",BI2925,0)</f>
      </c>
      <c r="AD2925" s="111">
        <f>IF(AQ2925="7",BH2925,0)</f>
      </c>
      <c r="AE2925" s="111">
        <f>IF(AQ2925="7",BI2925,0)</f>
      </c>
      <c r="AF2925" s="111">
        <f>IF(AQ2925="2",BH2925,0)</f>
      </c>
      <c r="AG2925" s="111">
        <f>IF(AQ2925="2",BI2925,0)</f>
      </c>
      <c r="AH2925" s="111">
        <f>IF(AQ2925="0",BJ2925,0)</f>
      </c>
      <c r="AI2925" s="132" t="s">
        <v>93</v>
      </c>
      <c r="AJ2925" s="111">
        <f>IF(AN2925=0,I2925,0)</f>
      </c>
      <c r="AK2925" s="111">
        <f>IF(AN2925=12,I2925,0)</f>
      </c>
      <c r="AL2925" s="111">
        <f>IF(AN2925=21,I2925,0)</f>
      </c>
      <c r="AN2925" s="111" t="n">
        <v>21</v>
      </c>
      <c r="AO2925" s="111">
        <f>H2925*0</f>
      </c>
      <c r="AP2925" s="111">
        <f>H2925*(1-0)</f>
      </c>
      <c r="AQ2925" s="153" t="s">
        <v>130</v>
      </c>
      <c r="AV2925" s="111">
        <f>AW2925+AX2925</f>
      </c>
      <c r="AW2925" s="111">
        <f>G2925*AO2925</f>
      </c>
      <c r="AX2925" s="111">
        <f>G2925*AP2925</f>
      </c>
      <c r="AY2925" s="153" t="s">
        <v>4686</v>
      </c>
      <c r="AZ2925" s="153" t="s">
        <v>4687</v>
      </c>
      <c r="BA2925" s="132" t="s">
        <v>4594</v>
      </c>
      <c r="BC2925" s="111">
        <f>AW2925+AX2925</f>
      </c>
      <c r="BD2925" s="111">
        <f>H2925/(100-BE2925)*100</f>
      </c>
      <c r="BE2925" s="111" t="n">
        <v>0</v>
      </c>
      <c r="BF2925" s="111">
        <f>2925</f>
      </c>
      <c r="BH2925" s="111">
        <f>G2925*AO2925</f>
      </c>
      <c r="BI2925" s="111">
        <f>G2925*AP2925</f>
      </c>
      <c r="BJ2925" s="111">
        <f>G2925*H2925</f>
      </c>
      <c r="BK2925" s="111"/>
      <c r="BL2925" s="111"/>
      <c r="BW2925" s="111" t="n">
        <v>21</v>
      </c>
      <c r="BX2925" s="14" t="s">
        <v>4689</v>
      </c>
    </row>
    <row r="2926" customHeight="true" ht="13.5">
      <c r="A2926" s="159"/>
      <c r="C2926" s="160" t="s">
        <v>146</v>
      </c>
      <c r="D2926" s="161" t="s">
        <v>4690</v>
      </c>
      <c r="E2926" s="156"/>
      <c r="F2926" s="156"/>
      <c r="G2926" s="156"/>
      <c r="H2926" s="162"/>
      <c r="I2926" s="156"/>
      <c r="J2926" s="156"/>
      <c r="K2926" s="163"/>
    </row>
    <row r="2927">
      <c r="A2927" s="9" t="s">
        <v>4691</v>
      </c>
      <c r="B2927" s="10" t="s">
        <v>93</v>
      </c>
      <c r="C2927" s="10" t="s">
        <v>4604</v>
      </c>
      <c r="D2927" s="14" t="s">
        <v>4692</v>
      </c>
      <c r="E2927" s="10"/>
      <c r="F2927" s="10" t="s">
        <v>2277</v>
      </c>
      <c r="G2927" s="111" t="n">
        <v>1</v>
      </c>
      <c r="H2927" s="152" t="n">
        <v>0</v>
      </c>
      <c r="I2927" s="111">
        <f>G2927*H2927</f>
      </c>
      <c r="J2927" s="153" t="s">
        <v>2936</v>
      </c>
      <c r="K2927" s="146"/>
      <c r="Z2927" s="111">
        <f>IF(AQ2927="5",BJ2927,0)</f>
      </c>
      <c r="AB2927" s="111">
        <f>IF(AQ2927="1",BH2927,0)</f>
      </c>
      <c r="AC2927" s="111">
        <f>IF(AQ2927="1",BI2927,0)</f>
      </c>
      <c r="AD2927" s="111">
        <f>IF(AQ2927="7",BH2927,0)</f>
      </c>
      <c r="AE2927" s="111">
        <f>IF(AQ2927="7",BI2927,0)</f>
      </c>
      <c r="AF2927" s="111">
        <f>IF(AQ2927="2",BH2927,0)</f>
      </c>
      <c r="AG2927" s="111">
        <f>IF(AQ2927="2",BI2927,0)</f>
      </c>
      <c r="AH2927" s="111">
        <f>IF(AQ2927="0",BJ2927,0)</f>
      </c>
      <c r="AI2927" s="132" t="s">
        <v>93</v>
      </c>
      <c r="AJ2927" s="111">
        <f>IF(AN2927=0,I2927,0)</f>
      </c>
      <c r="AK2927" s="111">
        <f>IF(AN2927=12,I2927,0)</f>
      </c>
      <c r="AL2927" s="111">
        <f>IF(AN2927=21,I2927,0)</f>
      </c>
      <c r="AN2927" s="111" t="n">
        <v>21</v>
      </c>
      <c r="AO2927" s="111">
        <f>H2927*0</f>
      </c>
      <c r="AP2927" s="111">
        <f>H2927*(1-0)</f>
      </c>
      <c r="AQ2927" s="153" t="s">
        <v>130</v>
      </c>
      <c r="AV2927" s="111">
        <f>AW2927+AX2927</f>
      </c>
      <c r="AW2927" s="111">
        <f>G2927*AO2927</f>
      </c>
      <c r="AX2927" s="111">
        <f>G2927*AP2927</f>
      </c>
      <c r="AY2927" s="153" t="s">
        <v>4686</v>
      </c>
      <c r="AZ2927" s="153" t="s">
        <v>4687</v>
      </c>
      <c r="BA2927" s="132" t="s">
        <v>4594</v>
      </c>
      <c r="BC2927" s="111">
        <f>AW2927+AX2927</f>
      </c>
      <c r="BD2927" s="111">
        <f>H2927/(100-BE2927)*100</f>
      </c>
      <c r="BE2927" s="111" t="n">
        <v>0</v>
      </c>
      <c r="BF2927" s="111">
        <f>2927</f>
      </c>
      <c r="BH2927" s="111">
        <f>G2927*AO2927</f>
      </c>
      <c r="BI2927" s="111">
        <f>G2927*AP2927</f>
      </c>
      <c r="BJ2927" s="111">
        <f>G2927*H2927</f>
      </c>
      <c r="BK2927" s="111"/>
      <c r="BL2927" s="111"/>
      <c r="BW2927" s="111" t="n">
        <v>21</v>
      </c>
      <c r="BX2927" s="14" t="s">
        <v>4692</v>
      </c>
    </row>
    <row r="2928" customHeight="true" ht="13.5">
      <c r="A2928" s="159"/>
      <c r="C2928" s="160" t="s">
        <v>146</v>
      </c>
      <c r="D2928" s="161" t="s">
        <v>4599</v>
      </c>
      <c r="E2928" s="156"/>
      <c r="F2928" s="156"/>
      <c r="G2928" s="156"/>
      <c r="H2928" s="162"/>
      <c r="I2928" s="156"/>
      <c r="J2928" s="156"/>
      <c r="K2928" s="163"/>
    </row>
    <row r="2929">
      <c r="A2929" s="154"/>
      <c r="B2929" s="155"/>
      <c r="C2929" s="155"/>
      <c r="D2929" s="156" t="s">
        <v>130</v>
      </c>
      <c r="E2929" s="156" t="s">
        <v>4599</v>
      </c>
      <c r="F2929" s="155"/>
      <c r="G2929" s="157" t="n">
        <v>1</v>
      </c>
      <c r="H2929" s="158"/>
      <c r="I2929" s="155"/>
      <c r="J2929" s="155"/>
      <c r="K2929" s="146"/>
    </row>
    <row r="2930">
      <c r="A2930" s="9" t="s">
        <v>4693</v>
      </c>
      <c r="B2930" s="10" t="s">
        <v>93</v>
      </c>
      <c r="C2930" s="10" t="s">
        <v>4604</v>
      </c>
      <c r="D2930" s="14" t="s">
        <v>4694</v>
      </c>
      <c r="E2930" s="10"/>
      <c r="F2930" s="10" t="s">
        <v>2277</v>
      </c>
      <c r="G2930" s="111" t="n">
        <v>1</v>
      </c>
      <c r="H2930" s="152" t="n">
        <v>0</v>
      </c>
      <c r="I2930" s="111">
        <f>G2930*H2930</f>
      </c>
      <c r="J2930" s="153" t="s">
        <v>2936</v>
      </c>
      <c r="K2930" s="146"/>
      <c r="Z2930" s="111">
        <f>IF(AQ2930="5",BJ2930,0)</f>
      </c>
      <c r="AB2930" s="111">
        <f>IF(AQ2930="1",BH2930,0)</f>
      </c>
      <c r="AC2930" s="111">
        <f>IF(AQ2930="1",BI2930,0)</f>
      </c>
      <c r="AD2930" s="111">
        <f>IF(AQ2930="7",BH2930,0)</f>
      </c>
      <c r="AE2930" s="111">
        <f>IF(AQ2930="7",BI2930,0)</f>
      </c>
      <c r="AF2930" s="111">
        <f>IF(AQ2930="2",BH2930,0)</f>
      </c>
      <c r="AG2930" s="111">
        <f>IF(AQ2930="2",BI2930,0)</f>
      </c>
      <c r="AH2930" s="111">
        <f>IF(AQ2930="0",BJ2930,0)</f>
      </c>
      <c r="AI2930" s="132" t="s">
        <v>93</v>
      </c>
      <c r="AJ2930" s="111">
        <f>IF(AN2930=0,I2930,0)</f>
      </c>
      <c r="AK2930" s="111">
        <f>IF(AN2930=12,I2930,0)</f>
      </c>
      <c r="AL2930" s="111">
        <f>IF(AN2930=21,I2930,0)</f>
      </c>
      <c r="AN2930" s="111" t="n">
        <v>21</v>
      </c>
      <c r="AO2930" s="111">
        <f>H2930*0</f>
      </c>
      <c r="AP2930" s="111">
        <f>H2930*(1-0)</f>
      </c>
      <c r="AQ2930" s="153" t="s">
        <v>130</v>
      </c>
      <c r="AV2930" s="111">
        <f>AW2930+AX2930</f>
      </c>
      <c r="AW2930" s="111">
        <f>G2930*AO2930</f>
      </c>
      <c r="AX2930" s="111">
        <f>G2930*AP2930</f>
      </c>
      <c r="AY2930" s="153" t="s">
        <v>4686</v>
      </c>
      <c r="AZ2930" s="153" t="s">
        <v>4687</v>
      </c>
      <c r="BA2930" s="132" t="s">
        <v>4594</v>
      </c>
      <c r="BC2930" s="111">
        <f>AW2930+AX2930</f>
      </c>
      <c r="BD2930" s="111">
        <f>H2930/(100-BE2930)*100</f>
      </c>
      <c r="BE2930" s="111" t="n">
        <v>0</v>
      </c>
      <c r="BF2930" s="111">
        <f>2930</f>
      </c>
      <c r="BH2930" s="111">
        <f>G2930*AO2930</f>
      </c>
      <c r="BI2930" s="111">
        <f>G2930*AP2930</f>
      </c>
      <c r="BJ2930" s="111">
        <f>G2930*H2930</f>
      </c>
      <c r="BK2930" s="111"/>
      <c r="BL2930" s="111"/>
      <c r="BW2930" s="111" t="n">
        <v>21</v>
      </c>
      <c r="BX2930" s="14" t="s">
        <v>4694</v>
      </c>
    </row>
    <row r="2931" customHeight="true" ht="13.5">
      <c r="A2931" s="159"/>
      <c r="C2931" s="160" t="s">
        <v>146</v>
      </c>
      <c r="D2931" s="161" t="s">
        <v>4607</v>
      </c>
      <c r="E2931" s="156"/>
      <c r="F2931" s="156"/>
      <c r="G2931" s="156"/>
      <c r="H2931" s="162"/>
      <c r="I2931" s="156"/>
      <c r="J2931" s="156"/>
      <c r="K2931" s="163"/>
    </row>
    <row r="2932">
      <c r="A2932" s="9" t="s">
        <v>4695</v>
      </c>
      <c r="B2932" s="10" t="s">
        <v>93</v>
      </c>
      <c r="C2932" s="10" t="s">
        <v>4604</v>
      </c>
      <c r="D2932" s="14" t="s">
        <v>4696</v>
      </c>
      <c r="E2932" s="10"/>
      <c r="F2932" s="10" t="s">
        <v>2277</v>
      </c>
      <c r="G2932" s="111" t="n">
        <v>1</v>
      </c>
      <c r="H2932" s="152" t="n">
        <v>0</v>
      </c>
      <c r="I2932" s="111">
        <f>G2932*H2932</f>
      </c>
      <c r="J2932" s="153" t="s">
        <v>2936</v>
      </c>
      <c r="K2932" s="146"/>
      <c r="Z2932" s="111">
        <f>IF(AQ2932="5",BJ2932,0)</f>
      </c>
      <c r="AB2932" s="111">
        <f>IF(AQ2932="1",BH2932,0)</f>
      </c>
      <c r="AC2932" s="111">
        <f>IF(AQ2932="1",BI2932,0)</f>
      </c>
      <c r="AD2932" s="111">
        <f>IF(AQ2932="7",BH2932,0)</f>
      </c>
      <c r="AE2932" s="111">
        <f>IF(AQ2932="7",BI2932,0)</f>
      </c>
      <c r="AF2932" s="111">
        <f>IF(AQ2932="2",BH2932,0)</f>
      </c>
      <c r="AG2932" s="111">
        <f>IF(AQ2932="2",BI2932,0)</f>
      </c>
      <c r="AH2932" s="111">
        <f>IF(AQ2932="0",BJ2932,0)</f>
      </c>
      <c r="AI2932" s="132" t="s">
        <v>93</v>
      </c>
      <c r="AJ2932" s="111">
        <f>IF(AN2932=0,I2932,0)</f>
      </c>
      <c r="AK2932" s="111">
        <f>IF(AN2932=12,I2932,0)</f>
      </c>
      <c r="AL2932" s="111">
        <f>IF(AN2932=21,I2932,0)</f>
      </c>
      <c r="AN2932" s="111" t="n">
        <v>21</v>
      </c>
      <c r="AO2932" s="111">
        <f>H2932*0</f>
      </c>
      <c r="AP2932" s="111">
        <f>H2932*(1-0)</f>
      </c>
      <c r="AQ2932" s="153" t="s">
        <v>130</v>
      </c>
      <c r="AV2932" s="111">
        <f>AW2932+AX2932</f>
      </c>
      <c r="AW2932" s="111">
        <f>G2932*AO2932</f>
      </c>
      <c r="AX2932" s="111">
        <f>G2932*AP2932</f>
      </c>
      <c r="AY2932" s="153" t="s">
        <v>4686</v>
      </c>
      <c r="AZ2932" s="153" t="s">
        <v>4687</v>
      </c>
      <c r="BA2932" s="132" t="s">
        <v>4594</v>
      </c>
      <c r="BC2932" s="111">
        <f>AW2932+AX2932</f>
      </c>
      <c r="BD2932" s="111">
        <f>H2932/(100-BE2932)*100</f>
      </c>
      <c r="BE2932" s="111" t="n">
        <v>0</v>
      </c>
      <c r="BF2932" s="111">
        <f>2932</f>
      </c>
      <c r="BH2932" s="111">
        <f>G2932*AO2932</f>
      </c>
      <c r="BI2932" s="111">
        <f>G2932*AP2932</f>
      </c>
      <c r="BJ2932" s="111">
        <f>G2932*H2932</f>
      </c>
      <c r="BK2932" s="111"/>
      <c r="BL2932" s="111"/>
      <c r="BW2932" s="111" t="n">
        <v>21</v>
      </c>
      <c r="BX2932" s="14" t="s">
        <v>4696</v>
      </c>
    </row>
    <row r="2933" customHeight="true" ht="13.5">
      <c r="A2933" s="159"/>
      <c r="C2933" s="160" t="s">
        <v>146</v>
      </c>
      <c r="D2933" s="161" t="s">
        <v>4607</v>
      </c>
      <c r="E2933" s="156"/>
      <c r="F2933" s="156"/>
      <c r="G2933" s="156"/>
      <c r="H2933" s="162"/>
      <c r="I2933" s="156"/>
      <c r="J2933" s="156"/>
      <c r="K2933" s="163"/>
    </row>
    <row r="2934">
      <c r="A2934" s="9" t="s">
        <v>4697</v>
      </c>
      <c r="B2934" s="10" t="s">
        <v>93</v>
      </c>
      <c r="C2934" s="10" t="s">
        <v>4698</v>
      </c>
      <c r="D2934" s="14" t="s">
        <v>4699</v>
      </c>
      <c r="E2934" s="10"/>
      <c r="F2934" s="10" t="s">
        <v>2277</v>
      </c>
      <c r="G2934" s="111" t="n">
        <v>1</v>
      </c>
      <c r="H2934" s="152" t="n">
        <v>0</v>
      </c>
      <c r="I2934" s="111">
        <f>G2934*H2934</f>
      </c>
      <c r="J2934" s="153" t="s">
        <v>2936</v>
      </c>
      <c r="K2934" s="146"/>
      <c r="Z2934" s="111">
        <f>IF(AQ2934="5",BJ2934,0)</f>
      </c>
      <c r="AB2934" s="111">
        <f>IF(AQ2934="1",BH2934,0)</f>
      </c>
      <c r="AC2934" s="111">
        <f>IF(AQ2934="1",BI2934,0)</f>
      </c>
      <c r="AD2934" s="111">
        <f>IF(AQ2934="7",BH2934,0)</f>
      </c>
      <c r="AE2934" s="111">
        <f>IF(AQ2934="7",BI2934,0)</f>
      </c>
      <c r="AF2934" s="111">
        <f>IF(AQ2934="2",BH2934,0)</f>
      </c>
      <c r="AG2934" s="111">
        <f>IF(AQ2934="2",BI2934,0)</f>
      </c>
      <c r="AH2934" s="111">
        <f>IF(AQ2934="0",BJ2934,0)</f>
      </c>
      <c r="AI2934" s="132" t="s">
        <v>93</v>
      </c>
      <c r="AJ2934" s="111">
        <f>IF(AN2934=0,I2934,0)</f>
      </c>
      <c r="AK2934" s="111">
        <f>IF(AN2934=12,I2934,0)</f>
      </c>
      <c r="AL2934" s="111">
        <f>IF(AN2934=21,I2934,0)</f>
      </c>
      <c r="AN2934" s="111" t="n">
        <v>21</v>
      </c>
      <c r="AO2934" s="111">
        <f>H2934*0</f>
      </c>
      <c r="AP2934" s="111">
        <f>H2934*(1-0)</f>
      </c>
      <c r="AQ2934" s="153" t="s">
        <v>130</v>
      </c>
      <c r="AV2934" s="111">
        <f>AW2934+AX2934</f>
      </c>
      <c r="AW2934" s="111">
        <f>G2934*AO2934</f>
      </c>
      <c r="AX2934" s="111">
        <f>G2934*AP2934</f>
      </c>
      <c r="AY2934" s="153" t="s">
        <v>4686</v>
      </c>
      <c r="AZ2934" s="153" t="s">
        <v>4687</v>
      </c>
      <c r="BA2934" s="132" t="s">
        <v>4594</v>
      </c>
      <c r="BC2934" s="111">
        <f>AW2934+AX2934</f>
      </c>
      <c r="BD2934" s="111">
        <f>H2934/(100-BE2934)*100</f>
      </c>
      <c r="BE2934" s="111" t="n">
        <v>0</v>
      </c>
      <c r="BF2934" s="111">
        <f>2934</f>
      </c>
      <c r="BH2934" s="111">
        <f>G2934*AO2934</f>
      </c>
      <c r="BI2934" s="111">
        <f>G2934*AP2934</f>
      </c>
      <c r="BJ2934" s="111">
        <f>G2934*H2934</f>
      </c>
      <c r="BK2934" s="111"/>
      <c r="BL2934" s="111"/>
      <c r="BW2934" s="111" t="n">
        <v>21</v>
      </c>
      <c r="BX2934" s="14" t="s">
        <v>4699</v>
      </c>
    </row>
    <row r="2935" customHeight="true" ht="13.5">
      <c r="A2935" s="159"/>
      <c r="C2935" s="160" t="s">
        <v>146</v>
      </c>
      <c r="D2935" s="161" t="s">
        <v>4700</v>
      </c>
      <c r="E2935" s="156"/>
      <c r="F2935" s="156"/>
      <c r="G2935" s="156"/>
      <c r="H2935" s="162"/>
      <c r="I2935" s="156"/>
      <c r="J2935" s="156"/>
      <c r="K2935" s="163"/>
    </row>
    <row r="2936">
      <c r="A2936" s="9" t="s">
        <v>4701</v>
      </c>
      <c r="B2936" s="10" t="s">
        <v>93</v>
      </c>
      <c r="C2936" s="10" t="s">
        <v>4702</v>
      </c>
      <c r="D2936" s="14" t="s">
        <v>4703</v>
      </c>
      <c r="E2936" s="10"/>
      <c r="F2936" s="10" t="s">
        <v>2277</v>
      </c>
      <c r="G2936" s="111" t="n">
        <v>1</v>
      </c>
      <c r="H2936" s="152" t="n">
        <v>0</v>
      </c>
      <c r="I2936" s="111">
        <f>G2936*H2936</f>
      </c>
      <c r="J2936" s="153" t="s">
        <v>2936</v>
      </c>
      <c r="K2936" s="146"/>
      <c r="Z2936" s="111">
        <f>IF(AQ2936="5",BJ2936,0)</f>
      </c>
      <c r="AB2936" s="111">
        <f>IF(AQ2936="1",BH2936,0)</f>
      </c>
      <c r="AC2936" s="111">
        <f>IF(AQ2936="1",BI2936,0)</f>
      </c>
      <c r="AD2936" s="111">
        <f>IF(AQ2936="7",BH2936,0)</f>
      </c>
      <c r="AE2936" s="111">
        <f>IF(AQ2936="7",BI2936,0)</f>
      </c>
      <c r="AF2936" s="111">
        <f>IF(AQ2936="2",BH2936,0)</f>
      </c>
      <c r="AG2936" s="111">
        <f>IF(AQ2936="2",BI2936,0)</f>
      </c>
      <c r="AH2936" s="111">
        <f>IF(AQ2936="0",BJ2936,0)</f>
      </c>
      <c r="AI2936" s="132" t="s">
        <v>93</v>
      </c>
      <c r="AJ2936" s="111">
        <f>IF(AN2936=0,I2936,0)</f>
      </c>
      <c r="AK2936" s="111">
        <f>IF(AN2936=12,I2936,0)</f>
      </c>
      <c r="AL2936" s="111">
        <f>IF(AN2936=21,I2936,0)</f>
      </c>
      <c r="AN2936" s="111" t="n">
        <v>21</v>
      </c>
      <c r="AO2936" s="111">
        <f>H2936*0</f>
      </c>
      <c r="AP2936" s="111">
        <f>H2936*(1-0)</f>
      </c>
      <c r="AQ2936" s="153" t="s">
        <v>130</v>
      </c>
      <c r="AV2936" s="111">
        <f>AW2936+AX2936</f>
      </c>
      <c r="AW2936" s="111">
        <f>G2936*AO2936</f>
      </c>
      <c r="AX2936" s="111">
        <f>G2936*AP2936</f>
      </c>
      <c r="AY2936" s="153" t="s">
        <v>4686</v>
      </c>
      <c r="AZ2936" s="153" t="s">
        <v>4687</v>
      </c>
      <c r="BA2936" s="132" t="s">
        <v>4594</v>
      </c>
      <c r="BC2936" s="111">
        <f>AW2936+AX2936</f>
      </c>
      <c r="BD2936" s="111">
        <f>H2936/(100-BE2936)*100</f>
      </c>
      <c r="BE2936" s="111" t="n">
        <v>0</v>
      </c>
      <c r="BF2936" s="111">
        <f>2936</f>
      </c>
      <c r="BH2936" s="111">
        <f>G2936*AO2936</f>
      </c>
      <c r="BI2936" s="111">
        <f>G2936*AP2936</f>
      </c>
      <c r="BJ2936" s="111">
        <f>G2936*H2936</f>
      </c>
      <c r="BK2936" s="111"/>
      <c r="BL2936" s="111"/>
      <c r="BW2936" s="111" t="n">
        <v>21</v>
      </c>
      <c r="BX2936" s="14" t="s">
        <v>4703</v>
      </c>
    </row>
    <row r="2937" customHeight="true" ht="13.5">
      <c r="A2937" s="159"/>
      <c r="C2937" s="160" t="s">
        <v>146</v>
      </c>
      <c r="D2937" s="161" t="s">
        <v>4700</v>
      </c>
      <c r="E2937" s="156"/>
      <c r="F2937" s="156"/>
      <c r="G2937" s="156"/>
      <c r="H2937" s="162"/>
      <c r="I2937" s="156"/>
      <c r="J2937" s="156"/>
      <c r="K2937" s="163"/>
    </row>
    <row r="2938">
      <c r="A2938" s="9" t="s">
        <v>4704</v>
      </c>
      <c r="B2938" s="10" t="s">
        <v>93</v>
      </c>
      <c r="C2938" s="10" t="s">
        <v>4705</v>
      </c>
      <c r="D2938" s="14" t="s">
        <v>4706</v>
      </c>
      <c r="E2938" s="10"/>
      <c r="F2938" s="10" t="s">
        <v>2277</v>
      </c>
      <c r="G2938" s="111" t="n">
        <v>1</v>
      </c>
      <c r="H2938" s="152" t="n">
        <v>0</v>
      </c>
      <c r="I2938" s="111">
        <f>G2938*H2938</f>
      </c>
      <c r="J2938" s="153" t="s">
        <v>2936</v>
      </c>
      <c r="K2938" s="146"/>
      <c r="Z2938" s="111">
        <f>IF(AQ2938="5",BJ2938,0)</f>
      </c>
      <c r="AB2938" s="111">
        <f>IF(AQ2938="1",BH2938,0)</f>
      </c>
      <c r="AC2938" s="111">
        <f>IF(AQ2938="1",BI2938,0)</f>
      </c>
      <c r="AD2938" s="111">
        <f>IF(AQ2938="7",BH2938,0)</f>
      </c>
      <c r="AE2938" s="111">
        <f>IF(AQ2938="7",BI2938,0)</f>
      </c>
      <c r="AF2938" s="111">
        <f>IF(AQ2938="2",BH2938,0)</f>
      </c>
      <c r="AG2938" s="111">
        <f>IF(AQ2938="2",BI2938,0)</f>
      </c>
      <c r="AH2938" s="111">
        <f>IF(AQ2938="0",BJ2938,0)</f>
      </c>
      <c r="AI2938" s="132" t="s">
        <v>93</v>
      </c>
      <c r="AJ2938" s="111">
        <f>IF(AN2938=0,I2938,0)</f>
      </c>
      <c r="AK2938" s="111">
        <f>IF(AN2938=12,I2938,0)</f>
      </c>
      <c r="AL2938" s="111">
        <f>IF(AN2938=21,I2938,0)</f>
      </c>
      <c r="AN2938" s="111" t="n">
        <v>21</v>
      </c>
      <c r="AO2938" s="111">
        <f>H2938*0</f>
      </c>
      <c r="AP2938" s="111">
        <f>H2938*(1-0)</f>
      </c>
      <c r="AQ2938" s="153" t="s">
        <v>130</v>
      </c>
      <c r="AV2938" s="111">
        <f>AW2938+AX2938</f>
      </c>
      <c r="AW2938" s="111">
        <f>G2938*AO2938</f>
      </c>
      <c r="AX2938" s="111">
        <f>G2938*AP2938</f>
      </c>
      <c r="AY2938" s="153" t="s">
        <v>4686</v>
      </c>
      <c r="AZ2938" s="153" t="s">
        <v>4687</v>
      </c>
      <c r="BA2938" s="132" t="s">
        <v>4594</v>
      </c>
      <c r="BC2938" s="111">
        <f>AW2938+AX2938</f>
      </c>
      <c r="BD2938" s="111">
        <f>H2938/(100-BE2938)*100</f>
      </c>
      <c r="BE2938" s="111" t="n">
        <v>0</v>
      </c>
      <c r="BF2938" s="111">
        <f>2938</f>
      </c>
      <c r="BH2938" s="111">
        <f>G2938*AO2938</f>
      </c>
      <c r="BI2938" s="111">
        <f>G2938*AP2938</f>
      </c>
      <c r="BJ2938" s="111">
        <f>G2938*H2938</f>
      </c>
      <c r="BK2938" s="111"/>
      <c r="BL2938" s="111"/>
      <c r="BW2938" s="111" t="n">
        <v>21</v>
      </c>
      <c r="BX2938" s="14" t="s">
        <v>4706</v>
      </c>
    </row>
    <row r="2939" customHeight="true" ht="13.5">
      <c r="A2939" s="159"/>
      <c r="C2939" s="160" t="s">
        <v>146</v>
      </c>
      <c r="D2939" s="161" t="s">
        <v>4700</v>
      </c>
      <c r="E2939" s="156"/>
      <c r="F2939" s="156"/>
      <c r="G2939" s="156"/>
      <c r="H2939" s="162"/>
      <c r="I2939" s="156"/>
      <c r="J2939" s="156"/>
      <c r="K2939" s="163"/>
    </row>
    <row r="2940">
      <c r="A2940" s="9" t="s">
        <v>4707</v>
      </c>
      <c r="B2940" s="10" t="s">
        <v>93</v>
      </c>
      <c r="C2940" s="10" t="s">
        <v>4708</v>
      </c>
      <c r="D2940" s="14" t="s">
        <v>4709</v>
      </c>
      <c r="E2940" s="10"/>
      <c r="F2940" s="10" t="s">
        <v>2277</v>
      </c>
      <c r="G2940" s="111" t="n">
        <v>1</v>
      </c>
      <c r="H2940" s="152" t="n">
        <v>0</v>
      </c>
      <c r="I2940" s="111">
        <f>G2940*H2940</f>
      </c>
      <c r="J2940" s="153" t="s">
        <v>2936</v>
      </c>
      <c r="K2940" s="146"/>
      <c r="Z2940" s="111">
        <f>IF(AQ2940="5",BJ2940,0)</f>
      </c>
      <c r="AB2940" s="111">
        <f>IF(AQ2940="1",BH2940,0)</f>
      </c>
      <c r="AC2940" s="111">
        <f>IF(AQ2940="1",BI2940,0)</f>
      </c>
      <c r="AD2940" s="111">
        <f>IF(AQ2940="7",BH2940,0)</f>
      </c>
      <c r="AE2940" s="111">
        <f>IF(AQ2940="7",BI2940,0)</f>
      </c>
      <c r="AF2940" s="111">
        <f>IF(AQ2940="2",BH2940,0)</f>
      </c>
      <c r="AG2940" s="111">
        <f>IF(AQ2940="2",BI2940,0)</f>
      </c>
      <c r="AH2940" s="111">
        <f>IF(AQ2940="0",BJ2940,0)</f>
      </c>
      <c r="AI2940" s="132" t="s">
        <v>93</v>
      </c>
      <c r="AJ2940" s="111">
        <f>IF(AN2940=0,I2940,0)</f>
      </c>
      <c r="AK2940" s="111">
        <f>IF(AN2940=12,I2940,0)</f>
      </c>
      <c r="AL2940" s="111">
        <f>IF(AN2940=21,I2940,0)</f>
      </c>
      <c r="AN2940" s="111" t="n">
        <v>21</v>
      </c>
      <c r="AO2940" s="111">
        <f>H2940*0</f>
      </c>
      <c r="AP2940" s="111">
        <f>H2940*(1-0)</f>
      </c>
      <c r="AQ2940" s="153" t="s">
        <v>130</v>
      </c>
      <c r="AV2940" s="111">
        <f>AW2940+AX2940</f>
      </c>
      <c r="AW2940" s="111">
        <f>G2940*AO2940</f>
      </c>
      <c r="AX2940" s="111">
        <f>G2940*AP2940</f>
      </c>
      <c r="AY2940" s="153" t="s">
        <v>4686</v>
      </c>
      <c r="AZ2940" s="153" t="s">
        <v>4687</v>
      </c>
      <c r="BA2940" s="132" t="s">
        <v>4594</v>
      </c>
      <c r="BC2940" s="111">
        <f>AW2940+AX2940</f>
      </c>
      <c r="BD2940" s="111">
        <f>H2940/(100-BE2940)*100</f>
      </c>
      <c r="BE2940" s="111" t="n">
        <v>0</v>
      </c>
      <c r="BF2940" s="111">
        <f>2940</f>
      </c>
      <c r="BH2940" s="111">
        <f>G2940*AO2940</f>
      </c>
      <c r="BI2940" s="111">
        <f>G2940*AP2940</f>
      </c>
      <c r="BJ2940" s="111">
        <f>G2940*H2940</f>
      </c>
      <c r="BK2940" s="111"/>
      <c r="BL2940" s="111"/>
      <c r="BW2940" s="111" t="n">
        <v>21</v>
      </c>
      <c r="BX2940" s="14" t="s">
        <v>4709</v>
      </c>
    </row>
    <row r="2941" customHeight="true" ht="13.5">
      <c r="A2941" s="159"/>
      <c r="C2941" s="160" t="s">
        <v>146</v>
      </c>
      <c r="D2941" s="161" t="s">
        <v>4700</v>
      </c>
      <c r="E2941" s="156"/>
      <c r="F2941" s="156"/>
      <c r="G2941" s="156"/>
      <c r="H2941" s="162"/>
      <c r="I2941" s="156"/>
      <c r="J2941" s="156"/>
      <c r="K2941" s="163"/>
    </row>
    <row r="2942">
      <c r="A2942" s="9" t="s">
        <v>4710</v>
      </c>
      <c r="B2942" s="10" t="s">
        <v>93</v>
      </c>
      <c r="C2942" s="10" t="s">
        <v>4604</v>
      </c>
      <c r="D2942" s="14" t="s">
        <v>4685</v>
      </c>
      <c r="E2942" s="10"/>
      <c r="F2942" s="10" t="s">
        <v>2277</v>
      </c>
      <c r="G2942" s="111" t="n">
        <v>1</v>
      </c>
      <c r="H2942" s="152" t="n">
        <v>0</v>
      </c>
      <c r="I2942" s="111">
        <f>G2942*H2942</f>
      </c>
      <c r="J2942" s="153" t="s">
        <v>2936</v>
      </c>
      <c r="K2942" s="146"/>
      <c r="Z2942" s="111">
        <f>IF(AQ2942="5",BJ2942,0)</f>
      </c>
      <c r="AB2942" s="111">
        <f>IF(AQ2942="1",BH2942,0)</f>
      </c>
      <c r="AC2942" s="111">
        <f>IF(AQ2942="1",BI2942,0)</f>
      </c>
      <c r="AD2942" s="111">
        <f>IF(AQ2942="7",BH2942,0)</f>
      </c>
      <c r="AE2942" s="111">
        <f>IF(AQ2942="7",BI2942,0)</f>
      </c>
      <c r="AF2942" s="111">
        <f>IF(AQ2942="2",BH2942,0)</f>
      </c>
      <c r="AG2942" s="111">
        <f>IF(AQ2942="2",BI2942,0)</f>
      </c>
      <c r="AH2942" s="111">
        <f>IF(AQ2942="0",BJ2942,0)</f>
      </c>
      <c r="AI2942" s="132" t="s">
        <v>93</v>
      </c>
      <c r="AJ2942" s="111">
        <f>IF(AN2942=0,I2942,0)</f>
      </c>
      <c r="AK2942" s="111">
        <f>IF(AN2942=12,I2942,0)</f>
      </c>
      <c r="AL2942" s="111">
        <f>IF(AN2942=21,I2942,0)</f>
      </c>
      <c r="AN2942" s="111" t="n">
        <v>21</v>
      </c>
      <c r="AO2942" s="111">
        <f>H2942*0</f>
      </c>
      <c r="AP2942" s="111">
        <f>H2942*(1-0)</f>
      </c>
      <c r="AQ2942" s="153" t="s">
        <v>130</v>
      </c>
      <c r="AV2942" s="111">
        <f>AW2942+AX2942</f>
      </c>
      <c r="AW2942" s="111">
        <f>G2942*AO2942</f>
      </c>
      <c r="AX2942" s="111">
        <f>G2942*AP2942</f>
      </c>
      <c r="AY2942" s="153" t="s">
        <v>4686</v>
      </c>
      <c r="AZ2942" s="153" t="s">
        <v>4687</v>
      </c>
      <c r="BA2942" s="132" t="s">
        <v>4594</v>
      </c>
      <c r="BC2942" s="111">
        <f>AW2942+AX2942</f>
      </c>
      <c r="BD2942" s="111">
        <f>H2942/(100-BE2942)*100</f>
      </c>
      <c r="BE2942" s="111" t="n">
        <v>0</v>
      </c>
      <c r="BF2942" s="111">
        <f>2942</f>
      </c>
      <c r="BH2942" s="111">
        <f>G2942*AO2942</f>
      </c>
      <c r="BI2942" s="111">
        <f>G2942*AP2942</f>
      </c>
      <c r="BJ2942" s="111">
        <f>G2942*H2942</f>
      </c>
      <c r="BK2942" s="111"/>
      <c r="BL2942" s="111"/>
      <c r="BW2942" s="111" t="n">
        <v>21</v>
      </c>
      <c r="BX2942" s="14" t="s">
        <v>4685</v>
      </c>
    </row>
    <row r="2943" customHeight="true" ht="13.5">
      <c r="A2943" s="159"/>
      <c r="C2943" s="160" t="s">
        <v>146</v>
      </c>
      <c r="D2943" s="161" t="s">
        <v>4597</v>
      </c>
      <c r="E2943" s="156"/>
      <c r="F2943" s="156"/>
      <c r="G2943" s="156"/>
      <c r="H2943" s="162"/>
      <c r="I2943" s="156"/>
      <c r="J2943" s="156"/>
      <c r="K2943" s="163"/>
    </row>
    <row r="2944">
      <c r="A2944" s="154"/>
      <c r="B2944" s="155"/>
      <c r="C2944" s="155"/>
      <c r="D2944" s="156" t="s">
        <v>130</v>
      </c>
      <c r="E2944" s="156" t="s">
        <v>4597</v>
      </c>
      <c r="F2944" s="155"/>
      <c r="G2944" s="157" t="n">
        <v>1</v>
      </c>
      <c r="H2944" s="158"/>
      <c r="I2944" s="155"/>
      <c r="J2944" s="155"/>
      <c r="K2944" s="146"/>
    </row>
    <row r="2945">
      <c r="A2945" s="9" t="s">
        <v>4711</v>
      </c>
      <c r="B2945" s="10" t="s">
        <v>93</v>
      </c>
      <c r="C2945" s="10" t="s">
        <v>4604</v>
      </c>
      <c r="D2945" s="14" t="s">
        <v>4692</v>
      </c>
      <c r="E2945" s="10"/>
      <c r="F2945" s="10" t="s">
        <v>2277</v>
      </c>
      <c r="G2945" s="111" t="n">
        <v>1</v>
      </c>
      <c r="H2945" s="152" t="n">
        <v>0</v>
      </c>
      <c r="I2945" s="111">
        <f>G2945*H2945</f>
      </c>
      <c r="J2945" s="153" t="s">
        <v>2936</v>
      </c>
      <c r="K2945" s="146"/>
      <c r="Z2945" s="111">
        <f>IF(AQ2945="5",BJ2945,0)</f>
      </c>
      <c r="AB2945" s="111">
        <f>IF(AQ2945="1",BH2945,0)</f>
      </c>
      <c r="AC2945" s="111">
        <f>IF(AQ2945="1",BI2945,0)</f>
      </c>
      <c r="AD2945" s="111">
        <f>IF(AQ2945="7",BH2945,0)</f>
      </c>
      <c r="AE2945" s="111">
        <f>IF(AQ2945="7",BI2945,0)</f>
      </c>
      <c r="AF2945" s="111">
        <f>IF(AQ2945="2",BH2945,0)</f>
      </c>
      <c r="AG2945" s="111">
        <f>IF(AQ2945="2",BI2945,0)</f>
      </c>
      <c r="AH2945" s="111">
        <f>IF(AQ2945="0",BJ2945,0)</f>
      </c>
      <c r="AI2945" s="132" t="s">
        <v>93</v>
      </c>
      <c r="AJ2945" s="111">
        <f>IF(AN2945=0,I2945,0)</f>
      </c>
      <c r="AK2945" s="111">
        <f>IF(AN2945=12,I2945,0)</f>
      </c>
      <c r="AL2945" s="111">
        <f>IF(AN2945=21,I2945,0)</f>
      </c>
      <c r="AN2945" s="111" t="n">
        <v>21</v>
      </c>
      <c r="AO2945" s="111">
        <f>H2945*0</f>
      </c>
      <c r="AP2945" s="111">
        <f>H2945*(1-0)</f>
      </c>
      <c r="AQ2945" s="153" t="s">
        <v>130</v>
      </c>
      <c r="AV2945" s="111">
        <f>AW2945+AX2945</f>
      </c>
      <c r="AW2945" s="111">
        <f>G2945*AO2945</f>
      </c>
      <c r="AX2945" s="111">
        <f>G2945*AP2945</f>
      </c>
      <c r="AY2945" s="153" t="s">
        <v>4686</v>
      </c>
      <c r="AZ2945" s="153" t="s">
        <v>4687</v>
      </c>
      <c r="BA2945" s="132" t="s">
        <v>4594</v>
      </c>
      <c r="BC2945" s="111">
        <f>AW2945+AX2945</f>
      </c>
      <c r="BD2945" s="111">
        <f>H2945/(100-BE2945)*100</f>
      </c>
      <c r="BE2945" s="111" t="n">
        <v>0</v>
      </c>
      <c r="BF2945" s="111">
        <f>2945</f>
      </c>
      <c r="BH2945" s="111">
        <f>G2945*AO2945</f>
      </c>
      <c r="BI2945" s="111">
        <f>G2945*AP2945</f>
      </c>
      <c r="BJ2945" s="111">
        <f>G2945*H2945</f>
      </c>
      <c r="BK2945" s="111"/>
      <c r="BL2945" s="111"/>
      <c r="BW2945" s="111" t="n">
        <v>21</v>
      </c>
      <c r="BX2945" s="14" t="s">
        <v>4692</v>
      </c>
    </row>
    <row r="2946" customHeight="true" ht="13.5">
      <c r="A2946" s="159"/>
      <c r="C2946" s="160" t="s">
        <v>146</v>
      </c>
      <c r="D2946" s="161" t="s">
        <v>4597</v>
      </c>
      <c r="E2946" s="156"/>
      <c r="F2946" s="156"/>
      <c r="G2946" s="156"/>
      <c r="H2946" s="162"/>
      <c r="I2946" s="156"/>
      <c r="J2946" s="156"/>
      <c r="K2946" s="163"/>
    </row>
    <row r="2947">
      <c r="A2947" s="154"/>
      <c r="B2947" s="155"/>
      <c r="C2947" s="155"/>
      <c r="D2947" s="156" t="s">
        <v>130</v>
      </c>
      <c r="E2947" s="156" t="s">
        <v>4597</v>
      </c>
      <c r="F2947" s="155"/>
      <c r="G2947" s="157" t="n">
        <v>1</v>
      </c>
      <c r="H2947" s="158"/>
      <c r="I2947" s="155"/>
      <c r="J2947" s="155"/>
      <c r="K2947" s="146"/>
    </row>
    <row r="2948">
      <c r="A2948" s="9" t="s">
        <v>4712</v>
      </c>
      <c r="B2948" s="10" t="s">
        <v>93</v>
      </c>
      <c r="C2948" s="10" t="s">
        <v>4604</v>
      </c>
      <c r="D2948" s="14" t="s">
        <v>4713</v>
      </c>
      <c r="E2948" s="10"/>
      <c r="F2948" s="10" t="s">
        <v>2277</v>
      </c>
      <c r="G2948" s="111" t="n">
        <v>1</v>
      </c>
      <c r="H2948" s="152" t="n">
        <v>0</v>
      </c>
      <c r="I2948" s="111">
        <f>G2948*H2948</f>
      </c>
      <c r="J2948" s="153" t="s">
        <v>2936</v>
      </c>
      <c r="K2948" s="146"/>
      <c r="Z2948" s="111">
        <f>IF(AQ2948="5",BJ2948,0)</f>
      </c>
      <c r="AB2948" s="111">
        <f>IF(AQ2948="1",BH2948,0)</f>
      </c>
      <c r="AC2948" s="111">
        <f>IF(AQ2948="1",BI2948,0)</f>
      </c>
      <c r="AD2948" s="111">
        <f>IF(AQ2948="7",BH2948,0)</f>
      </c>
      <c r="AE2948" s="111">
        <f>IF(AQ2948="7",BI2948,0)</f>
      </c>
      <c r="AF2948" s="111">
        <f>IF(AQ2948="2",BH2948,0)</f>
      </c>
      <c r="AG2948" s="111">
        <f>IF(AQ2948="2",BI2948,0)</f>
      </c>
      <c r="AH2948" s="111">
        <f>IF(AQ2948="0",BJ2948,0)</f>
      </c>
      <c r="AI2948" s="132" t="s">
        <v>93</v>
      </c>
      <c r="AJ2948" s="111">
        <f>IF(AN2948=0,I2948,0)</f>
      </c>
      <c r="AK2948" s="111">
        <f>IF(AN2948=12,I2948,0)</f>
      </c>
      <c r="AL2948" s="111">
        <f>IF(AN2948=21,I2948,0)</f>
      </c>
      <c r="AN2948" s="111" t="n">
        <v>21</v>
      </c>
      <c r="AO2948" s="111">
        <f>H2948*0</f>
      </c>
      <c r="AP2948" s="111">
        <f>H2948*(1-0)</f>
      </c>
      <c r="AQ2948" s="153" t="s">
        <v>130</v>
      </c>
      <c r="AV2948" s="111">
        <f>AW2948+AX2948</f>
      </c>
      <c r="AW2948" s="111">
        <f>G2948*AO2948</f>
      </c>
      <c r="AX2948" s="111">
        <f>G2948*AP2948</f>
      </c>
      <c r="AY2948" s="153" t="s">
        <v>4686</v>
      </c>
      <c r="AZ2948" s="153" t="s">
        <v>4687</v>
      </c>
      <c r="BA2948" s="132" t="s">
        <v>4594</v>
      </c>
      <c r="BC2948" s="111">
        <f>AW2948+AX2948</f>
      </c>
      <c r="BD2948" s="111">
        <f>H2948/(100-BE2948)*100</f>
      </c>
      <c r="BE2948" s="111" t="n">
        <v>0</v>
      </c>
      <c r="BF2948" s="111">
        <f>2948</f>
      </c>
      <c r="BH2948" s="111">
        <f>G2948*AO2948</f>
      </c>
      <c r="BI2948" s="111">
        <f>G2948*AP2948</f>
      </c>
      <c r="BJ2948" s="111">
        <f>G2948*H2948</f>
      </c>
      <c r="BK2948" s="111"/>
      <c r="BL2948" s="111"/>
      <c r="BW2948" s="111" t="n">
        <v>21</v>
      </c>
      <c r="BX2948" s="14" t="s">
        <v>4713</v>
      </c>
    </row>
    <row r="2949" customHeight="true" ht="13.5">
      <c r="A2949" s="159"/>
      <c r="C2949" s="160" t="s">
        <v>146</v>
      </c>
      <c r="D2949" s="161" t="s">
        <v>4597</v>
      </c>
      <c r="E2949" s="156"/>
      <c r="F2949" s="156"/>
      <c r="G2949" s="156"/>
      <c r="H2949" s="162"/>
      <c r="I2949" s="156"/>
      <c r="J2949" s="156"/>
      <c r="K2949" s="163"/>
    </row>
    <row r="2950">
      <c r="A2950" s="154"/>
      <c r="B2950" s="155"/>
      <c r="C2950" s="155"/>
      <c r="D2950" s="156" t="s">
        <v>130</v>
      </c>
      <c r="E2950" s="156" t="s">
        <v>4597</v>
      </c>
      <c r="F2950" s="155"/>
      <c r="G2950" s="157" t="n">
        <v>1</v>
      </c>
      <c r="H2950" s="158"/>
      <c r="I2950" s="155"/>
      <c r="J2950" s="155"/>
      <c r="K2950" s="146"/>
    </row>
    <row r="2951">
      <c r="A2951" s="147" t="s">
        <v>4</v>
      </c>
      <c r="B2951" s="148" t="s">
        <v>93</v>
      </c>
      <c r="C2951" s="148" t="s">
        <v>3755</v>
      </c>
      <c r="D2951" s="149" t="s">
        <v>4714</v>
      </c>
      <c r="E2951" s="148"/>
      <c r="F2951" s="150" t="s">
        <v>79</v>
      </c>
      <c r="G2951" s="150" t="s">
        <v>79</v>
      </c>
      <c r="H2951" s="151" t="s">
        <v>79</v>
      </c>
      <c r="I2951" s="117">
        <f>SUM(I2952:I2953)</f>
      </c>
      <c r="J2951" s="132" t="s">
        <v>4</v>
      </c>
      <c r="K2951" s="146"/>
      <c r="AI2951" s="132" t="s">
        <v>93</v>
      </c>
      <c r="AS2951" s="117">
        <f>SUM(AJ2952:AJ2953)</f>
      </c>
      <c r="AT2951" s="117">
        <f>SUM(AK2952:AK2953)</f>
      </c>
      <c r="AU2951" s="117">
        <f>SUM(AL2952:AL2953)</f>
      </c>
    </row>
    <row r="2952">
      <c r="A2952" s="9" t="s">
        <v>4715</v>
      </c>
      <c r="B2952" s="10" t="s">
        <v>93</v>
      </c>
      <c r="C2952" s="10" t="s">
        <v>4716</v>
      </c>
      <c r="D2952" s="14" t="s">
        <v>4717</v>
      </c>
      <c r="E2952" s="10"/>
      <c r="F2952" s="10" t="s">
        <v>3860</v>
      </c>
      <c r="G2952" s="111" t="n">
        <v>1</v>
      </c>
      <c r="H2952" s="152" t="n">
        <v>0</v>
      </c>
      <c r="I2952" s="111">
        <f>G2952*H2952</f>
      </c>
      <c r="J2952" s="153" t="s">
        <v>134</v>
      </c>
      <c r="K2952" s="146"/>
      <c r="Z2952" s="111">
        <f>IF(AQ2952="5",BJ2952,0)</f>
      </c>
      <c r="AB2952" s="111">
        <f>IF(AQ2952="1",BH2952,0)</f>
      </c>
      <c r="AC2952" s="111">
        <f>IF(AQ2952="1",BI2952,0)</f>
      </c>
      <c r="AD2952" s="111">
        <f>IF(AQ2952="7",BH2952,0)</f>
      </c>
      <c r="AE2952" s="111">
        <f>IF(AQ2952="7",BI2952,0)</f>
      </c>
      <c r="AF2952" s="111">
        <f>IF(AQ2952="2",BH2952,0)</f>
      </c>
      <c r="AG2952" s="111">
        <f>IF(AQ2952="2",BI2952,0)</f>
      </c>
      <c r="AH2952" s="111">
        <f>IF(AQ2952="0",BJ2952,0)</f>
      </c>
      <c r="AI2952" s="132" t="s">
        <v>93</v>
      </c>
      <c r="AJ2952" s="111">
        <f>IF(AN2952=0,I2952,0)</f>
      </c>
      <c r="AK2952" s="111">
        <f>IF(AN2952=12,I2952,0)</f>
      </c>
      <c r="AL2952" s="111">
        <f>IF(AN2952=21,I2952,0)</f>
      </c>
      <c r="AN2952" s="111" t="n">
        <v>21</v>
      </c>
      <c r="AO2952" s="111">
        <f>H2952*0</f>
      </c>
      <c r="AP2952" s="111">
        <f>H2952*(1-0)</f>
      </c>
      <c r="AQ2952" s="153" t="s">
        <v>140</v>
      </c>
      <c r="AV2952" s="111">
        <f>AW2952+AX2952</f>
      </c>
      <c r="AW2952" s="111">
        <f>G2952*AO2952</f>
      </c>
      <c r="AX2952" s="111">
        <f>G2952*AP2952</f>
      </c>
      <c r="AY2952" s="153" t="s">
        <v>4718</v>
      </c>
      <c r="AZ2952" s="153" t="s">
        <v>4606</v>
      </c>
      <c r="BA2952" s="132" t="s">
        <v>4594</v>
      </c>
      <c r="BC2952" s="111">
        <f>AW2952+AX2952</f>
      </c>
      <c r="BD2952" s="111">
        <f>H2952/(100-BE2952)*100</f>
      </c>
      <c r="BE2952" s="111" t="n">
        <v>0</v>
      </c>
      <c r="BF2952" s="111">
        <f>2952</f>
      </c>
      <c r="BH2952" s="111">
        <f>G2952*AO2952</f>
      </c>
      <c r="BI2952" s="111">
        <f>G2952*AP2952</f>
      </c>
      <c r="BJ2952" s="111">
        <f>G2952*H2952</f>
      </c>
      <c r="BK2952" s="111"/>
      <c r="BL2952" s="111"/>
      <c r="BW2952" s="111" t="n">
        <v>21</v>
      </c>
      <c r="BX2952" s="14" t="s">
        <v>4717</v>
      </c>
    </row>
    <row r="2953">
      <c r="A2953" s="9" t="s">
        <v>4719</v>
      </c>
      <c r="B2953" s="10" t="s">
        <v>93</v>
      </c>
      <c r="C2953" s="10" t="s">
        <v>4720</v>
      </c>
      <c r="D2953" s="14" t="s">
        <v>4721</v>
      </c>
      <c r="E2953" s="10"/>
      <c r="F2953" s="10" t="s">
        <v>3860</v>
      </c>
      <c r="G2953" s="111" t="n">
        <v>1</v>
      </c>
      <c r="H2953" s="152" t="n">
        <v>0</v>
      </c>
      <c r="I2953" s="111">
        <f>G2953*H2953</f>
      </c>
      <c r="J2953" s="153" t="s">
        <v>134</v>
      </c>
      <c r="K2953" s="146"/>
      <c r="Z2953" s="111">
        <f>IF(AQ2953="5",BJ2953,0)</f>
      </c>
      <c r="AB2953" s="111">
        <f>IF(AQ2953="1",BH2953,0)</f>
      </c>
      <c r="AC2953" s="111">
        <f>IF(AQ2953="1",BI2953,0)</f>
      </c>
      <c r="AD2953" s="111">
        <f>IF(AQ2953="7",BH2953,0)</f>
      </c>
      <c r="AE2953" s="111">
        <f>IF(AQ2953="7",BI2953,0)</f>
      </c>
      <c r="AF2953" s="111">
        <f>IF(AQ2953="2",BH2953,0)</f>
      </c>
      <c r="AG2953" s="111">
        <f>IF(AQ2953="2",BI2953,0)</f>
      </c>
      <c r="AH2953" s="111">
        <f>IF(AQ2953="0",BJ2953,0)</f>
      </c>
      <c r="AI2953" s="132" t="s">
        <v>93</v>
      </c>
      <c r="AJ2953" s="111">
        <f>IF(AN2953=0,I2953,0)</f>
      </c>
      <c r="AK2953" s="111">
        <f>IF(AN2953=12,I2953,0)</f>
      </c>
      <c r="AL2953" s="111">
        <f>IF(AN2953=21,I2953,0)</f>
      </c>
      <c r="AN2953" s="111" t="n">
        <v>21</v>
      </c>
      <c r="AO2953" s="111">
        <f>H2953*0</f>
      </c>
      <c r="AP2953" s="111">
        <f>H2953*(1-0)</f>
      </c>
      <c r="AQ2953" s="153" t="s">
        <v>140</v>
      </c>
      <c r="AV2953" s="111">
        <f>AW2953+AX2953</f>
      </c>
      <c r="AW2953" s="111">
        <f>G2953*AO2953</f>
      </c>
      <c r="AX2953" s="111">
        <f>G2953*AP2953</f>
      </c>
      <c r="AY2953" s="153" t="s">
        <v>4718</v>
      </c>
      <c r="AZ2953" s="153" t="s">
        <v>4606</v>
      </c>
      <c r="BA2953" s="132" t="s">
        <v>4594</v>
      </c>
      <c r="BC2953" s="111">
        <f>AW2953+AX2953</f>
      </c>
      <c r="BD2953" s="111">
        <f>H2953/(100-BE2953)*100</f>
      </c>
      <c r="BE2953" s="111" t="n">
        <v>0</v>
      </c>
      <c r="BF2953" s="111">
        <f>2953</f>
      </c>
      <c r="BH2953" s="111">
        <f>G2953*AO2953</f>
      </c>
      <c r="BI2953" s="111">
        <f>G2953*AP2953</f>
      </c>
      <c r="BJ2953" s="111">
        <f>G2953*H2953</f>
      </c>
      <c r="BK2953" s="111"/>
      <c r="BL2953" s="111"/>
      <c r="BW2953" s="111" t="n">
        <v>21</v>
      </c>
      <c r="BX2953" s="14" t="s">
        <v>4721</v>
      </c>
    </row>
    <row r="2954">
      <c r="A2954" s="147" t="s">
        <v>4</v>
      </c>
      <c r="B2954" s="148" t="s">
        <v>93</v>
      </c>
      <c r="C2954" s="148" t="s">
        <v>4107</v>
      </c>
      <c r="D2954" s="149" t="s">
        <v>4108</v>
      </c>
      <c r="E2954" s="148"/>
      <c r="F2954" s="150" t="s">
        <v>79</v>
      </c>
      <c r="G2954" s="150" t="s">
        <v>79</v>
      </c>
      <c r="H2954" s="151" t="s">
        <v>79</v>
      </c>
      <c r="I2954" s="117">
        <f>SUM(I2955:I3073)</f>
      </c>
      <c r="J2954" s="132" t="s">
        <v>4</v>
      </c>
      <c r="K2954" s="146"/>
      <c r="AI2954" s="132" t="s">
        <v>93</v>
      </c>
      <c r="AS2954" s="117">
        <f>SUM(AJ2955:AJ3073)</f>
      </c>
      <c r="AT2954" s="117">
        <f>SUM(AK2955:AK3073)</f>
      </c>
      <c r="AU2954" s="117">
        <f>SUM(AL2955:AL3073)</f>
      </c>
    </row>
    <row r="2955">
      <c r="A2955" s="9" t="s">
        <v>4722</v>
      </c>
      <c r="B2955" s="10" t="s">
        <v>93</v>
      </c>
      <c r="C2955" s="10" t="s">
        <v>4723</v>
      </c>
      <c r="D2955" s="14" t="s">
        <v>4724</v>
      </c>
      <c r="E2955" s="10"/>
      <c r="F2955" s="10" t="s">
        <v>133</v>
      </c>
      <c r="G2955" s="111" t="n">
        <v>3</v>
      </c>
      <c r="H2955" s="152" t="n">
        <v>0</v>
      </c>
      <c r="I2955" s="111">
        <f>G2955*H2955</f>
      </c>
      <c r="J2955" s="153" t="s">
        <v>134</v>
      </c>
      <c r="K2955" s="146"/>
      <c r="Z2955" s="111">
        <f>IF(AQ2955="5",BJ2955,0)</f>
      </c>
      <c r="AB2955" s="111">
        <f>IF(AQ2955="1",BH2955,0)</f>
      </c>
      <c r="AC2955" s="111">
        <f>IF(AQ2955="1",BI2955,0)</f>
      </c>
      <c r="AD2955" s="111">
        <f>IF(AQ2955="7",BH2955,0)</f>
      </c>
      <c r="AE2955" s="111">
        <f>IF(AQ2955="7",BI2955,0)</f>
      </c>
      <c r="AF2955" s="111">
        <f>IF(AQ2955="2",BH2955,0)</f>
      </c>
      <c r="AG2955" s="111">
        <f>IF(AQ2955="2",BI2955,0)</f>
      </c>
      <c r="AH2955" s="111">
        <f>IF(AQ2955="0",BJ2955,0)</f>
      </c>
      <c r="AI2955" s="132" t="s">
        <v>93</v>
      </c>
      <c r="AJ2955" s="111">
        <f>IF(AN2955=0,I2955,0)</f>
      </c>
      <c r="AK2955" s="111">
        <f>IF(AN2955=12,I2955,0)</f>
      </c>
      <c r="AL2955" s="111">
        <f>IF(AN2955=21,I2955,0)</f>
      </c>
      <c r="AN2955" s="111" t="n">
        <v>21</v>
      </c>
      <c r="AO2955" s="111">
        <f>H2955*0</f>
      </c>
      <c r="AP2955" s="111">
        <f>H2955*(1-0)</f>
      </c>
      <c r="AQ2955" s="153" t="s">
        <v>140</v>
      </c>
      <c r="AV2955" s="111">
        <f>AW2955+AX2955</f>
      </c>
      <c r="AW2955" s="111">
        <f>G2955*AO2955</f>
      </c>
      <c r="AX2955" s="111">
        <f>G2955*AP2955</f>
      </c>
      <c r="AY2955" s="153" t="s">
        <v>4112</v>
      </c>
      <c r="AZ2955" s="153" t="s">
        <v>4606</v>
      </c>
      <c r="BA2955" s="132" t="s">
        <v>4594</v>
      </c>
      <c r="BC2955" s="111">
        <f>AW2955+AX2955</f>
      </c>
      <c r="BD2955" s="111">
        <f>H2955/(100-BE2955)*100</f>
      </c>
      <c r="BE2955" s="111" t="n">
        <v>0</v>
      </c>
      <c r="BF2955" s="111">
        <f>2955</f>
      </c>
      <c r="BH2955" s="111">
        <f>G2955*AO2955</f>
      </c>
      <c r="BI2955" s="111">
        <f>G2955*AP2955</f>
      </c>
      <c r="BJ2955" s="111">
        <f>G2955*H2955</f>
      </c>
      <c r="BK2955" s="111"/>
      <c r="BL2955" s="111"/>
      <c r="BW2955" s="111" t="n">
        <v>21</v>
      </c>
      <c r="BX2955" s="14" t="s">
        <v>4724</v>
      </c>
    </row>
    <row r="2956" customHeight="true" ht="13.5">
      <c r="A2956" s="159"/>
      <c r="C2956" s="160" t="s">
        <v>146</v>
      </c>
      <c r="D2956" s="161" t="s">
        <v>4725</v>
      </c>
      <c r="E2956" s="156"/>
      <c r="F2956" s="156"/>
      <c r="G2956" s="156"/>
      <c r="H2956" s="162"/>
      <c r="I2956" s="156"/>
      <c r="J2956" s="156"/>
      <c r="K2956" s="163"/>
    </row>
    <row r="2957">
      <c r="A2957" s="154"/>
      <c r="B2957" s="155"/>
      <c r="C2957" s="155"/>
      <c r="D2957" s="156" t="s">
        <v>138</v>
      </c>
      <c r="E2957" s="156" t="s">
        <v>4726</v>
      </c>
      <c r="F2957" s="155"/>
      <c r="G2957" s="157" t="n">
        <v>3</v>
      </c>
      <c r="H2957" s="158"/>
      <c r="I2957" s="155"/>
      <c r="J2957" s="155"/>
      <c r="K2957" s="146"/>
    </row>
    <row r="2958">
      <c r="A2958" s="9" t="s">
        <v>4727</v>
      </c>
      <c r="B2958" s="10" t="s">
        <v>93</v>
      </c>
      <c r="C2958" s="10" t="s">
        <v>4728</v>
      </c>
      <c r="D2958" s="14" t="s">
        <v>4729</v>
      </c>
      <c r="E2958" s="10"/>
      <c r="F2958" s="10" t="s">
        <v>133</v>
      </c>
      <c r="G2958" s="111" t="n">
        <v>2</v>
      </c>
      <c r="H2958" s="152" t="n">
        <v>0</v>
      </c>
      <c r="I2958" s="111">
        <f>G2958*H2958</f>
      </c>
      <c r="J2958" s="153" t="s">
        <v>134</v>
      </c>
      <c r="K2958" s="146"/>
      <c r="Z2958" s="111">
        <f>IF(AQ2958="5",BJ2958,0)</f>
      </c>
      <c r="AB2958" s="111">
        <f>IF(AQ2958="1",BH2958,0)</f>
      </c>
      <c r="AC2958" s="111">
        <f>IF(AQ2958="1",BI2958,0)</f>
      </c>
      <c r="AD2958" s="111">
        <f>IF(AQ2958="7",BH2958,0)</f>
      </c>
      <c r="AE2958" s="111">
        <f>IF(AQ2958="7",BI2958,0)</f>
      </c>
      <c r="AF2958" s="111">
        <f>IF(AQ2958="2",BH2958,0)</f>
      </c>
      <c r="AG2958" s="111">
        <f>IF(AQ2958="2",BI2958,0)</f>
      </c>
      <c r="AH2958" s="111">
        <f>IF(AQ2958="0",BJ2958,0)</f>
      </c>
      <c r="AI2958" s="132" t="s">
        <v>93</v>
      </c>
      <c r="AJ2958" s="111">
        <f>IF(AN2958=0,I2958,0)</f>
      </c>
      <c r="AK2958" s="111">
        <f>IF(AN2958=12,I2958,0)</f>
      </c>
      <c r="AL2958" s="111">
        <f>IF(AN2958=21,I2958,0)</f>
      </c>
      <c r="AN2958" s="111" t="n">
        <v>21</v>
      </c>
      <c r="AO2958" s="111">
        <f>H2958*0</f>
      </c>
      <c r="AP2958" s="111">
        <f>H2958*(1-0)</f>
      </c>
      <c r="AQ2958" s="153" t="s">
        <v>140</v>
      </c>
      <c r="AV2958" s="111">
        <f>AW2958+AX2958</f>
      </c>
      <c r="AW2958" s="111">
        <f>G2958*AO2958</f>
      </c>
      <c r="AX2958" s="111">
        <f>G2958*AP2958</f>
      </c>
      <c r="AY2958" s="153" t="s">
        <v>4112</v>
      </c>
      <c r="AZ2958" s="153" t="s">
        <v>4606</v>
      </c>
      <c r="BA2958" s="132" t="s">
        <v>4594</v>
      </c>
      <c r="BC2958" s="111">
        <f>AW2958+AX2958</f>
      </c>
      <c r="BD2958" s="111">
        <f>H2958/(100-BE2958)*100</f>
      </c>
      <c r="BE2958" s="111" t="n">
        <v>0</v>
      </c>
      <c r="BF2958" s="111">
        <f>2958</f>
      </c>
      <c r="BH2958" s="111">
        <f>G2958*AO2958</f>
      </c>
      <c r="BI2958" s="111">
        <f>G2958*AP2958</f>
      </c>
      <c r="BJ2958" s="111">
        <f>G2958*H2958</f>
      </c>
      <c r="BK2958" s="111"/>
      <c r="BL2958" s="111"/>
      <c r="BW2958" s="111" t="n">
        <v>21</v>
      </c>
      <c r="BX2958" s="14" t="s">
        <v>4729</v>
      </c>
    </row>
    <row r="2959" customHeight="true" ht="13.5">
      <c r="A2959" s="159"/>
      <c r="C2959" s="160" t="s">
        <v>146</v>
      </c>
      <c r="D2959" s="161" t="s">
        <v>4730</v>
      </c>
      <c r="E2959" s="156"/>
      <c r="F2959" s="156"/>
      <c r="G2959" s="156"/>
      <c r="H2959" s="162"/>
      <c r="I2959" s="156"/>
      <c r="J2959" s="156"/>
      <c r="K2959" s="163"/>
    </row>
    <row r="2960">
      <c r="A2960" s="154"/>
      <c r="B2960" s="155"/>
      <c r="C2960" s="155"/>
      <c r="D2960" s="156" t="s">
        <v>140</v>
      </c>
      <c r="E2960" s="156" t="s">
        <v>4726</v>
      </c>
      <c r="F2960" s="155"/>
      <c r="G2960" s="157" t="n">
        <v>2</v>
      </c>
      <c r="H2960" s="158"/>
      <c r="I2960" s="155"/>
      <c r="J2960" s="155"/>
      <c r="K2960" s="146"/>
    </row>
    <row r="2961">
      <c r="A2961" s="9" t="s">
        <v>4731</v>
      </c>
      <c r="B2961" s="10" t="s">
        <v>93</v>
      </c>
      <c r="C2961" s="10" t="s">
        <v>4732</v>
      </c>
      <c r="D2961" s="14" t="s">
        <v>4733</v>
      </c>
      <c r="E2961" s="10"/>
      <c r="F2961" s="10" t="s">
        <v>133</v>
      </c>
      <c r="G2961" s="111" t="n">
        <v>1</v>
      </c>
      <c r="H2961" s="152" t="n">
        <v>0</v>
      </c>
      <c r="I2961" s="111">
        <f>G2961*H2961</f>
      </c>
      <c r="J2961" s="153" t="s">
        <v>134</v>
      </c>
      <c r="K2961" s="146"/>
      <c r="Z2961" s="111">
        <f>IF(AQ2961="5",BJ2961,0)</f>
      </c>
      <c r="AB2961" s="111">
        <f>IF(AQ2961="1",BH2961,0)</f>
      </c>
      <c r="AC2961" s="111">
        <f>IF(AQ2961="1",BI2961,0)</f>
      </c>
      <c r="AD2961" s="111">
        <f>IF(AQ2961="7",BH2961,0)</f>
      </c>
      <c r="AE2961" s="111">
        <f>IF(AQ2961="7",BI2961,0)</f>
      </c>
      <c r="AF2961" s="111">
        <f>IF(AQ2961="2",BH2961,0)</f>
      </c>
      <c r="AG2961" s="111">
        <f>IF(AQ2961="2",BI2961,0)</f>
      </c>
      <c r="AH2961" s="111">
        <f>IF(AQ2961="0",BJ2961,0)</f>
      </c>
      <c r="AI2961" s="132" t="s">
        <v>93</v>
      </c>
      <c r="AJ2961" s="111">
        <f>IF(AN2961=0,I2961,0)</f>
      </c>
      <c r="AK2961" s="111">
        <f>IF(AN2961=12,I2961,0)</f>
      </c>
      <c r="AL2961" s="111">
        <f>IF(AN2961=21,I2961,0)</f>
      </c>
      <c r="AN2961" s="111" t="n">
        <v>21</v>
      </c>
      <c r="AO2961" s="111">
        <f>H2961*0</f>
      </c>
      <c r="AP2961" s="111">
        <f>H2961*(1-0)</f>
      </c>
      <c r="AQ2961" s="153" t="s">
        <v>140</v>
      </c>
      <c r="AV2961" s="111">
        <f>AW2961+AX2961</f>
      </c>
      <c r="AW2961" s="111">
        <f>G2961*AO2961</f>
      </c>
      <c r="AX2961" s="111">
        <f>G2961*AP2961</f>
      </c>
      <c r="AY2961" s="153" t="s">
        <v>4112</v>
      </c>
      <c r="AZ2961" s="153" t="s">
        <v>4606</v>
      </c>
      <c r="BA2961" s="132" t="s">
        <v>4594</v>
      </c>
      <c r="BC2961" s="111">
        <f>AW2961+AX2961</f>
      </c>
      <c r="BD2961" s="111">
        <f>H2961/(100-BE2961)*100</f>
      </c>
      <c r="BE2961" s="111" t="n">
        <v>0</v>
      </c>
      <c r="BF2961" s="111">
        <f>2961</f>
      </c>
      <c r="BH2961" s="111">
        <f>G2961*AO2961</f>
      </c>
      <c r="BI2961" s="111">
        <f>G2961*AP2961</f>
      </c>
      <c r="BJ2961" s="111">
        <f>G2961*H2961</f>
      </c>
      <c r="BK2961" s="111"/>
      <c r="BL2961" s="111"/>
      <c r="BW2961" s="111" t="n">
        <v>21</v>
      </c>
      <c r="BX2961" s="14" t="s">
        <v>4733</v>
      </c>
    </row>
    <row r="2962" customHeight="true" ht="13.5">
      <c r="A2962" s="159"/>
      <c r="C2962" s="160" t="s">
        <v>146</v>
      </c>
      <c r="D2962" s="161" t="s">
        <v>4734</v>
      </c>
      <c r="E2962" s="156"/>
      <c r="F2962" s="156"/>
      <c r="G2962" s="156"/>
      <c r="H2962" s="162"/>
      <c r="I2962" s="156"/>
      <c r="J2962" s="156"/>
      <c r="K2962" s="163"/>
    </row>
    <row r="2963">
      <c r="A2963" s="154"/>
      <c r="B2963" s="155"/>
      <c r="C2963" s="155"/>
      <c r="D2963" s="156" t="s">
        <v>130</v>
      </c>
      <c r="E2963" s="156" t="s">
        <v>4726</v>
      </c>
      <c r="F2963" s="155"/>
      <c r="G2963" s="157" t="n">
        <v>1</v>
      </c>
      <c r="H2963" s="158"/>
      <c r="I2963" s="155"/>
      <c r="J2963" s="155"/>
      <c r="K2963" s="146"/>
    </row>
    <row r="2964">
      <c r="A2964" s="9" t="s">
        <v>4735</v>
      </c>
      <c r="B2964" s="10" t="s">
        <v>93</v>
      </c>
      <c r="C2964" s="10" t="s">
        <v>4736</v>
      </c>
      <c r="D2964" s="14" t="s">
        <v>4737</v>
      </c>
      <c r="E2964" s="10"/>
      <c r="F2964" s="10" t="s">
        <v>282</v>
      </c>
      <c r="G2964" s="111" t="n">
        <v>50</v>
      </c>
      <c r="H2964" s="152" t="n">
        <v>0</v>
      </c>
      <c r="I2964" s="111">
        <f>G2964*H2964</f>
      </c>
      <c r="J2964" s="153" t="s">
        <v>134</v>
      </c>
      <c r="K2964" s="146"/>
      <c r="Z2964" s="111">
        <f>IF(AQ2964="5",BJ2964,0)</f>
      </c>
      <c r="AB2964" s="111">
        <f>IF(AQ2964="1",BH2964,0)</f>
      </c>
      <c r="AC2964" s="111">
        <f>IF(AQ2964="1",BI2964,0)</f>
      </c>
      <c r="AD2964" s="111">
        <f>IF(AQ2964="7",BH2964,0)</f>
      </c>
      <c r="AE2964" s="111">
        <f>IF(AQ2964="7",BI2964,0)</f>
      </c>
      <c r="AF2964" s="111">
        <f>IF(AQ2964="2",BH2964,0)</f>
      </c>
      <c r="AG2964" s="111">
        <f>IF(AQ2964="2",BI2964,0)</f>
      </c>
      <c r="AH2964" s="111">
        <f>IF(AQ2964="0",BJ2964,0)</f>
      </c>
      <c r="AI2964" s="132" t="s">
        <v>93</v>
      </c>
      <c r="AJ2964" s="111">
        <f>IF(AN2964=0,I2964,0)</f>
      </c>
      <c r="AK2964" s="111">
        <f>IF(AN2964=12,I2964,0)</f>
      </c>
      <c r="AL2964" s="111">
        <f>IF(AN2964=21,I2964,0)</f>
      </c>
      <c r="AN2964" s="111" t="n">
        <v>21</v>
      </c>
      <c r="AO2964" s="111">
        <f>H2964*0.690795875</f>
      </c>
      <c r="AP2964" s="111">
        <f>H2964*(1-0.690795875)</f>
      </c>
      <c r="AQ2964" s="153" t="s">
        <v>140</v>
      </c>
      <c r="AV2964" s="111">
        <f>AW2964+AX2964</f>
      </c>
      <c r="AW2964" s="111">
        <f>G2964*AO2964</f>
      </c>
      <c r="AX2964" s="111">
        <f>G2964*AP2964</f>
      </c>
      <c r="AY2964" s="153" t="s">
        <v>4112</v>
      </c>
      <c r="AZ2964" s="153" t="s">
        <v>4606</v>
      </c>
      <c r="BA2964" s="132" t="s">
        <v>4594</v>
      </c>
      <c r="BC2964" s="111">
        <f>AW2964+AX2964</f>
      </c>
      <c r="BD2964" s="111">
        <f>H2964/(100-BE2964)*100</f>
      </c>
      <c r="BE2964" s="111" t="n">
        <v>0</v>
      </c>
      <c r="BF2964" s="111">
        <f>2964</f>
      </c>
      <c r="BH2964" s="111">
        <f>G2964*AO2964</f>
      </c>
      <c r="BI2964" s="111">
        <f>G2964*AP2964</f>
      </c>
      <c r="BJ2964" s="111">
        <f>G2964*H2964</f>
      </c>
      <c r="BK2964" s="111"/>
      <c r="BL2964" s="111"/>
      <c r="BW2964" s="111" t="n">
        <v>21</v>
      </c>
      <c r="BX2964" s="14" t="s">
        <v>4737</v>
      </c>
    </row>
    <row r="2965" customHeight="true" ht="13.5">
      <c r="A2965" s="159"/>
      <c r="C2965" s="160" t="s">
        <v>146</v>
      </c>
      <c r="D2965" s="161" t="s">
        <v>4738</v>
      </c>
      <c r="E2965" s="156"/>
      <c r="F2965" s="156"/>
      <c r="G2965" s="156"/>
      <c r="H2965" s="162"/>
      <c r="I2965" s="156"/>
      <c r="J2965" s="156"/>
      <c r="K2965" s="163"/>
    </row>
    <row r="2966">
      <c r="A2966" s="154"/>
      <c r="B2966" s="155"/>
      <c r="C2966" s="155"/>
      <c r="D2966" s="156" t="s">
        <v>148</v>
      </c>
      <c r="E2966" s="156" t="s">
        <v>4739</v>
      </c>
      <c r="F2966" s="155"/>
      <c r="G2966" s="157" t="n">
        <v>50</v>
      </c>
      <c r="H2966" s="158"/>
      <c r="I2966" s="155"/>
      <c r="J2966" s="155"/>
      <c r="K2966" s="146"/>
    </row>
    <row r="2967">
      <c r="A2967" s="9" t="s">
        <v>4740</v>
      </c>
      <c r="B2967" s="10" t="s">
        <v>93</v>
      </c>
      <c r="C2967" s="10" t="s">
        <v>4741</v>
      </c>
      <c r="D2967" s="14" t="s">
        <v>4742</v>
      </c>
      <c r="E2967" s="10"/>
      <c r="F2967" s="10" t="s">
        <v>282</v>
      </c>
      <c r="G2967" s="111" t="n">
        <v>210</v>
      </c>
      <c r="H2967" s="152" t="n">
        <v>0</v>
      </c>
      <c r="I2967" s="111">
        <f>G2967*H2967</f>
      </c>
      <c r="J2967" s="153" t="s">
        <v>134</v>
      </c>
      <c r="K2967" s="146"/>
      <c r="Z2967" s="111">
        <f>IF(AQ2967="5",BJ2967,0)</f>
      </c>
      <c r="AB2967" s="111">
        <f>IF(AQ2967="1",BH2967,0)</f>
      </c>
      <c r="AC2967" s="111">
        <f>IF(AQ2967="1",BI2967,0)</f>
      </c>
      <c r="AD2967" s="111">
        <f>IF(AQ2967="7",BH2967,0)</f>
      </c>
      <c r="AE2967" s="111">
        <f>IF(AQ2967="7",BI2967,0)</f>
      </c>
      <c r="AF2967" s="111">
        <f>IF(AQ2967="2",BH2967,0)</f>
      </c>
      <c r="AG2967" s="111">
        <f>IF(AQ2967="2",BI2967,0)</f>
      </c>
      <c r="AH2967" s="111">
        <f>IF(AQ2967="0",BJ2967,0)</f>
      </c>
      <c r="AI2967" s="132" t="s">
        <v>93</v>
      </c>
      <c r="AJ2967" s="111">
        <f>IF(AN2967=0,I2967,0)</f>
      </c>
      <c r="AK2967" s="111">
        <f>IF(AN2967=12,I2967,0)</f>
      </c>
      <c r="AL2967" s="111">
        <f>IF(AN2967=21,I2967,0)</f>
      </c>
      <c r="AN2967" s="111" t="n">
        <v>21</v>
      </c>
      <c r="AO2967" s="111">
        <f>H2967*0</f>
      </c>
      <c r="AP2967" s="111">
        <f>H2967*(1-0)</f>
      </c>
      <c r="AQ2967" s="153" t="s">
        <v>140</v>
      </c>
      <c r="AV2967" s="111">
        <f>AW2967+AX2967</f>
      </c>
      <c r="AW2967" s="111">
        <f>G2967*AO2967</f>
      </c>
      <c r="AX2967" s="111">
        <f>G2967*AP2967</f>
      </c>
      <c r="AY2967" s="153" t="s">
        <v>4112</v>
      </c>
      <c r="AZ2967" s="153" t="s">
        <v>4606</v>
      </c>
      <c r="BA2967" s="132" t="s">
        <v>4594</v>
      </c>
      <c r="BC2967" s="111">
        <f>AW2967+AX2967</f>
      </c>
      <c r="BD2967" s="111">
        <f>H2967/(100-BE2967)*100</f>
      </c>
      <c r="BE2967" s="111" t="n">
        <v>0</v>
      </c>
      <c r="BF2967" s="111">
        <f>2967</f>
      </c>
      <c r="BH2967" s="111">
        <f>G2967*AO2967</f>
      </c>
      <c r="BI2967" s="111">
        <f>G2967*AP2967</f>
      </c>
      <c r="BJ2967" s="111">
        <f>G2967*H2967</f>
      </c>
      <c r="BK2967" s="111"/>
      <c r="BL2967" s="111"/>
      <c r="BW2967" s="111" t="n">
        <v>21</v>
      </c>
      <c r="BX2967" s="14" t="s">
        <v>4742</v>
      </c>
    </row>
    <row r="2968" customHeight="true" ht="13.5">
      <c r="A2968" s="159"/>
      <c r="C2968" s="160" t="s">
        <v>146</v>
      </c>
      <c r="D2968" s="161" t="s">
        <v>4743</v>
      </c>
      <c r="E2968" s="156"/>
      <c r="F2968" s="156"/>
      <c r="G2968" s="156"/>
      <c r="H2968" s="162"/>
      <c r="I2968" s="156"/>
      <c r="J2968" s="156"/>
      <c r="K2968" s="163"/>
    </row>
    <row r="2969">
      <c r="A2969" s="154"/>
      <c r="B2969" s="155"/>
      <c r="C2969" s="155"/>
      <c r="D2969" s="156" t="s">
        <v>1537</v>
      </c>
      <c r="E2969" s="156" t="s">
        <v>4726</v>
      </c>
      <c r="F2969" s="155"/>
      <c r="G2969" s="157" t="n">
        <v>210</v>
      </c>
      <c r="H2969" s="158"/>
      <c r="I2969" s="155"/>
      <c r="J2969" s="155"/>
      <c r="K2969" s="146"/>
    </row>
    <row r="2970">
      <c r="A2970" s="9" t="s">
        <v>4744</v>
      </c>
      <c r="B2970" s="10" t="s">
        <v>93</v>
      </c>
      <c r="C2970" s="10" t="s">
        <v>4745</v>
      </c>
      <c r="D2970" s="14" t="s">
        <v>4746</v>
      </c>
      <c r="E2970" s="10"/>
      <c r="F2970" s="10" t="s">
        <v>282</v>
      </c>
      <c r="G2970" s="111" t="n">
        <v>120</v>
      </c>
      <c r="H2970" s="152" t="n">
        <v>0</v>
      </c>
      <c r="I2970" s="111">
        <f>G2970*H2970</f>
      </c>
      <c r="J2970" s="153" t="s">
        <v>134</v>
      </c>
      <c r="K2970" s="146"/>
      <c r="Z2970" s="111">
        <f>IF(AQ2970="5",BJ2970,0)</f>
      </c>
      <c r="AB2970" s="111">
        <f>IF(AQ2970="1",BH2970,0)</f>
      </c>
      <c r="AC2970" s="111">
        <f>IF(AQ2970="1",BI2970,0)</f>
      </c>
      <c r="AD2970" s="111">
        <f>IF(AQ2970="7",BH2970,0)</f>
      </c>
      <c r="AE2970" s="111">
        <f>IF(AQ2970="7",BI2970,0)</f>
      </c>
      <c r="AF2970" s="111">
        <f>IF(AQ2970="2",BH2970,0)</f>
      </c>
      <c r="AG2970" s="111">
        <f>IF(AQ2970="2",BI2970,0)</f>
      </c>
      <c r="AH2970" s="111">
        <f>IF(AQ2970="0",BJ2970,0)</f>
      </c>
      <c r="AI2970" s="132" t="s">
        <v>93</v>
      </c>
      <c r="AJ2970" s="111">
        <f>IF(AN2970=0,I2970,0)</f>
      </c>
      <c r="AK2970" s="111">
        <f>IF(AN2970=12,I2970,0)</f>
      </c>
      <c r="AL2970" s="111">
        <f>IF(AN2970=21,I2970,0)</f>
      </c>
      <c r="AN2970" s="111" t="n">
        <v>21</v>
      </c>
      <c r="AO2970" s="111">
        <f>H2970*0</f>
      </c>
      <c r="AP2970" s="111">
        <f>H2970*(1-0)</f>
      </c>
      <c r="AQ2970" s="153" t="s">
        <v>140</v>
      </c>
      <c r="AV2970" s="111">
        <f>AW2970+AX2970</f>
      </c>
      <c r="AW2970" s="111">
        <f>G2970*AO2970</f>
      </c>
      <c r="AX2970" s="111">
        <f>G2970*AP2970</f>
      </c>
      <c r="AY2970" s="153" t="s">
        <v>4112</v>
      </c>
      <c r="AZ2970" s="153" t="s">
        <v>4606</v>
      </c>
      <c r="BA2970" s="132" t="s">
        <v>4594</v>
      </c>
      <c r="BC2970" s="111">
        <f>AW2970+AX2970</f>
      </c>
      <c r="BD2970" s="111">
        <f>H2970/(100-BE2970)*100</f>
      </c>
      <c r="BE2970" s="111" t="n">
        <v>0</v>
      </c>
      <c r="BF2970" s="111">
        <f>2970</f>
      </c>
      <c r="BH2970" s="111">
        <f>G2970*AO2970</f>
      </c>
      <c r="BI2970" s="111">
        <f>G2970*AP2970</f>
      </c>
      <c r="BJ2970" s="111">
        <f>G2970*H2970</f>
      </c>
      <c r="BK2970" s="111"/>
      <c r="BL2970" s="111"/>
      <c r="BW2970" s="111" t="n">
        <v>21</v>
      </c>
      <c r="BX2970" s="14" t="s">
        <v>4746</v>
      </c>
    </row>
    <row r="2971" customHeight="true" ht="13.5">
      <c r="A2971" s="159"/>
      <c r="C2971" s="160" t="s">
        <v>146</v>
      </c>
      <c r="D2971" s="161" t="s">
        <v>4743</v>
      </c>
      <c r="E2971" s="156"/>
      <c r="F2971" s="156"/>
      <c r="G2971" s="156"/>
      <c r="H2971" s="162"/>
      <c r="I2971" s="156"/>
      <c r="J2971" s="156"/>
      <c r="K2971" s="163"/>
    </row>
    <row r="2972">
      <c r="A2972" s="154"/>
      <c r="B2972" s="155"/>
      <c r="C2972" s="155"/>
      <c r="D2972" s="156" t="s">
        <v>914</v>
      </c>
      <c r="E2972" s="156" t="s">
        <v>4726</v>
      </c>
      <c r="F2972" s="155"/>
      <c r="G2972" s="157" t="n">
        <v>120</v>
      </c>
      <c r="H2972" s="158"/>
      <c r="I2972" s="155"/>
      <c r="J2972" s="155"/>
      <c r="K2972" s="146"/>
    </row>
    <row r="2973">
      <c r="A2973" s="9" t="s">
        <v>4747</v>
      </c>
      <c r="B2973" s="10" t="s">
        <v>93</v>
      </c>
      <c r="C2973" s="10" t="s">
        <v>4748</v>
      </c>
      <c r="D2973" s="14" t="s">
        <v>4749</v>
      </c>
      <c r="E2973" s="10"/>
      <c r="F2973" s="10" t="s">
        <v>133</v>
      </c>
      <c r="G2973" s="111" t="n">
        <v>12</v>
      </c>
      <c r="H2973" s="152" t="n">
        <v>0</v>
      </c>
      <c r="I2973" s="111">
        <f>G2973*H2973</f>
      </c>
      <c r="J2973" s="153" t="s">
        <v>134</v>
      </c>
      <c r="K2973" s="146"/>
      <c r="Z2973" s="111">
        <f>IF(AQ2973="5",BJ2973,0)</f>
      </c>
      <c r="AB2973" s="111">
        <f>IF(AQ2973="1",BH2973,0)</f>
      </c>
      <c r="AC2973" s="111">
        <f>IF(AQ2973="1",BI2973,0)</f>
      </c>
      <c r="AD2973" s="111">
        <f>IF(AQ2973="7",BH2973,0)</f>
      </c>
      <c r="AE2973" s="111">
        <f>IF(AQ2973="7",BI2973,0)</f>
      </c>
      <c r="AF2973" s="111">
        <f>IF(AQ2973="2",BH2973,0)</f>
      </c>
      <c r="AG2973" s="111">
        <f>IF(AQ2973="2",BI2973,0)</f>
      </c>
      <c r="AH2973" s="111">
        <f>IF(AQ2973="0",BJ2973,0)</f>
      </c>
      <c r="AI2973" s="132" t="s">
        <v>93</v>
      </c>
      <c r="AJ2973" s="111">
        <f>IF(AN2973=0,I2973,0)</f>
      </c>
      <c r="AK2973" s="111">
        <f>IF(AN2973=12,I2973,0)</f>
      </c>
      <c r="AL2973" s="111">
        <f>IF(AN2973=21,I2973,0)</f>
      </c>
      <c r="AN2973" s="111" t="n">
        <v>21</v>
      </c>
      <c r="AO2973" s="111">
        <f>H2973*0</f>
      </c>
      <c r="AP2973" s="111">
        <f>H2973*(1-0)</f>
      </c>
      <c r="AQ2973" s="153" t="s">
        <v>140</v>
      </c>
      <c r="AV2973" s="111">
        <f>AW2973+AX2973</f>
      </c>
      <c r="AW2973" s="111">
        <f>G2973*AO2973</f>
      </c>
      <c r="AX2973" s="111">
        <f>G2973*AP2973</f>
      </c>
      <c r="AY2973" s="153" t="s">
        <v>4112</v>
      </c>
      <c r="AZ2973" s="153" t="s">
        <v>4606</v>
      </c>
      <c r="BA2973" s="132" t="s">
        <v>4594</v>
      </c>
      <c r="BC2973" s="111">
        <f>AW2973+AX2973</f>
      </c>
      <c r="BD2973" s="111">
        <f>H2973/(100-BE2973)*100</f>
      </c>
      <c r="BE2973" s="111" t="n">
        <v>0</v>
      </c>
      <c r="BF2973" s="111">
        <f>2973</f>
      </c>
      <c r="BH2973" s="111">
        <f>G2973*AO2973</f>
      </c>
      <c r="BI2973" s="111">
        <f>G2973*AP2973</f>
      </c>
      <c r="BJ2973" s="111">
        <f>G2973*H2973</f>
      </c>
      <c r="BK2973" s="111"/>
      <c r="BL2973" s="111"/>
      <c r="BW2973" s="111" t="n">
        <v>21</v>
      </c>
      <c r="BX2973" s="14" t="s">
        <v>4749</v>
      </c>
    </row>
    <row r="2974" customHeight="true" ht="13.5">
      <c r="A2974" s="159"/>
      <c r="C2974" s="160" t="s">
        <v>146</v>
      </c>
      <c r="D2974" s="161" t="s">
        <v>4750</v>
      </c>
      <c r="E2974" s="156"/>
      <c r="F2974" s="156"/>
      <c r="G2974" s="156"/>
      <c r="H2974" s="162"/>
      <c r="I2974" s="156"/>
      <c r="J2974" s="156"/>
      <c r="K2974" s="163"/>
    </row>
    <row r="2975">
      <c r="A2975" s="9" t="s">
        <v>4751</v>
      </c>
      <c r="B2975" s="10" t="s">
        <v>93</v>
      </c>
      <c r="C2975" s="10" t="s">
        <v>4752</v>
      </c>
      <c r="D2975" s="14" t="s">
        <v>4753</v>
      </c>
      <c r="E2975" s="10"/>
      <c r="F2975" s="10" t="s">
        <v>133</v>
      </c>
      <c r="G2975" s="111" t="n">
        <v>31</v>
      </c>
      <c r="H2975" s="152" t="n">
        <v>0</v>
      </c>
      <c r="I2975" s="111">
        <f>G2975*H2975</f>
      </c>
      <c r="J2975" s="153" t="s">
        <v>134</v>
      </c>
      <c r="K2975" s="146"/>
      <c r="Z2975" s="111">
        <f>IF(AQ2975="5",BJ2975,0)</f>
      </c>
      <c r="AB2975" s="111">
        <f>IF(AQ2975="1",BH2975,0)</f>
      </c>
      <c r="AC2975" s="111">
        <f>IF(AQ2975="1",BI2975,0)</f>
      </c>
      <c r="AD2975" s="111">
        <f>IF(AQ2975="7",BH2975,0)</f>
      </c>
      <c r="AE2975" s="111">
        <f>IF(AQ2975="7",BI2975,0)</f>
      </c>
      <c r="AF2975" s="111">
        <f>IF(AQ2975="2",BH2975,0)</f>
      </c>
      <c r="AG2975" s="111">
        <f>IF(AQ2975="2",BI2975,0)</f>
      </c>
      <c r="AH2975" s="111">
        <f>IF(AQ2975="0",BJ2975,0)</f>
      </c>
      <c r="AI2975" s="132" t="s">
        <v>93</v>
      </c>
      <c r="AJ2975" s="111">
        <f>IF(AN2975=0,I2975,0)</f>
      </c>
      <c r="AK2975" s="111">
        <f>IF(AN2975=12,I2975,0)</f>
      </c>
      <c r="AL2975" s="111">
        <f>IF(AN2975=21,I2975,0)</f>
      </c>
      <c r="AN2975" s="111" t="n">
        <v>21</v>
      </c>
      <c r="AO2975" s="111">
        <f>H2975*0</f>
      </c>
      <c r="AP2975" s="111">
        <f>H2975*(1-0)</f>
      </c>
      <c r="AQ2975" s="153" t="s">
        <v>140</v>
      </c>
      <c r="AV2975" s="111">
        <f>AW2975+AX2975</f>
      </c>
      <c r="AW2975" s="111">
        <f>G2975*AO2975</f>
      </c>
      <c r="AX2975" s="111">
        <f>G2975*AP2975</f>
      </c>
      <c r="AY2975" s="153" t="s">
        <v>4112</v>
      </c>
      <c r="AZ2975" s="153" t="s">
        <v>4606</v>
      </c>
      <c r="BA2975" s="132" t="s">
        <v>4594</v>
      </c>
      <c r="BC2975" s="111">
        <f>AW2975+AX2975</f>
      </c>
      <c r="BD2975" s="111">
        <f>H2975/(100-BE2975)*100</f>
      </c>
      <c r="BE2975" s="111" t="n">
        <v>0</v>
      </c>
      <c r="BF2975" s="111">
        <f>2975</f>
      </c>
      <c r="BH2975" s="111">
        <f>G2975*AO2975</f>
      </c>
      <c r="BI2975" s="111">
        <f>G2975*AP2975</f>
      </c>
      <c r="BJ2975" s="111">
        <f>G2975*H2975</f>
      </c>
      <c r="BK2975" s="111"/>
      <c r="BL2975" s="111"/>
      <c r="BW2975" s="111" t="n">
        <v>21</v>
      </c>
      <c r="BX2975" s="14" t="s">
        <v>4753</v>
      </c>
    </row>
    <row r="2976" customHeight="true" ht="13.5">
      <c r="A2976" s="159"/>
      <c r="C2976" s="160" t="s">
        <v>146</v>
      </c>
      <c r="D2976" s="161" t="s">
        <v>4754</v>
      </c>
      <c r="E2976" s="156"/>
      <c r="F2976" s="156"/>
      <c r="G2976" s="156"/>
      <c r="H2976" s="162"/>
      <c r="I2976" s="156"/>
      <c r="J2976" s="156"/>
      <c r="K2976" s="163"/>
    </row>
    <row r="2977">
      <c r="A2977" s="154"/>
      <c r="B2977" s="155"/>
      <c r="C2977" s="155"/>
      <c r="D2977" s="156" t="s">
        <v>348</v>
      </c>
      <c r="E2977" s="156" t="s">
        <v>4755</v>
      </c>
      <c r="F2977" s="155"/>
      <c r="G2977" s="157" t="n">
        <v>31</v>
      </c>
      <c r="H2977" s="158"/>
      <c r="I2977" s="155"/>
      <c r="J2977" s="155"/>
      <c r="K2977" s="146"/>
    </row>
    <row r="2978">
      <c r="A2978" s="9" t="s">
        <v>4756</v>
      </c>
      <c r="B2978" s="10" t="s">
        <v>93</v>
      </c>
      <c r="C2978" s="10" t="s">
        <v>4757</v>
      </c>
      <c r="D2978" s="14" t="s">
        <v>4758</v>
      </c>
      <c r="E2978" s="10"/>
      <c r="F2978" s="10" t="s">
        <v>133</v>
      </c>
      <c r="G2978" s="111" t="n">
        <v>10</v>
      </c>
      <c r="H2978" s="152" t="n">
        <v>0</v>
      </c>
      <c r="I2978" s="111">
        <f>G2978*H2978</f>
      </c>
      <c r="J2978" s="153" t="s">
        <v>134</v>
      </c>
      <c r="K2978" s="146"/>
      <c r="Z2978" s="111">
        <f>IF(AQ2978="5",BJ2978,0)</f>
      </c>
      <c r="AB2978" s="111">
        <f>IF(AQ2978="1",BH2978,0)</f>
      </c>
      <c r="AC2978" s="111">
        <f>IF(AQ2978="1",BI2978,0)</f>
      </c>
      <c r="AD2978" s="111">
        <f>IF(AQ2978="7",BH2978,0)</f>
      </c>
      <c r="AE2978" s="111">
        <f>IF(AQ2978="7",BI2978,0)</f>
      </c>
      <c r="AF2978" s="111">
        <f>IF(AQ2978="2",BH2978,0)</f>
      </c>
      <c r="AG2978" s="111">
        <f>IF(AQ2978="2",BI2978,0)</f>
      </c>
      <c r="AH2978" s="111">
        <f>IF(AQ2978="0",BJ2978,0)</f>
      </c>
      <c r="AI2978" s="132" t="s">
        <v>93</v>
      </c>
      <c r="AJ2978" s="111">
        <f>IF(AN2978=0,I2978,0)</f>
      </c>
      <c r="AK2978" s="111">
        <f>IF(AN2978=12,I2978,0)</f>
      </c>
      <c r="AL2978" s="111">
        <f>IF(AN2978=21,I2978,0)</f>
      </c>
      <c r="AN2978" s="111" t="n">
        <v>21</v>
      </c>
      <c r="AO2978" s="111">
        <f>H2978*0</f>
      </c>
      <c r="AP2978" s="111">
        <f>H2978*(1-0)</f>
      </c>
      <c r="AQ2978" s="153" t="s">
        <v>140</v>
      </c>
      <c r="AV2978" s="111">
        <f>AW2978+AX2978</f>
      </c>
      <c r="AW2978" s="111">
        <f>G2978*AO2978</f>
      </c>
      <c r="AX2978" s="111">
        <f>G2978*AP2978</f>
      </c>
      <c r="AY2978" s="153" t="s">
        <v>4112</v>
      </c>
      <c r="AZ2978" s="153" t="s">
        <v>4606</v>
      </c>
      <c r="BA2978" s="132" t="s">
        <v>4594</v>
      </c>
      <c r="BC2978" s="111">
        <f>AW2978+AX2978</f>
      </c>
      <c r="BD2978" s="111">
        <f>H2978/(100-BE2978)*100</f>
      </c>
      <c r="BE2978" s="111" t="n">
        <v>0</v>
      </c>
      <c r="BF2978" s="111">
        <f>2978</f>
      </c>
      <c r="BH2978" s="111">
        <f>G2978*AO2978</f>
      </c>
      <c r="BI2978" s="111">
        <f>G2978*AP2978</f>
      </c>
      <c r="BJ2978" s="111">
        <f>G2978*H2978</f>
      </c>
      <c r="BK2978" s="111"/>
      <c r="BL2978" s="111"/>
      <c r="BW2978" s="111" t="n">
        <v>21</v>
      </c>
      <c r="BX2978" s="14" t="s">
        <v>4758</v>
      </c>
    </row>
    <row r="2979" customHeight="true" ht="13.5">
      <c r="A2979" s="159"/>
      <c r="C2979" s="160" t="s">
        <v>146</v>
      </c>
      <c r="D2979" s="161" t="s">
        <v>4759</v>
      </c>
      <c r="E2979" s="156"/>
      <c r="F2979" s="156"/>
      <c r="G2979" s="156"/>
      <c r="H2979" s="162"/>
      <c r="I2979" s="156"/>
      <c r="J2979" s="156"/>
      <c r="K2979" s="163"/>
    </row>
    <row r="2980">
      <c r="A2980" s="154"/>
      <c r="B2980" s="155"/>
      <c r="C2980" s="155"/>
      <c r="D2980" s="156" t="s">
        <v>186</v>
      </c>
      <c r="E2980" s="156" t="s">
        <v>4726</v>
      </c>
      <c r="F2980" s="155"/>
      <c r="G2980" s="157" t="n">
        <v>10</v>
      </c>
      <c r="H2980" s="158"/>
      <c r="I2980" s="155"/>
      <c r="J2980" s="155"/>
      <c r="K2980" s="146"/>
    </row>
    <row r="2981">
      <c r="A2981" s="9" t="s">
        <v>4760</v>
      </c>
      <c r="B2981" s="10" t="s">
        <v>93</v>
      </c>
      <c r="C2981" s="10" t="s">
        <v>4761</v>
      </c>
      <c r="D2981" s="14" t="s">
        <v>4762</v>
      </c>
      <c r="E2981" s="10"/>
      <c r="F2981" s="10" t="s">
        <v>133</v>
      </c>
      <c r="G2981" s="111" t="n">
        <v>4</v>
      </c>
      <c r="H2981" s="152" t="n">
        <v>0</v>
      </c>
      <c r="I2981" s="111">
        <f>G2981*H2981</f>
      </c>
      <c r="J2981" s="153" t="s">
        <v>134</v>
      </c>
      <c r="K2981" s="146"/>
      <c r="Z2981" s="111">
        <f>IF(AQ2981="5",BJ2981,0)</f>
      </c>
      <c r="AB2981" s="111">
        <f>IF(AQ2981="1",BH2981,0)</f>
      </c>
      <c r="AC2981" s="111">
        <f>IF(AQ2981="1",BI2981,0)</f>
      </c>
      <c r="AD2981" s="111">
        <f>IF(AQ2981="7",BH2981,0)</f>
      </c>
      <c r="AE2981" s="111">
        <f>IF(AQ2981="7",BI2981,0)</f>
      </c>
      <c r="AF2981" s="111">
        <f>IF(AQ2981="2",BH2981,0)</f>
      </c>
      <c r="AG2981" s="111">
        <f>IF(AQ2981="2",BI2981,0)</f>
      </c>
      <c r="AH2981" s="111">
        <f>IF(AQ2981="0",BJ2981,0)</f>
      </c>
      <c r="AI2981" s="132" t="s">
        <v>93</v>
      </c>
      <c r="AJ2981" s="111">
        <f>IF(AN2981=0,I2981,0)</f>
      </c>
      <c r="AK2981" s="111">
        <f>IF(AN2981=12,I2981,0)</f>
      </c>
      <c r="AL2981" s="111">
        <f>IF(AN2981=21,I2981,0)</f>
      </c>
      <c r="AN2981" s="111" t="n">
        <v>21</v>
      </c>
      <c r="AO2981" s="111">
        <f>H2981*0</f>
      </c>
      <c r="AP2981" s="111">
        <f>H2981*(1-0)</f>
      </c>
      <c r="AQ2981" s="153" t="s">
        <v>140</v>
      </c>
      <c r="AV2981" s="111">
        <f>AW2981+AX2981</f>
      </c>
      <c r="AW2981" s="111">
        <f>G2981*AO2981</f>
      </c>
      <c r="AX2981" s="111">
        <f>G2981*AP2981</f>
      </c>
      <c r="AY2981" s="153" t="s">
        <v>4112</v>
      </c>
      <c r="AZ2981" s="153" t="s">
        <v>4606</v>
      </c>
      <c r="BA2981" s="132" t="s">
        <v>4594</v>
      </c>
      <c r="BC2981" s="111">
        <f>AW2981+AX2981</f>
      </c>
      <c r="BD2981" s="111">
        <f>H2981/(100-BE2981)*100</f>
      </c>
      <c r="BE2981" s="111" t="n">
        <v>0</v>
      </c>
      <c r="BF2981" s="111">
        <f>2981</f>
      </c>
      <c r="BH2981" s="111">
        <f>G2981*AO2981</f>
      </c>
      <c r="BI2981" s="111">
        <f>G2981*AP2981</f>
      </c>
      <c r="BJ2981" s="111">
        <f>G2981*H2981</f>
      </c>
      <c r="BK2981" s="111"/>
      <c r="BL2981" s="111"/>
      <c r="BW2981" s="111" t="n">
        <v>21</v>
      </c>
      <c r="BX2981" s="14" t="s">
        <v>4762</v>
      </c>
    </row>
    <row r="2982" customHeight="true" ht="13.5">
      <c r="A2982" s="159"/>
      <c r="C2982" s="160" t="s">
        <v>146</v>
      </c>
      <c r="D2982" s="161" t="s">
        <v>4763</v>
      </c>
      <c r="E2982" s="156"/>
      <c r="F2982" s="156"/>
      <c r="G2982" s="156"/>
      <c r="H2982" s="162"/>
      <c r="I2982" s="156"/>
      <c r="J2982" s="156"/>
      <c r="K2982" s="163"/>
    </row>
    <row r="2983">
      <c r="A2983" s="154"/>
      <c r="B2983" s="155"/>
      <c r="C2983" s="155"/>
      <c r="D2983" s="156" t="s">
        <v>149</v>
      </c>
      <c r="E2983" s="156" t="s">
        <v>4726</v>
      </c>
      <c r="F2983" s="155"/>
      <c r="G2983" s="157" t="n">
        <v>4</v>
      </c>
      <c r="H2983" s="158"/>
      <c r="I2983" s="155"/>
      <c r="J2983" s="155"/>
      <c r="K2983" s="146"/>
    </row>
    <row r="2984">
      <c r="A2984" s="9" t="s">
        <v>4764</v>
      </c>
      <c r="B2984" s="10" t="s">
        <v>93</v>
      </c>
      <c r="C2984" s="10" t="s">
        <v>4761</v>
      </c>
      <c r="D2984" s="14" t="s">
        <v>4765</v>
      </c>
      <c r="E2984" s="10"/>
      <c r="F2984" s="10" t="s">
        <v>133</v>
      </c>
      <c r="G2984" s="111" t="n">
        <v>6</v>
      </c>
      <c r="H2984" s="152" t="n">
        <v>0</v>
      </c>
      <c r="I2984" s="111">
        <f>G2984*H2984</f>
      </c>
      <c r="J2984" s="153" t="s">
        <v>134</v>
      </c>
      <c r="K2984" s="146"/>
      <c r="Z2984" s="111">
        <f>IF(AQ2984="5",BJ2984,0)</f>
      </c>
      <c r="AB2984" s="111">
        <f>IF(AQ2984="1",BH2984,0)</f>
      </c>
      <c r="AC2984" s="111">
        <f>IF(AQ2984="1",BI2984,0)</f>
      </c>
      <c r="AD2984" s="111">
        <f>IF(AQ2984="7",BH2984,0)</f>
      </c>
      <c r="AE2984" s="111">
        <f>IF(AQ2984="7",BI2984,0)</f>
      </c>
      <c r="AF2984" s="111">
        <f>IF(AQ2984="2",BH2984,0)</f>
      </c>
      <c r="AG2984" s="111">
        <f>IF(AQ2984="2",BI2984,0)</f>
      </c>
      <c r="AH2984" s="111">
        <f>IF(AQ2984="0",BJ2984,0)</f>
      </c>
      <c r="AI2984" s="132" t="s">
        <v>93</v>
      </c>
      <c r="AJ2984" s="111">
        <f>IF(AN2984=0,I2984,0)</f>
      </c>
      <c r="AK2984" s="111">
        <f>IF(AN2984=12,I2984,0)</f>
      </c>
      <c r="AL2984" s="111">
        <f>IF(AN2984=21,I2984,0)</f>
      </c>
      <c r="AN2984" s="111" t="n">
        <v>21</v>
      </c>
      <c r="AO2984" s="111">
        <f>H2984*0</f>
      </c>
      <c r="AP2984" s="111">
        <f>H2984*(1-0)</f>
      </c>
      <c r="AQ2984" s="153" t="s">
        <v>140</v>
      </c>
      <c r="AV2984" s="111">
        <f>AW2984+AX2984</f>
      </c>
      <c r="AW2984" s="111">
        <f>G2984*AO2984</f>
      </c>
      <c r="AX2984" s="111">
        <f>G2984*AP2984</f>
      </c>
      <c r="AY2984" s="153" t="s">
        <v>4112</v>
      </c>
      <c r="AZ2984" s="153" t="s">
        <v>4606</v>
      </c>
      <c r="BA2984" s="132" t="s">
        <v>4594</v>
      </c>
      <c r="BC2984" s="111">
        <f>AW2984+AX2984</f>
      </c>
      <c r="BD2984" s="111">
        <f>H2984/(100-BE2984)*100</f>
      </c>
      <c r="BE2984" s="111" t="n">
        <v>0</v>
      </c>
      <c r="BF2984" s="111">
        <f>2984</f>
      </c>
      <c r="BH2984" s="111">
        <f>G2984*AO2984</f>
      </c>
      <c r="BI2984" s="111">
        <f>G2984*AP2984</f>
      </c>
      <c r="BJ2984" s="111">
        <f>G2984*H2984</f>
      </c>
      <c r="BK2984" s="111"/>
      <c r="BL2984" s="111"/>
      <c r="BW2984" s="111" t="n">
        <v>21</v>
      </c>
      <c r="BX2984" s="14" t="s">
        <v>4765</v>
      </c>
    </row>
    <row r="2985" customHeight="true" ht="13.5">
      <c r="A2985" s="159"/>
      <c r="C2985" s="160" t="s">
        <v>146</v>
      </c>
      <c r="D2985" s="161" t="s">
        <v>4766</v>
      </c>
      <c r="E2985" s="156"/>
      <c r="F2985" s="156"/>
      <c r="G2985" s="156"/>
      <c r="H2985" s="162"/>
      <c r="I2985" s="156"/>
      <c r="J2985" s="156"/>
      <c r="K2985" s="163"/>
    </row>
    <row r="2986">
      <c r="A2986" s="154"/>
      <c r="B2986" s="155"/>
      <c r="C2986" s="155"/>
      <c r="D2986" s="156" t="s">
        <v>165</v>
      </c>
      <c r="E2986" s="156" t="s">
        <v>4726</v>
      </c>
      <c r="F2986" s="155"/>
      <c r="G2986" s="157" t="n">
        <v>6</v>
      </c>
      <c r="H2986" s="158"/>
      <c r="I2986" s="155"/>
      <c r="J2986" s="155"/>
      <c r="K2986" s="146"/>
    </row>
    <row r="2987">
      <c r="A2987" s="9" t="s">
        <v>4767</v>
      </c>
      <c r="B2987" s="10" t="s">
        <v>93</v>
      </c>
      <c r="C2987" s="10" t="s">
        <v>4768</v>
      </c>
      <c r="D2987" s="14" t="s">
        <v>4769</v>
      </c>
      <c r="E2987" s="10"/>
      <c r="F2987" s="10" t="s">
        <v>133</v>
      </c>
      <c r="G2987" s="111" t="n">
        <v>11</v>
      </c>
      <c r="H2987" s="152" t="n">
        <v>0</v>
      </c>
      <c r="I2987" s="111">
        <f>G2987*H2987</f>
      </c>
      <c r="J2987" s="153" t="s">
        <v>134</v>
      </c>
      <c r="K2987" s="146"/>
      <c r="Z2987" s="111">
        <f>IF(AQ2987="5",BJ2987,0)</f>
      </c>
      <c r="AB2987" s="111">
        <f>IF(AQ2987="1",BH2987,0)</f>
      </c>
      <c r="AC2987" s="111">
        <f>IF(AQ2987="1",BI2987,0)</f>
      </c>
      <c r="AD2987" s="111">
        <f>IF(AQ2987="7",BH2987,0)</f>
      </c>
      <c r="AE2987" s="111">
        <f>IF(AQ2987="7",BI2987,0)</f>
      </c>
      <c r="AF2987" s="111">
        <f>IF(AQ2987="2",BH2987,0)</f>
      </c>
      <c r="AG2987" s="111">
        <f>IF(AQ2987="2",BI2987,0)</f>
      </c>
      <c r="AH2987" s="111">
        <f>IF(AQ2987="0",BJ2987,0)</f>
      </c>
      <c r="AI2987" s="132" t="s">
        <v>93</v>
      </c>
      <c r="AJ2987" s="111">
        <f>IF(AN2987=0,I2987,0)</f>
      </c>
      <c r="AK2987" s="111">
        <f>IF(AN2987=12,I2987,0)</f>
      </c>
      <c r="AL2987" s="111">
        <f>IF(AN2987=21,I2987,0)</f>
      </c>
      <c r="AN2987" s="111" t="n">
        <v>21</v>
      </c>
      <c r="AO2987" s="111">
        <f>H2987*0</f>
      </c>
      <c r="AP2987" s="111">
        <f>H2987*(1-0)</f>
      </c>
      <c r="AQ2987" s="153" t="s">
        <v>140</v>
      </c>
      <c r="AV2987" s="111">
        <f>AW2987+AX2987</f>
      </c>
      <c r="AW2987" s="111">
        <f>G2987*AO2987</f>
      </c>
      <c r="AX2987" s="111">
        <f>G2987*AP2987</f>
      </c>
      <c r="AY2987" s="153" t="s">
        <v>4112</v>
      </c>
      <c r="AZ2987" s="153" t="s">
        <v>4606</v>
      </c>
      <c r="BA2987" s="132" t="s">
        <v>4594</v>
      </c>
      <c r="BC2987" s="111">
        <f>AW2987+AX2987</f>
      </c>
      <c r="BD2987" s="111">
        <f>H2987/(100-BE2987)*100</f>
      </c>
      <c r="BE2987" s="111" t="n">
        <v>0</v>
      </c>
      <c r="BF2987" s="111">
        <f>2987</f>
      </c>
      <c r="BH2987" s="111">
        <f>G2987*AO2987</f>
      </c>
      <c r="BI2987" s="111">
        <f>G2987*AP2987</f>
      </c>
      <c r="BJ2987" s="111">
        <f>G2987*H2987</f>
      </c>
      <c r="BK2987" s="111"/>
      <c r="BL2987" s="111"/>
      <c r="BW2987" s="111" t="n">
        <v>21</v>
      </c>
      <c r="BX2987" s="14" t="s">
        <v>4769</v>
      </c>
    </row>
    <row r="2988" customHeight="true" ht="13.5">
      <c r="A2988" s="159"/>
      <c r="C2988" s="160" t="s">
        <v>146</v>
      </c>
      <c r="D2988" s="161" t="s">
        <v>4770</v>
      </c>
      <c r="E2988" s="156"/>
      <c r="F2988" s="156"/>
      <c r="G2988" s="156"/>
      <c r="H2988" s="162"/>
      <c r="I2988" s="156"/>
      <c r="J2988" s="156"/>
      <c r="K2988" s="163"/>
    </row>
    <row r="2989">
      <c r="A2989" s="154"/>
      <c r="B2989" s="155"/>
      <c r="C2989" s="155"/>
      <c r="D2989" s="156" t="s">
        <v>128</v>
      </c>
      <c r="E2989" s="156" t="s">
        <v>4726</v>
      </c>
      <c r="F2989" s="155"/>
      <c r="G2989" s="157" t="n">
        <v>11</v>
      </c>
      <c r="H2989" s="158"/>
      <c r="I2989" s="155"/>
      <c r="J2989" s="155"/>
      <c r="K2989" s="146"/>
    </row>
    <row r="2990">
      <c r="A2990" s="9" t="s">
        <v>4771</v>
      </c>
      <c r="B2990" s="10" t="s">
        <v>93</v>
      </c>
      <c r="C2990" s="10" t="s">
        <v>4772</v>
      </c>
      <c r="D2990" s="14" t="s">
        <v>4773</v>
      </c>
      <c r="E2990" s="10"/>
      <c r="F2990" s="10" t="s">
        <v>133</v>
      </c>
      <c r="G2990" s="111" t="n">
        <v>2</v>
      </c>
      <c r="H2990" s="152" t="n">
        <v>0</v>
      </c>
      <c r="I2990" s="111">
        <f>G2990*H2990</f>
      </c>
      <c r="J2990" s="153" t="s">
        <v>134</v>
      </c>
      <c r="K2990" s="146"/>
      <c r="Z2990" s="111">
        <f>IF(AQ2990="5",BJ2990,0)</f>
      </c>
      <c r="AB2990" s="111">
        <f>IF(AQ2990="1",BH2990,0)</f>
      </c>
      <c r="AC2990" s="111">
        <f>IF(AQ2990="1",BI2990,0)</f>
      </c>
      <c r="AD2990" s="111">
        <f>IF(AQ2990="7",BH2990,0)</f>
      </c>
      <c r="AE2990" s="111">
        <f>IF(AQ2990="7",BI2990,0)</f>
      </c>
      <c r="AF2990" s="111">
        <f>IF(AQ2990="2",BH2990,0)</f>
      </c>
      <c r="AG2990" s="111">
        <f>IF(AQ2990="2",BI2990,0)</f>
      </c>
      <c r="AH2990" s="111">
        <f>IF(AQ2990="0",BJ2990,0)</f>
      </c>
      <c r="AI2990" s="132" t="s">
        <v>93</v>
      </c>
      <c r="AJ2990" s="111">
        <f>IF(AN2990=0,I2990,0)</f>
      </c>
      <c r="AK2990" s="111">
        <f>IF(AN2990=12,I2990,0)</f>
      </c>
      <c r="AL2990" s="111">
        <f>IF(AN2990=21,I2990,0)</f>
      </c>
      <c r="AN2990" s="111" t="n">
        <v>21</v>
      </c>
      <c r="AO2990" s="111">
        <f>H2990*0</f>
      </c>
      <c r="AP2990" s="111">
        <f>H2990*(1-0)</f>
      </c>
      <c r="AQ2990" s="153" t="s">
        <v>140</v>
      </c>
      <c r="AV2990" s="111">
        <f>AW2990+AX2990</f>
      </c>
      <c r="AW2990" s="111">
        <f>G2990*AO2990</f>
      </c>
      <c r="AX2990" s="111">
        <f>G2990*AP2990</f>
      </c>
      <c r="AY2990" s="153" t="s">
        <v>4112</v>
      </c>
      <c r="AZ2990" s="153" t="s">
        <v>4606</v>
      </c>
      <c r="BA2990" s="132" t="s">
        <v>4594</v>
      </c>
      <c r="BC2990" s="111">
        <f>AW2990+AX2990</f>
      </c>
      <c r="BD2990" s="111">
        <f>H2990/(100-BE2990)*100</f>
      </c>
      <c r="BE2990" s="111" t="n">
        <v>0</v>
      </c>
      <c r="BF2990" s="111">
        <f>2990</f>
      </c>
      <c r="BH2990" s="111">
        <f>G2990*AO2990</f>
      </c>
      <c r="BI2990" s="111">
        <f>G2990*AP2990</f>
      </c>
      <c r="BJ2990" s="111">
        <f>G2990*H2990</f>
      </c>
      <c r="BK2990" s="111"/>
      <c r="BL2990" s="111"/>
      <c r="BW2990" s="111" t="n">
        <v>21</v>
      </c>
      <c r="BX2990" s="14" t="s">
        <v>4773</v>
      </c>
    </row>
    <row r="2991" customHeight="true" ht="13.5">
      <c r="A2991" s="159"/>
      <c r="C2991" s="160" t="s">
        <v>146</v>
      </c>
      <c r="D2991" s="161" t="s">
        <v>4774</v>
      </c>
      <c r="E2991" s="156"/>
      <c r="F2991" s="156"/>
      <c r="G2991" s="156"/>
      <c r="H2991" s="162"/>
      <c r="I2991" s="156"/>
      <c r="J2991" s="156"/>
      <c r="K2991" s="163"/>
    </row>
    <row r="2992">
      <c r="A2992" s="154"/>
      <c r="B2992" s="155"/>
      <c r="C2992" s="155"/>
      <c r="D2992" s="156" t="s">
        <v>140</v>
      </c>
      <c r="E2992" s="156" t="s">
        <v>4726</v>
      </c>
      <c r="F2992" s="155"/>
      <c r="G2992" s="157" t="n">
        <v>2</v>
      </c>
      <c r="H2992" s="158"/>
      <c r="I2992" s="155"/>
      <c r="J2992" s="155"/>
      <c r="K2992" s="146"/>
    </row>
    <row r="2993">
      <c r="A2993" s="9" t="s">
        <v>4775</v>
      </c>
      <c r="B2993" s="10" t="s">
        <v>93</v>
      </c>
      <c r="C2993" s="10" t="s">
        <v>4776</v>
      </c>
      <c r="D2993" s="14" t="s">
        <v>4777</v>
      </c>
      <c r="E2993" s="10"/>
      <c r="F2993" s="10" t="s">
        <v>133</v>
      </c>
      <c r="G2993" s="111" t="n">
        <v>5</v>
      </c>
      <c r="H2993" s="152" t="n">
        <v>0</v>
      </c>
      <c r="I2993" s="111">
        <f>G2993*H2993</f>
      </c>
      <c r="J2993" s="153" t="s">
        <v>134</v>
      </c>
      <c r="K2993" s="146"/>
      <c r="Z2993" s="111">
        <f>IF(AQ2993="5",BJ2993,0)</f>
      </c>
      <c r="AB2993" s="111">
        <f>IF(AQ2993="1",BH2993,0)</f>
      </c>
      <c r="AC2993" s="111">
        <f>IF(AQ2993="1",BI2993,0)</f>
      </c>
      <c r="AD2993" s="111">
        <f>IF(AQ2993="7",BH2993,0)</f>
      </c>
      <c r="AE2993" s="111">
        <f>IF(AQ2993="7",BI2993,0)</f>
      </c>
      <c r="AF2993" s="111">
        <f>IF(AQ2993="2",BH2993,0)</f>
      </c>
      <c r="AG2993" s="111">
        <f>IF(AQ2993="2",BI2993,0)</f>
      </c>
      <c r="AH2993" s="111">
        <f>IF(AQ2993="0",BJ2993,0)</f>
      </c>
      <c r="AI2993" s="132" t="s">
        <v>93</v>
      </c>
      <c r="AJ2993" s="111">
        <f>IF(AN2993=0,I2993,0)</f>
      </c>
      <c r="AK2993" s="111">
        <f>IF(AN2993=12,I2993,0)</f>
      </c>
      <c r="AL2993" s="111">
        <f>IF(AN2993=21,I2993,0)</f>
      </c>
      <c r="AN2993" s="111" t="n">
        <v>21</v>
      </c>
      <c r="AO2993" s="111">
        <f>H2993*0</f>
      </c>
      <c r="AP2993" s="111">
        <f>H2993*(1-0)</f>
      </c>
      <c r="AQ2993" s="153" t="s">
        <v>140</v>
      </c>
      <c r="AV2993" s="111">
        <f>AW2993+AX2993</f>
      </c>
      <c r="AW2993" s="111">
        <f>G2993*AO2993</f>
      </c>
      <c r="AX2993" s="111">
        <f>G2993*AP2993</f>
      </c>
      <c r="AY2993" s="153" t="s">
        <v>4112</v>
      </c>
      <c r="AZ2993" s="153" t="s">
        <v>4606</v>
      </c>
      <c r="BA2993" s="132" t="s">
        <v>4594</v>
      </c>
      <c r="BC2993" s="111">
        <f>AW2993+AX2993</f>
      </c>
      <c r="BD2993" s="111">
        <f>H2993/(100-BE2993)*100</f>
      </c>
      <c r="BE2993" s="111" t="n">
        <v>0</v>
      </c>
      <c r="BF2993" s="111">
        <f>2993</f>
      </c>
      <c r="BH2993" s="111">
        <f>G2993*AO2993</f>
      </c>
      <c r="BI2993" s="111">
        <f>G2993*AP2993</f>
      </c>
      <c r="BJ2993" s="111">
        <f>G2993*H2993</f>
      </c>
      <c r="BK2993" s="111"/>
      <c r="BL2993" s="111"/>
      <c r="BW2993" s="111" t="n">
        <v>21</v>
      </c>
      <c r="BX2993" s="14" t="s">
        <v>4777</v>
      </c>
    </row>
    <row r="2994" customHeight="true" ht="13.5">
      <c r="A2994" s="159"/>
      <c r="C2994" s="160" t="s">
        <v>146</v>
      </c>
      <c r="D2994" s="161" t="s">
        <v>4778</v>
      </c>
      <c r="E2994" s="156"/>
      <c r="F2994" s="156"/>
      <c r="G2994" s="156"/>
      <c r="H2994" s="162"/>
      <c r="I2994" s="156"/>
      <c r="J2994" s="156"/>
      <c r="K2994" s="163"/>
    </row>
    <row r="2995">
      <c r="A2995" s="154"/>
      <c r="B2995" s="155"/>
      <c r="C2995" s="155"/>
      <c r="D2995" s="156" t="s">
        <v>156</v>
      </c>
      <c r="E2995" s="156" t="s">
        <v>4726</v>
      </c>
      <c r="F2995" s="155"/>
      <c r="G2995" s="157" t="n">
        <v>5</v>
      </c>
      <c r="H2995" s="158"/>
      <c r="I2995" s="155"/>
      <c r="J2995" s="155"/>
      <c r="K2995" s="146"/>
    </row>
    <row r="2996">
      <c r="A2996" s="9" t="s">
        <v>4779</v>
      </c>
      <c r="B2996" s="10" t="s">
        <v>93</v>
      </c>
      <c r="C2996" s="10" t="s">
        <v>4780</v>
      </c>
      <c r="D2996" s="14" t="s">
        <v>4781</v>
      </c>
      <c r="E2996" s="10"/>
      <c r="F2996" s="10" t="s">
        <v>133</v>
      </c>
      <c r="G2996" s="111" t="n">
        <v>20</v>
      </c>
      <c r="H2996" s="152" t="n">
        <v>0</v>
      </c>
      <c r="I2996" s="111">
        <f>G2996*H2996</f>
      </c>
      <c r="J2996" s="153" t="s">
        <v>134</v>
      </c>
      <c r="K2996" s="146"/>
      <c r="Z2996" s="111">
        <f>IF(AQ2996="5",BJ2996,0)</f>
      </c>
      <c r="AB2996" s="111">
        <f>IF(AQ2996="1",BH2996,0)</f>
      </c>
      <c r="AC2996" s="111">
        <f>IF(AQ2996="1",BI2996,0)</f>
      </c>
      <c r="AD2996" s="111">
        <f>IF(AQ2996="7",BH2996,0)</f>
      </c>
      <c r="AE2996" s="111">
        <f>IF(AQ2996="7",BI2996,0)</f>
      </c>
      <c r="AF2996" s="111">
        <f>IF(AQ2996="2",BH2996,0)</f>
      </c>
      <c r="AG2996" s="111">
        <f>IF(AQ2996="2",BI2996,0)</f>
      </c>
      <c r="AH2996" s="111">
        <f>IF(AQ2996="0",BJ2996,0)</f>
      </c>
      <c r="AI2996" s="132" t="s">
        <v>93</v>
      </c>
      <c r="AJ2996" s="111">
        <f>IF(AN2996=0,I2996,0)</f>
      </c>
      <c r="AK2996" s="111">
        <f>IF(AN2996=12,I2996,0)</f>
      </c>
      <c r="AL2996" s="111">
        <f>IF(AN2996=21,I2996,0)</f>
      </c>
      <c r="AN2996" s="111" t="n">
        <v>21</v>
      </c>
      <c r="AO2996" s="111">
        <f>H2996*0</f>
      </c>
      <c r="AP2996" s="111">
        <f>H2996*(1-0)</f>
      </c>
      <c r="AQ2996" s="153" t="s">
        <v>140</v>
      </c>
      <c r="AV2996" s="111">
        <f>AW2996+AX2996</f>
      </c>
      <c r="AW2996" s="111">
        <f>G2996*AO2996</f>
      </c>
      <c r="AX2996" s="111">
        <f>G2996*AP2996</f>
      </c>
      <c r="AY2996" s="153" t="s">
        <v>4112</v>
      </c>
      <c r="AZ2996" s="153" t="s">
        <v>4606</v>
      </c>
      <c r="BA2996" s="132" t="s">
        <v>4594</v>
      </c>
      <c r="BC2996" s="111">
        <f>AW2996+AX2996</f>
      </c>
      <c r="BD2996" s="111">
        <f>H2996/(100-BE2996)*100</f>
      </c>
      <c r="BE2996" s="111" t="n">
        <v>0</v>
      </c>
      <c r="BF2996" s="111">
        <f>2996</f>
      </c>
      <c r="BH2996" s="111">
        <f>G2996*AO2996</f>
      </c>
      <c r="BI2996" s="111">
        <f>G2996*AP2996</f>
      </c>
      <c r="BJ2996" s="111">
        <f>G2996*H2996</f>
      </c>
      <c r="BK2996" s="111"/>
      <c r="BL2996" s="111"/>
      <c r="BW2996" s="111" t="n">
        <v>21</v>
      </c>
      <c r="BX2996" s="14" t="s">
        <v>4781</v>
      </c>
    </row>
    <row r="2997" customHeight="true" ht="13.5">
      <c r="A2997" s="159"/>
      <c r="C2997" s="160" t="s">
        <v>146</v>
      </c>
      <c r="D2997" s="161" t="s">
        <v>4782</v>
      </c>
      <c r="E2997" s="156"/>
      <c r="F2997" s="156"/>
      <c r="G2997" s="156"/>
      <c r="H2997" s="162"/>
      <c r="I2997" s="156"/>
      <c r="J2997" s="156"/>
      <c r="K2997" s="163"/>
    </row>
    <row r="2998">
      <c r="A2998" s="154"/>
      <c r="B2998" s="155"/>
      <c r="C2998" s="155"/>
      <c r="D2998" s="156" t="s">
        <v>255</v>
      </c>
      <c r="E2998" s="156" t="s">
        <v>4726</v>
      </c>
      <c r="F2998" s="155"/>
      <c r="G2998" s="157" t="n">
        <v>20</v>
      </c>
      <c r="H2998" s="158"/>
      <c r="I2998" s="155"/>
      <c r="J2998" s="155"/>
      <c r="K2998" s="146"/>
    </row>
    <row r="2999">
      <c r="A2999" s="9" t="s">
        <v>4783</v>
      </c>
      <c r="B2999" s="10" t="s">
        <v>93</v>
      </c>
      <c r="C2999" s="10" t="s">
        <v>4784</v>
      </c>
      <c r="D2999" s="14" t="s">
        <v>4785</v>
      </c>
      <c r="E2999" s="10"/>
      <c r="F2999" s="10" t="s">
        <v>133</v>
      </c>
      <c r="G2999" s="111" t="n">
        <v>4</v>
      </c>
      <c r="H2999" s="152" t="n">
        <v>0</v>
      </c>
      <c r="I2999" s="111">
        <f>G2999*H2999</f>
      </c>
      <c r="J2999" s="153" t="s">
        <v>134</v>
      </c>
      <c r="K2999" s="146"/>
      <c r="Z2999" s="111">
        <f>IF(AQ2999="5",BJ2999,0)</f>
      </c>
      <c r="AB2999" s="111">
        <f>IF(AQ2999="1",BH2999,0)</f>
      </c>
      <c r="AC2999" s="111">
        <f>IF(AQ2999="1",BI2999,0)</f>
      </c>
      <c r="AD2999" s="111">
        <f>IF(AQ2999="7",BH2999,0)</f>
      </c>
      <c r="AE2999" s="111">
        <f>IF(AQ2999="7",BI2999,0)</f>
      </c>
      <c r="AF2999" s="111">
        <f>IF(AQ2999="2",BH2999,0)</f>
      </c>
      <c r="AG2999" s="111">
        <f>IF(AQ2999="2",BI2999,0)</f>
      </c>
      <c r="AH2999" s="111">
        <f>IF(AQ2999="0",BJ2999,0)</f>
      </c>
      <c r="AI2999" s="132" t="s">
        <v>93</v>
      </c>
      <c r="AJ2999" s="111">
        <f>IF(AN2999=0,I2999,0)</f>
      </c>
      <c r="AK2999" s="111">
        <f>IF(AN2999=12,I2999,0)</f>
      </c>
      <c r="AL2999" s="111">
        <f>IF(AN2999=21,I2999,0)</f>
      </c>
      <c r="AN2999" s="111" t="n">
        <v>21</v>
      </c>
      <c r="AO2999" s="111">
        <f>H2999*0</f>
      </c>
      <c r="AP2999" s="111">
        <f>H2999*(1-0)</f>
      </c>
      <c r="AQ2999" s="153" t="s">
        <v>140</v>
      </c>
      <c r="AV2999" s="111">
        <f>AW2999+AX2999</f>
      </c>
      <c r="AW2999" s="111">
        <f>G2999*AO2999</f>
      </c>
      <c r="AX2999" s="111">
        <f>G2999*AP2999</f>
      </c>
      <c r="AY2999" s="153" t="s">
        <v>4112</v>
      </c>
      <c r="AZ2999" s="153" t="s">
        <v>4606</v>
      </c>
      <c r="BA2999" s="132" t="s">
        <v>4594</v>
      </c>
      <c r="BC2999" s="111">
        <f>AW2999+AX2999</f>
      </c>
      <c r="BD2999" s="111">
        <f>H2999/(100-BE2999)*100</f>
      </c>
      <c r="BE2999" s="111" t="n">
        <v>0</v>
      </c>
      <c r="BF2999" s="111">
        <f>2999</f>
      </c>
      <c r="BH2999" s="111">
        <f>G2999*AO2999</f>
      </c>
      <c r="BI2999" s="111">
        <f>G2999*AP2999</f>
      </c>
      <c r="BJ2999" s="111">
        <f>G2999*H2999</f>
      </c>
      <c r="BK2999" s="111"/>
      <c r="BL2999" s="111"/>
      <c r="BW2999" s="111" t="n">
        <v>21</v>
      </c>
      <c r="BX2999" s="14" t="s">
        <v>4785</v>
      </c>
    </row>
    <row r="3000" customHeight="true" ht="13.5">
      <c r="A3000" s="159"/>
      <c r="C3000" s="160" t="s">
        <v>146</v>
      </c>
      <c r="D3000" s="161" t="s">
        <v>4786</v>
      </c>
      <c r="E3000" s="156"/>
      <c r="F3000" s="156"/>
      <c r="G3000" s="156"/>
      <c r="H3000" s="162"/>
      <c r="I3000" s="156"/>
      <c r="J3000" s="156"/>
      <c r="K3000" s="163"/>
    </row>
    <row r="3001">
      <c r="A3001" s="154"/>
      <c r="B3001" s="155"/>
      <c r="C3001" s="155"/>
      <c r="D3001" s="156" t="s">
        <v>149</v>
      </c>
      <c r="E3001" s="156" t="s">
        <v>4726</v>
      </c>
      <c r="F3001" s="155"/>
      <c r="G3001" s="157" t="n">
        <v>4</v>
      </c>
      <c r="H3001" s="158"/>
      <c r="I3001" s="155"/>
      <c r="J3001" s="155"/>
      <c r="K3001" s="146"/>
    </row>
    <row r="3002">
      <c r="A3002" s="9" t="s">
        <v>4787</v>
      </c>
      <c r="B3002" s="10" t="s">
        <v>93</v>
      </c>
      <c r="C3002" s="10" t="s">
        <v>4788</v>
      </c>
      <c r="D3002" s="14" t="s">
        <v>4789</v>
      </c>
      <c r="E3002" s="10"/>
      <c r="F3002" s="10" t="s">
        <v>133</v>
      </c>
      <c r="G3002" s="111" t="n">
        <v>4</v>
      </c>
      <c r="H3002" s="152" t="n">
        <v>0</v>
      </c>
      <c r="I3002" s="111">
        <f>G3002*H3002</f>
      </c>
      <c r="J3002" s="153" t="s">
        <v>134</v>
      </c>
      <c r="K3002" s="146"/>
      <c r="Z3002" s="111">
        <f>IF(AQ3002="5",BJ3002,0)</f>
      </c>
      <c r="AB3002" s="111">
        <f>IF(AQ3002="1",BH3002,0)</f>
      </c>
      <c r="AC3002" s="111">
        <f>IF(AQ3002="1",BI3002,0)</f>
      </c>
      <c r="AD3002" s="111">
        <f>IF(AQ3002="7",BH3002,0)</f>
      </c>
      <c r="AE3002" s="111">
        <f>IF(AQ3002="7",BI3002,0)</f>
      </c>
      <c r="AF3002" s="111">
        <f>IF(AQ3002="2",BH3002,0)</f>
      </c>
      <c r="AG3002" s="111">
        <f>IF(AQ3002="2",BI3002,0)</f>
      </c>
      <c r="AH3002" s="111">
        <f>IF(AQ3002="0",BJ3002,0)</f>
      </c>
      <c r="AI3002" s="132" t="s">
        <v>93</v>
      </c>
      <c r="AJ3002" s="111">
        <f>IF(AN3002=0,I3002,0)</f>
      </c>
      <c r="AK3002" s="111">
        <f>IF(AN3002=12,I3002,0)</f>
      </c>
      <c r="AL3002" s="111">
        <f>IF(AN3002=21,I3002,0)</f>
      </c>
      <c r="AN3002" s="111" t="n">
        <v>21</v>
      </c>
      <c r="AO3002" s="111">
        <f>H3002*0</f>
      </c>
      <c r="AP3002" s="111">
        <f>H3002*(1-0)</f>
      </c>
      <c r="AQ3002" s="153" t="s">
        <v>140</v>
      </c>
      <c r="AV3002" s="111">
        <f>AW3002+AX3002</f>
      </c>
      <c r="AW3002" s="111">
        <f>G3002*AO3002</f>
      </c>
      <c r="AX3002" s="111">
        <f>G3002*AP3002</f>
      </c>
      <c r="AY3002" s="153" t="s">
        <v>4112</v>
      </c>
      <c r="AZ3002" s="153" t="s">
        <v>4606</v>
      </c>
      <c r="BA3002" s="132" t="s">
        <v>4594</v>
      </c>
      <c r="BC3002" s="111">
        <f>AW3002+AX3002</f>
      </c>
      <c r="BD3002" s="111">
        <f>H3002/(100-BE3002)*100</f>
      </c>
      <c r="BE3002" s="111" t="n">
        <v>0</v>
      </c>
      <c r="BF3002" s="111">
        <f>3002</f>
      </c>
      <c r="BH3002" s="111">
        <f>G3002*AO3002</f>
      </c>
      <c r="BI3002" s="111">
        <f>G3002*AP3002</f>
      </c>
      <c r="BJ3002" s="111">
        <f>G3002*H3002</f>
      </c>
      <c r="BK3002" s="111"/>
      <c r="BL3002" s="111"/>
      <c r="BW3002" s="111" t="n">
        <v>21</v>
      </c>
      <c r="BX3002" s="14" t="s">
        <v>4789</v>
      </c>
    </row>
    <row r="3003" customHeight="true" ht="13.5">
      <c r="A3003" s="159"/>
      <c r="C3003" s="160" t="s">
        <v>146</v>
      </c>
      <c r="D3003" s="161" t="s">
        <v>4790</v>
      </c>
      <c r="E3003" s="156"/>
      <c r="F3003" s="156"/>
      <c r="G3003" s="156"/>
      <c r="H3003" s="162"/>
      <c r="I3003" s="156"/>
      <c r="J3003" s="156"/>
      <c r="K3003" s="163"/>
    </row>
    <row r="3004">
      <c r="A3004" s="154"/>
      <c r="B3004" s="155"/>
      <c r="C3004" s="155"/>
      <c r="D3004" s="156" t="s">
        <v>149</v>
      </c>
      <c r="E3004" s="156" t="s">
        <v>4726</v>
      </c>
      <c r="F3004" s="155"/>
      <c r="G3004" s="157" t="n">
        <v>4</v>
      </c>
      <c r="H3004" s="158"/>
      <c r="I3004" s="155"/>
      <c r="J3004" s="155"/>
      <c r="K3004" s="146"/>
    </row>
    <row r="3005">
      <c r="A3005" s="9" t="s">
        <v>4791</v>
      </c>
      <c r="B3005" s="10" t="s">
        <v>93</v>
      </c>
      <c r="C3005" s="10" t="s">
        <v>4792</v>
      </c>
      <c r="D3005" s="14" t="s">
        <v>4793</v>
      </c>
      <c r="E3005" s="10"/>
      <c r="F3005" s="10" t="s">
        <v>133</v>
      </c>
      <c r="G3005" s="111" t="n">
        <v>1</v>
      </c>
      <c r="H3005" s="152" t="n">
        <v>0</v>
      </c>
      <c r="I3005" s="111">
        <f>G3005*H3005</f>
      </c>
      <c r="J3005" s="153" t="s">
        <v>134</v>
      </c>
      <c r="K3005" s="146"/>
      <c r="Z3005" s="111">
        <f>IF(AQ3005="5",BJ3005,0)</f>
      </c>
      <c r="AB3005" s="111">
        <f>IF(AQ3005="1",BH3005,0)</f>
      </c>
      <c r="AC3005" s="111">
        <f>IF(AQ3005="1",BI3005,0)</f>
      </c>
      <c r="AD3005" s="111">
        <f>IF(AQ3005="7",BH3005,0)</f>
      </c>
      <c r="AE3005" s="111">
        <f>IF(AQ3005="7",BI3005,0)</f>
      </c>
      <c r="AF3005" s="111">
        <f>IF(AQ3005="2",BH3005,0)</f>
      </c>
      <c r="AG3005" s="111">
        <f>IF(AQ3005="2",BI3005,0)</f>
      </c>
      <c r="AH3005" s="111">
        <f>IF(AQ3005="0",BJ3005,0)</f>
      </c>
      <c r="AI3005" s="132" t="s">
        <v>93</v>
      </c>
      <c r="AJ3005" s="111">
        <f>IF(AN3005=0,I3005,0)</f>
      </c>
      <c r="AK3005" s="111">
        <f>IF(AN3005=12,I3005,0)</f>
      </c>
      <c r="AL3005" s="111">
        <f>IF(AN3005=21,I3005,0)</f>
      </c>
      <c r="AN3005" s="111" t="n">
        <v>21</v>
      </c>
      <c r="AO3005" s="111">
        <f>H3005*0</f>
      </c>
      <c r="AP3005" s="111">
        <f>H3005*(1-0)</f>
      </c>
      <c r="AQ3005" s="153" t="s">
        <v>140</v>
      </c>
      <c r="AV3005" s="111">
        <f>AW3005+AX3005</f>
      </c>
      <c r="AW3005" s="111">
        <f>G3005*AO3005</f>
      </c>
      <c r="AX3005" s="111">
        <f>G3005*AP3005</f>
      </c>
      <c r="AY3005" s="153" t="s">
        <v>4112</v>
      </c>
      <c r="AZ3005" s="153" t="s">
        <v>4606</v>
      </c>
      <c r="BA3005" s="132" t="s">
        <v>4594</v>
      </c>
      <c r="BC3005" s="111">
        <f>AW3005+AX3005</f>
      </c>
      <c r="BD3005" s="111">
        <f>H3005/(100-BE3005)*100</f>
      </c>
      <c r="BE3005" s="111" t="n">
        <v>0</v>
      </c>
      <c r="BF3005" s="111">
        <f>3005</f>
      </c>
      <c r="BH3005" s="111">
        <f>G3005*AO3005</f>
      </c>
      <c r="BI3005" s="111">
        <f>G3005*AP3005</f>
      </c>
      <c r="BJ3005" s="111">
        <f>G3005*H3005</f>
      </c>
      <c r="BK3005" s="111"/>
      <c r="BL3005" s="111"/>
      <c r="BW3005" s="111" t="n">
        <v>21</v>
      </c>
      <c r="BX3005" s="14" t="s">
        <v>4793</v>
      </c>
    </row>
    <row r="3006" customHeight="true" ht="13.5">
      <c r="A3006" s="159"/>
      <c r="C3006" s="160" t="s">
        <v>146</v>
      </c>
      <c r="D3006" s="161" t="s">
        <v>4734</v>
      </c>
      <c r="E3006" s="156"/>
      <c r="F3006" s="156"/>
      <c r="G3006" s="156"/>
      <c r="H3006" s="162"/>
      <c r="I3006" s="156"/>
      <c r="J3006" s="156"/>
      <c r="K3006" s="163"/>
    </row>
    <row r="3007">
      <c r="A3007" s="154"/>
      <c r="B3007" s="155"/>
      <c r="C3007" s="155"/>
      <c r="D3007" s="156" t="s">
        <v>130</v>
      </c>
      <c r="E3007" s="156" t="s">
        <v>4726</v>
      </c>
      <c r="F3007" s="155"/>
      <c r="G3007" s="157" t="n">
        <v>1</v>
      </c>
      <c r="H3007" s="158"/>
      <c r="I3007" s="155"/>
      <c r="J3007" s="155"/>
      <c r="K3007" s="146"/>
    </row>
    <row r="3008">
      <c r="A3008" s="9" t="s">
        <v>4794</v>
      </c>
      <c r="B3008" s="10" t="s">
        <v>93</v>
      </c>
      <c r="C3008" s="10" t="s">
        <v>4795</v>
      </c>
      <c r="D3008" s="14" t="s">
        <v>4796</v>
      </c>
      <c r="E3008" s="10"/>
      <c r="F3008" s="10" t="s">
        <v>133</v>
      </c>
      <c r="G3008" s="111" t="n">
        <v>1</v>
      </c>
      <c r="H3008" s="152" t="n">
        <v>0</v>
      </c>
      <c r="I3008" s="111">
        <f>G3008*H3008</f>
      </c>
      <c r="J3008" s="153" t="s">
        <v>134</v>
      </c>
      <c r="K3008" s="146"/>
      <c r="Z3008" s="111">
        <f>IF(AQ3008="5",BJ3008,0)</f>
      </c>
      <c r="AB3008" s="111">
        <f>IF(AQ3008="1",BH3008,0)</f>
      </c>
      <c r="AC3008" s="111">
        <f>IF(AQ3008="1",BI3008,0)</f>
      </c>
      <c r="AD3008" s="111">
        <f>IF(AQ3008="7",BH3008,0)</f>
      </c>
      <c r="AE3008" s="111">
        <f>IF(AQ3008="7",BI3008,0)</f>
      </c>
      <c r="AF3008" s="111">
        <f>IF(AQ3008="2",BH3008,0)</f>
      </c>
      <c r="AG3008" s="111">
        <f>IF(AQ3008="2",BI3008,0)</f>
      </c>
      <c r="AH3008" s="111">
        <f>IF(AQ3008="0",BJ3008,0)</f>
      </c>
      <c r="AI3008" s="132" t="s">
        <v>93</v>
      </c>
      <c r="AJ3008" s="111">
        <f>IF(AN3008=0,I3008,0)</f>
      </c>
      <c r="AK3008" s="111">
        <f>IF(AN3008=12,I3008,0)</f>
      </c>
      <c r="AL3008" s="111">
        <f>IF(AN3008=21,I3008,0)</f>
      </c>
      <c r="AN3008" s="111" t="n">
        <v>21</v>
      </c>
      <c r="AO3008" s="111">
        <f>H3008*0</f>
      </c>
      <c r="AP3008" s="111">
        <f>H3008*(1-0)</f>
      </c>
      <c r="AQ3008" s="153" t="s">
        <v>140</v>
      </c>
      <c r="AV3008" s="111">
        <f>AW3008+AX3008</f>
      </c>
      <c r="AW3008" s="111">
        <f>G3008*AO3008</f>
      </c>
      <c r="AX3008" s="111">
        <f>G3008*AP3008</f>
      </c>
      <c r="AY3008" s="153" t="s">
        <v>4112</v>
      </c>
      <c r="AZ3008" s="153" t="s">
        <v>4606</v>
      </c>
      <c r="BA3008" s="132" t="s">
        <v>4594</v>
      </c>
      <c r="BC3008" s="111">
        <f>AW3008+AX3008</f>
      </c>
      <c r="BD3008" s="111">
        <f>H3008/(100-BE3008)*100</f>
      </c>
      <c r="BE3008" s="111" t="n">
        <v>0</v>
      </c>
      <c r="BF3008" s="111">
        <f>3008</f>
      </c>
      <c r="BH3008" s="111">
        <f>G3008*AO3008</f>
      </c>
      <c r="BI3008" s="111">
        <f>G3008*AP3008</f>
      </c>
      <c r="BJ3008" s="111">
        <f>G3008*H3008</f>
      </c>
      <c r="BK3008" s="111"/>
      <c r="BL3008" s="111"/>
      <c r="BW3008" s="111" t="n">
        <v>21</v>
      </c>
      <c r="BX3008" s="14" t="s">
        <v>4796</v>
      </c>
    </row>
    <row r="3009" customHeight="true" ht="13.5">
      <c r="A3009" s="159"/>
      <c r="C3009" s="160" t="s">
        <v>146</v>
      </c>
      <c r="D3009" s="161" t="s">
        <v>4734</v>
      </c>
      <c r="E3009" s="156"/>
      <c r="F3009" s="156"/>
      <c r="G3009" s="156"/>
      <c r="H3009" s="162"/>
      <c r="I3009" s="156"/>
      <c r="J3009" s="156"/>
      <c r="K3009" s="163"/>
    </row>
    <row r="3010">
      <c r="A3010" s="9" t="s">
        <v>4797</v>
      </c>
      <c r="B3010" s="10" t="s">
        <v>93</v>
      </c>
      <c r="C3010" s="10" t="s">
        <v>4798</v>
      </c>
      <c r="D3010" s="14" t="s">
        <v>4799</v>
      </c>
      <c r="E3010" s="10"/>
      <c r="F3010" s="10" t="s">
        <v>133</v>
      </c>
      <c r="G3010" s="111" t="n">
        <v>4</v>
      </c>
      <c r="H3010" s="152" t="n">
        <v>0</v>
      </c>
      <c r="I3010" s="111">
        <f>G3010*H3010</f>
      </c>
      <c r="J3010" s="153" t="s">
        <v>134</v>
      </c>
      <c r="K3010" s="146"/>
      <c r="Z3010" s="111">
        <f>IF(AQ3010="5",BJ3010,0)</f>
      </c>
      <c r="AB3010" s="111">
        <f>IF(AQ3010="1",BH3010,0)</f>
      </c>
      <c r="AC3010" s="111">
        <f>IF(AQ3010="1",BI3010,0)</f>
      </c>
      <c r="AD3010" s="111">
        <f>IF(AQ3010="7",BH3010,0)</f>
      </c>
      <c r="AE3010" s="111">
        <f>IF(AQ3010="7",BI3010,0)</f>
      </c>
      <c r="AF3010" s="111">
        <f>IF(AQ3010="2",BH3010,0)</f>
      </c>
      <c r="AG3010" s="111">
        <f>IF(AQ3010="2",BI3010,0)</f>
      </c>
      <c r="AH3010" s="111">
        <f>IF(AQ3010="0",BJ3010,0)</f>
      </c>
      <c r="AI3010" s="132" t="s">
        <v>93</v>
      </c>
      <c r="AJ3010" s="111">
        <f>IF(AN3010=0,I3010,0)</f>
      </c>
      <c r="AK3010" s="111">
        <f>IF(AN3010=12,I3010,0)</f>
      </c>
      <c r="AL3010" s="111">
        <f>IF(AN3010=21,I3010,0)</f>
      </c>
      <c r="AN3010" s="111" t="n">
        <v>21</v>
      </c>
      <c r="AO3010" s="111">
        <f>H3010*0.829790419</f>
      </c>
      <c r="AP3010" s="111">
        <f>H3010*(1-0.829790419)</f>
      </c>
      <c r="AQ3010" s="153" t="s">
        <v>140</v>
      </c>
      <c r="AV3010" s="111">
        <f>AW3010+AX3010</f>
      </c>
      <c r="AW3010" s="111">
        <f>G3010*AO3010</f>
      </c>
      <c r="AX3010" s="111">
        <f>G3010*AP3010</f>
      </c>
      <c r="AY3010" s="153" t="s">
        <v>4112</v>
      </c>
      <c r="AZ3010" s="153" t="s">
        <v>4606</v>
      </c>
      <c r="BA3010" s="132" t="s">
        <v>4594</v>
      </c>
      <c r="BC3010" s="111">
        <f>AW3010+AX3010</f>
      </c>
      <c r="BD3010" s="111">
        <f>H3010/(100-BE3010)*100</f>
      </c>
      <c r="BE3010" s="111" t="n">
        <v>0</v>
      </c>
      <c r="BF3010" s="111">
        <f>3010</f>
      </c>
      <c r="BH3010" s="111">
        <f>G3010*AO3010</f>
      </c>
      <c r="BI3010" s="111">
        <f>G3010*AP3010</f>
      </c>
      <c r="BJ3010" s="111">
        <f>G3010*H3010</f>
      </c>
      <c r="BK3010" s="111"/>
      <c r="BL3010" s="111"/>
      <c r="BW3010" s="111" t="n">
        <v>21</v>
      </c>
      <c r="BX3010" s="14" t="s">
        <v>4799</v>
      </c>
    </row>
    <row r="3011" customHeight="true" ht="13.5">
      <c r="A3011" s="159"/>
      <c r="C3011" s="160" t="s">
        <v>146</v>
      </c>
      <c r="D3011" s="161" t="s">
        <v>4800</v>
      </c>
      <c r="E3011" s="156"/>
      <c r="F3011" s="156"/>
      <c r="G3011" s="156"/>
      <c r="H3011" s="162"/>
      <c r="I3011" s="156"/>
      <c r="J3011" s="156"/>
      <c r="K3011" s="163"/>
    </row>
    <row r="3012">
      <c r="A3012" s="9" t="s">
        <v>4801</v>
      </c>
      <c r="B3012" s="10" t="s">
        <v>93</v>
      </c>
      <c r="C3012" s="10" t="s">
        <v>4802</v>
      </c>
      <c r="D3012" s="14" t="s">
        <v>4803</v>
      </c>
      <c r="E3012" s="10"/>
      <c r="F3012" s="10" t="s">
        <v>133</v>
      </c>
      <c r="G3012" s="111" t="n">
        <v>87</v>
      </c>
      <c r="H3012" s="152" t="n">
        <v>0</v>
      </c>
      <c r="I3012" s="111">
        <f>G3012*H3012</f>
      </c>
      <c r="J3012" s="153" t="s">
        <v>134</v>
      </c>
      <c r="K3012" s="146"/>
      <c r="Z3012" s="111">
        <f>IF(AQ3012="5",BJ3012,0)</f>
      </c>
      <c r="AB3012" s="111">
        <f>IF(AQ3012="1",BH3012,0)</f>
      </c>
      <c r="AC3012" s="111">
        <f>IF(AQ3012="1",BI3012,0)</f>
      </c>
      <c r="AD3012" s="111">
        <f>IF(AQ3012="7",BH3012,0)</f>
      </c>
      <c r="AE3012" s="111">
        <f>IF(AQ3012="7",BI3012,0)</f>
      </c>
      <c r="AF3012" s="111">
        <f>IF(AQ3012="2",BH3012,0)</f>
      </c>
      <c r="AG3012" s="111">
        <f>IF(AQ3012="2",BI3012,0)</f>
      </c>
      <c r="AH3012" s="111">
        <f>IF(AQ3012="0",BJ3012,0)</f>
      </c>
      <c r="AI3012" s="132" t="s">
        <v>93</v>
      </c>
      <c r="AJ3012" s="111">
        <f>IF(AN3012=0,I3012,0)</f>
      </c>
      <c r="AK3012" s="111">
        <f>IF(AN3012=12,I3012,0)</f>
      </c>
      <c r="AL3012" s="111">
        <f>IF(AN3012=21,I3012,0)</f>
      </c>
      <c r="AN3012" s="111" t="n">
        <v>21</v>
      </c>
      <c r="AO3012" s="111">
        <f>H3012*0.6159367</f>
      </c>
      <c r="AP3012" s="111">
        <f>H3012*(1-0.6159367)</f>
      </c>
      <c r="AQ3012" s="153" t="s">
        <v>140</v>
      </c>
      <c r="AV3012" s="111">
        <f>AW3012+AX3012</f>
      </c>
      <c r="AW3012" s="111">
        <f>G3012*AO3012</f>
      </c>
      <c r="AX3012" s="111">
        <f>G3012*AP3012</f>
      </c>
      <c r="AY3012" s="153" t="s">
        <v>4112</v>
      </c>
      <c r="AZ3012" s="153" t="s">
        <v>4606</v>
      </c>
      <c r="BA3012" s="132" t="s">
        <v>4594</v>
      </c>
      <c r="BC3012" s="111">
        <f>AW3012+AX3012</f>
      </c>
      <c r="BD3012" s="111">
        <f>H3012/(100-BE3012)*100</f>
      </c>
      <c r="BE3012" s="111" t="n">
        <v>0</v>
      </c>
      <c r="BF3012" s="111">
        <f>3012</f>
      </c>
      <c r="BH3012" s="111">
        <f>G3012*AO3012</f>
      </c>
      <c r="BI3012" s="111">
        <f>G3012*AP3012</f>
      </c>
      <c r="BJ3012" s="111">
        <f>G3012*H3012</f>
      </c>
      <c r="BK3012" s="111"/>
      <c r="BL3012" s="111"/>
      <c r="BW3012" s="111" t="n">
        <v>21</v>
      </c>
      <c r="BX3012" s="14" t="s">
        <v>4803</v>
      </c>
    </row>
    <row r="3013" customHeight="true" ht="13.5">
      <c r="A3013" s="159"/>
      <c r="C3013" s="160" t="s">
        <v>146</v>
      </c>
      <c r="D3013" s="161" t="s">
        <v>4804</v>
      </c>
      <c r="E3013" s="156"/>
      <c r="F3013" s="156"/>
      <c r="G3013" s="156"/>
      <c r="H3013" s="162"/>
      <c r="I3013" s="156"/>
      <c r="J3013" s="156"/>
      <c r="K3013" s="163"/>
    </row>
    <row r="3014">
      <c r="A3014" s="9" t="s">
        <v>4805</v>
      </c>
      <c r="B3014" s="10" t="s">
        <v>93</v>
      </c>
      <c r="C3014" s="10" t="s">
        <v>4806</v>
      </c>
      <c r="D3014" s="14" t="s">
        <v>4807</v>
      </c>
      <c r="E3014" s="10"/>
      <c r="F3014" s="10" t="s">
        <v>133</v>
      </c>
      <c r="G3014" s="111" t="n">
        <v>6</v>
      </c>
      <c r="H3014" s="152" t="n">
        <v>0</v>
      </c>
      <c r="I3014" s="111">
        <f>G3014*H3014</f>
      </c>
      <c r="J3014" s="153" t="s">
        <v>134</v>
      </c>
      <c r="K3014" s="146"/>
      <c r="Z3014" s="111">
        <f>IF(AQ3014="5",BJ3014,0)</f>
      </c>
      <c r="AB3014" s="111">
        <f>IF(AQ3014="1",BH3014,0)</f>
      </c>
      <c r="AC3014" s="111">
        <f>IF(AQ3014="1",BI3014,0)</f>
      </c>
      <c r="AD3014" s="111">
        <f>IF(AQ3014="7",BH3014,0)</f>
      </c>
      <c r="AE3014" s="111">
        <f>IF(AQ3014="7",BI3014,0)</f>
      </c>
      <c r="AF3014" s="111">
        <f>IF(AQ3014="2",BH3014,0)</f>
      </c>
      <c r="AG3014" s="111">
        <f>IF(AQ3014="2",BI3014,0)</f>
      </c>
      <c r="AH3014" s="111">
        <f>IF(AQ3014="0",BJ3014,0)</f>
      </c>
      <c r="AI3014" s="132" t="s">
        <v>93</v>
      </c>
      <c r="AJ3014" s="111">
        <f>IF(AN3014=0,I3014,0)</f>
      </c>
      <c r="AK3014" s="111">
        <f>IF(AN3014=12,I3014,0)</f>
      </c>
      <c r="AL3014" s="111">
        <f>IF(AN3014=21,I3014,0)</f>
      </c>
      <c r="AN3014" s="111" t="n">
        <v>21</v>
      </c>
      <c r="AO3014" s="111">
        <f>H3014*0.743745244</f>
      </c>
      <c r="AP3014" s="111">
        <f>H3014*(1-0.743745244)</f>
      </c>
      <c r="AQ3014" s="153" t="s">
        <v>140</v>
      </c>
      <c r="AV3014" s="111">
        <f>AW3014+AX3014</f>
      </c>
      <c r="AW3014" s="111">
        <f>G3014*AO3014</f>
      </c>
      <c r="AX3014" s="111">
        <f>G3014*AP3014</f>
      </c>
      <c r="AY3014" s="153" t="s">
        <v>4112</v>
      </c>
      <c r="AZ3014" s="153" t="s">
        <v>4606</v>
      </c>
      <c r="BA3014" s="132" t="s">
        <v>4594</v>
      </c>
      <c r="BC3014" s="111">
        <f>AW3014+AX3014</f>
      </c>
      <c r="BD3014" s="111">
        <f>H3014/(100-BE3014)*100</f>
      </c>
      <c r="BE3014" s="111" t="n">
        <v>0</v>
      </c>
      <c r="BF3014" s="111">
        <f>3014</f>
      </c>
      <c r="BH3014" s="111">
        <f>G3014*AO3014</f>
      </c>
      <c r="BI3014" s="111">
        <f>G3014*AP3014</f>
      </c>
      <c r="BJ3014" s="111">
        <f>G3014*H3014</f>
      </c>
      <c r="BK3014" s="111"/>
      <c r="BL3014" s="111"/>
      <c r="BW3014" s="111" t="n">
        <v>21</v>
      </c>
      <c r="BX3014" s="14" t="s">
        <v>4807</v>
      </c>
    </row>
    <row r="3015" customHeight="true" ht="13.5">
      <c r="A3015" s="159"/>
      <c r="C3015" s="160" t="s">
        <v>146</v>
      </c>
      <c r="D3015" s="161" t="s">
        <v>4808</v>
      </c>
      <c r="E3015" s="156"/>
      <c r="F3015" s="156"/>
      <c r="G3015" s="156"/>
      <c r="H3015" s="162"/>
      <c r="I3015" s="156"/>
      <c r="J3015" s="156"/>
      <c r="K3015" s="163"/>
    </row>
    <row r="3016">
      <c r="A3016" s="9" t="s">
        <v>4809</v>
      </c>
      <c r="B3016" s="10" t="s">
        <v>93</v>
      </c>
      <c r="C3016" s="10" t="s">
        <v>4810</v>
      </c>
      <c r="D3016" s="14" t="s">
        <v>4811</v>
      </c>
      <c r="E3016" s="10"/>
      <c r="F3016" s="10" t="s">
        <v>133</v>
      </c>
      <c r="G3016" s="111" t="n">
        <v>6</v>
      </c>
      <c r="H3016" s="152" t="n">
        <v>0</v>
      </c>
      <c r="I3016" s="111">
        <f>G3016*H3016</f>
      </c>
      <c r="J3016" s="153" t="s">
        <v>134</v>
      </c>
      <c r="K3016" s="146"/>
      <c r="Z3016" s="111">
        <f>IF(AQ3016="5",BJ3016,0)</f>
      </c>
      <c r="AB3016" s="111">
        <f>IF(AQ3016="1",BH3016,0)</f>
      </c>
      <c r="AC3016" s="111">
        <f>IF(AQ3016="1",BI3016,0)</f>
      </c>
      <c r="AD3016" s="111">
        <f>IF(AQ3016="7",BH3016,0)</f>
      </c>
      <c r="AE3016" s="111">
        <f>IF(AQ3016="7",BI3016,0)</f>
      </c>
      <c r="AF3016" s="111">
        <f>IF(AQ3016="2",BH3016,0)</f>
      </c>
      <c r="AG3016" s="111">
        <f>IF(AQ3016="2",BI3016,0)</f>
      </c>
      <c r="AH3016" s="111">
        <f>IF(AQ3016="0",BJ3016,0)</f>
      </c>
      <c r="AI3016" s="132" t="s">
        <v>93</v>
      </c>
      <c r="AJ3016" s="111">
        <f>IF(AN3016=0,I3016,0)</f>
      </c>
      <c r="AK3016" s="111">
        <f>IF(AN3016=12,I3016,0)</f>
      </c>
      <c r="AL3016" s="111">
        <f>IF(AN3016=21,I3016,0)</f>
      </c>
      <c r="AN3016" s="111" t="n">
        <v>21</v>
      </c>
      <c r="AO3016" s="111">
        <f>H3016*0.780112192</f>
      </c>
      <c r="AP3016" s="111">
        <f>H3016*(1-0.780112192)</f>
      </c>
      <c r="AQ3016" s="153" t="s">
        <v>140</v>
      </c>
      <c r="AV3016" s="111">
        <f>AW3016+AX3016</f>
      </c>
      <c r="AW3016" s="111">
        <f>G3016*AO3016</f>
      </c>
      <c r="AX3016" s="111">
        <f>G3016*AP3016</f>
      </c>
      <c r="AY3016" s="153" t="s">
        <v>4112</v>
      </c>
      <c r="AZ3016" s="153" t="s">
        <v>4606</v>
      </c>
      <c r="BA3016" s="132" t="s">
        <v>4594</v>
      </c>
      <c r="BC3016" s="111">
        <f>AW3016+AX3016</f>
      </c>
      <c r="BD3016" s="111">
        <f>H3016/(100-BE3016)*100</f>
      </c>
      <c r="BE3016" s="111" t="n">
        <v>0</v>
      </c>
      <c r="BF3016" s="111">
        <f>3016</f>
      </c>
      <c r="BH3016" s="111">
        <f>G3016*AO3016</f>
      </c>
      <c r="BI3016" s="111">
        <f>G3016*AP3016</f>
      </c>
      <c r="BJ3016" s="111">
        <f>G3016*H3016</f>
      </c>
      <c r="BK3016" s="111"/>
      <c r="BL3016" s="111"/>
      <c r="BW3016" s="111" t="n">
        <v>21</v>
      </c>
      <c r="BX3016" s="14" t="s">
        <v>4811</v>
      </c>
    </row>
    <row r="3017" customHeight="true" ht="13.5">
      <c r="A3017" s="159"/>
      <c r="C3017" s="160" t="s">
        <v>146</v>
      </c>
      <c r="D3017" s="161" t="s">
        <v>4808</v>
      </c>
      <c r="E3017" s="156"/>
      <c r="F3017" s="156"/>
      <c r="G3017" s="156"/>
      <c r="H3017" s="162"/>
      <c r="I3017" s="156"/>
      <c r="J3017" s="156"/>
      <c r="K3017" s="163"/>
    </row>
    <row r="3018">
      <c r="A3018" s="9" t="s">
        <v>4812</v>
      </c>
      <c r="B3018" s="10" t="s">
        <v>93</v>
      </c>
      <c r="C3018" s="10" t="s">
        <v>4813</v>
      </c>
      <c r="D3018" s="14" t="s">
        <v>4814</v>
      </c>
      <c r="E3018" s="10"/>
      <c r="F3018" s="10" t="s">
        <v>133</v>
      </c>
      <c r="G3018" s="111" t="n">
        <v>12</v>
      </c>
      <c r="H3018" s="152" t="n">
        <v>0</v>
      </c>
      <c r="I3018" s="111">
        <f>G3018*H3018</f>
      </c>
      <c r="J3018" s="153" t="s">
        <v>134</v>
      </c>
      <c r="K3018" s="146"/>
      <c r="Z3018" s="111">
        <f>IF(AQ3018="5",BJ3018,0)</f>
      </c>
      <c r="AB3018" s="111">
        <f>IF(AQ3018="1",BH3018,0)</f>
      </c>
      <c r="AC3018" s="111">
        <f>IF(AQ3018="1",BI3018,0)</f>
      </c>
      <c r="AD3018" s="111">
        <f>IF(AQ3018="7",BH3018,0)</f>
      </c>
      <c r="AE3018" s="111">
        <f>IF(AQ3018="7",BI3018,0)</f>
      </c>
      <c r="AF3018" s="111">
        <f>IF(AQ3018="2",BH3018,0)</f>
      </c>
      <c r="AG3018" s="111">
        <f>IF(AQ3018="2",BI3018,0)</f>
      </c>
      <c r="AH3018" s="111">
        <f>IF(AQ3018="0",BJ3018,0)</f>
      </c>
      <c r="AI3018" s="132" t="s">
        <v>93</v>
      </c>
      <c r="AJ3018" s="111">
        <f>IF(AN3018=0,I3018,0)</f>
      </c>
      <c r="AK3018" s="111">
        <f>IF(AN3018=12,I3018,0)</f>
      </c>
      <c r="AL3018" s="111">
        <f>IF(AN3018=21,I3018,0)</f>
      </c>
      <c r="AN3018" s="111" t="n">
        <v>21</v>
      </c>
      <c r="AO3018" s="111">
        <f>H3018*0.770286084</f>
      </c>
      <c r="AP3018" s="111">
        <f>H3018*(1-0.770286084)</f>
      </c>
      <c r="AQ3018" s="153" t="s">
        <v>140</v>
      </c>
      <c r="AV3018" s="111">
        <f>AW3018+AX3018</f>
      </c>
      <c r="AW3018" s="111">
        <f>G3018*AO3018</f>
      </c>
      <c r="AX3018" s="111">
        <f>G3018*AP3018</f>
      </c>
      <c r="AY3018" s="153" t="s">
        <v>4112</v>
      </c>
      <c r="AZ3018" s="153" t="s">
        <v>4606</v>
      </c>
      <c r="BA3018" s="132" t="s">
        <v>4594</v>
      </c>
      <c r="BC3018" s="111">
        <f>AW3018+AX3018</f>
      </c>
      <c r="BD3018" s="111">
        <f>H3018/(100-BE3018)*100</f>
      </c>
      <c r="BE3018" s="111" t="n">
        <v>0</v>
      </c>
      <c r="BF3018" s="111">
        <f>3018</f>
      </c>
      <c r="BH3018" s="111">
        <f>G3018*AO3018</f>
      </c>
      <c r="BI3018" s="111">
        <f>G3018*AP3018</f>
      </c>
      <c r="BJ3018" s="111">
        <f>G3018*H3018</f>
      </c>
      <c r="BK3018" s="111"/>
      <c r="BL3018" s="111"/>
      <c r="BW3018" s="111" t="n">
        <v>21</v>
      </c>
      <c r="BX3018" s="14" t="s">
        <v>4814</v>
      </c>
    </row>
    <row r="3019" customHeight="true" ht="13.5">
      <c r="A3019" s="159"/>
      <c r="C3019" s="160" t="s">
        <v>146</v>
      </c>
      <c r="D3019" s="161" t="s">
        <v>4808</v>
      </c>
      <c r="E3019" s="156"/>
      <c r="F3019" s="156"/>
      <c r="G3019" s="156"/>
      <c r="H3019" s="162"/>
      <c r="I3019" s="156"/>
      <c r="J3019" s="156"/>
      <c r="K3019" s="163"/>
    </row>
    <row r="3020">
      <c r="A3020" s="9" t="s">
        <v>4815</v>
      </c>
      <c r="B3020" s="10" t="s">
        <v>93</v>
      </c>
      <c r="C3020" s="10" t="s">
        <v>4816</v>
      </c>
      <c r="D3020" s="14" t="s">
        <v>4817</v>
      </c>
      <c r="E3020" s="10"/>
      <c r="F3020" s="10" t="s">
        <v>133</v>
      </c>
      <c r="G3020" s="111" t="n">
        <v>80</v>
      </c>
      <c r="H3020" s="152" t="n">
        <v>0</v>
      </c>
      <c r="I3020" s="111">
        <f>G3020*H3020</f>
      </c>
      <c r="J3020" s="153" t="s">
        <v>134</v>
      </c>
      <c r="K3020" s="146"/>
      <c r="Z3020" s="111">
        <f>IF(AQ3020="5",BJ3020,0)</f>
      </c>
      <c r="AB3020" s="111">
        <f>IF(AQ3020="1",BH3020,0)</f>
      </c>
      <c r="AC3020" s="111">
        <f>IF(AQ3020="1",BI3020,0)</f>
      </c>
      <c r="AD3020" s="111">
        <f>IF(AQ3020="7",BH3020,0)</f>
      </c>
      <c r="AE3020" s="111">
        <f>IF(AQ3020="7",BI3020,0)</f>
      </c>
      <c r="AF3020" s="111">
        <f>IF(AQ3020="2",BH3020,0)</f>
      </c>
      <c r="AG3020" s="111">
        <f>IF(AQ3020="2",BI3020,0)</f>
      </c>
      <c r="AH3020" s="111">
        <f>IF(AQ3020="0",BJ3020,0)</f>
      </c>
      <c r="AI3020" s="132" t="s">
        <v>93</v>
      </c>
      <c r="AJ3020" s="111">
        <f>IF(AN3020=0,I3020,0)</f>
      </c>
      <c r="AK3020" s="111">
        <f>IF(AN3020=12,I3020,0)</f>
      </c>
      <c r="AL3020" s="111">
        <f>IF(AN3020=21,I3020,0)</f>
      </c>
      <c r="AN3020" s="111" t="n">
        <v>21</v>
      </c>
      <c r="AO3020" s="111">
        <f>H3020*0</f>
      </c>
      <c r="AP3020" s="111">
        <f>H3020*(1-0)</f>
      </c>
      <c r="AQ3020" s="153" t="s">
        <v>140</v>
      </c>
      <c r="AV3020" s="111">
        <f>AW3020+AX3020</f>
      </c>
      <c r="AW3020" s="111">
        <f>G3020*AO3020</f>
      </c>
      <c r="AX3020" s="111">
        <f>G3020*AP3020</f>
      </c>
      <c r="AY3020" s="153" t="s">
        <v>4112</v>
      </c>
      <c r="AZ3020" s="153" t="s">
        <v>4606</v>
      </c>
      <c r="BA3020" s="132" t="s">
        <v>4594</v>
      </c>
      <c r="BC3020" s="111">
        <f>AW3020+AX3020</f>
      </c>
      <c r="BD3020" s="111">
        <f>H3020/(100-BE3020)*100</f>
      </c>
      <c r="BE3020" s="111" t="n">
        <v>0</v>
      </c>
      <c r="BF3020" s="111">
        <f>3020</f>
      </c>
      <c r="BH3020" s="111">
        <f>G3020*AO3020</f>
      </c>
      <c r="BI3020" s="111">
        <f>G3020*AP3020</f>
      </c>
      <c r="BJ3020" s="111">
        <f>G3020*H3020</f>
      </c>
      <c r="BK3020" s="111"/>
      <c r="BL3020" s="111"/>
      <c r="BW3020" s="111" t="n">
        <v>21</v>
      </c>
      <c r="BX3020" s="14" t="s">
        <v>4817</v>
      </c>
    </row>
    <row r="3021">
      <c r="A3021" s="9" t="s">
        <v>4818</v>
      </c>
      <c r="B3021" s="10" t="s">
        <v>93</v>
      </c>
      <c r="C3021" s="10" t="s">
        <v>4819</v>
      </c>
      <c r="D3021" s="14" t="s">
        <v>4820</v>
      </c>
      <c r="E3021" s="10"/>
      <c r="F3021" s="10" t="s">
        <v>133</v>
      </c>
      <c r="G3021" s="111" t="n">
        <v>936</v>
      </c>
      <c r="H3021" s="152" t="n">
        <v>0</v>
      </c>
      <c r="I3021" s="111">
        <f>G3021*H3021</f>
      </c>
      <c r="J3021" s="153" t="s">
        <v>134</v>
      </c>
      <c r="K3021" s="146"/>
      <c r="Z3021" s="111">
        <f>IF(AQ3021="5",BJ3021,0)</f>
      </c>
      <c r="AB3021" s="111">
        <f>IF(AQ3021="1",BH3021,0)</f>
      </c>
      <c r="AC3021" s="111">
        <f>IF(AQ3021="1",BI3021,0)</f>
      </c>
      <c r="AD3021" s="111">
        <f>IF(AQ3021="7",BH3021,0)</f>
      </c>
      <c r="AE3021" s="111">
        <f>IF(AQ3021="7",BI3021,0)</f>
      </c>
      <c r="AF3021" s="111">
        <f>IF(AQ3021="2",BH3021,0)</f>
      </c>
      <c r="AG3021" s="111">
        <f>IF(AQ3021="2",BI3021,0)</f>
      </c>
      <c r="AH3021" s="111">
        <f>IF(AQ3021="0",BJ3021,0)</f>
      </c>
      <c r="AI3021" s="132" t="s">
        <v>93</v>
      </c>
      <c r="AJ3021" s="111">
        <f>IF(AN3021=0,I3021,0)</f>
      </c>
      <c r="AK3021" s="111">
        <f>IF(AN3021=12,I3021,0)</f>
      </c>
      <c r="AL3021" s="111">
        <f>IF(AN3021=21,I3021,0)</f>
      </c>
      <c r="AN3021" s="111" t="n">
        <v>21</v>
      </c>
      <c r="AO3021" s="111">
        <f>H3021*0</f>
      </c>
      <c r="AP3021" s="111">
        <f>H3021*(1-0)</f>
      </c>
      <c r="AQ3021" s="153" t="s">
        <v>140</v>
      </c>
      <c r="AV3021" s="111">
        <f>AW3021+AX3021</f>
      </c>
      <c r="AW3021" s="111">
        <f>G3021*AO3021</f>
      </c>
      <c r="AX3021" s="111">
        <f>G3021*AP3021</f>
      </c>
      <c r="AY3021" s="153" t="s">
        <v>4112</v>
      </c>
      <c r="AZ3021" s="153" t="s">
        <v>4606</v>
      </c>
      <c r="BA3021" s="132" t="s">
        <v>4594</v>
      </c>
      <c r="BC3021" s="111">
        <f>AW3021+AX3021</f>
      </c>
      <c r="BD3021" s="111">
        <f>H3021/(100-BE3021)*100</f>
      </c>
      <c r="BE3021" s="111" t="n">
        <v>0</v>
      </c>
      <c r="BF3021" s="111">
        <f>3021</f>
      </c>
      <c r="BH3021" s="111">
        <f>G3021*AO3021</f>
      </c>
      <c r="BI3021" s="111">
        <f>G3021*AP3021</f>
      </c>
      <c r="BJ3021" s="111">
        <f>G3021*H3021</f>
      </c>
      <c r="BK3021" s="111"/>
      <c r="BL3021" s="111"/>
      <c r="BW3021" s="111" t="n">
        <v>21</v>
      </c>
      <c r="BX3021" s="14" t="s">
        <v>4820</v>
      </c>
    </row>
    <row r="3022">
      <c r="A3022" s="9" t="s">
        <v>4821</v>
      </c>
      <c r="B3022" s="10" t="s">
        <v>93</v>
      </c>
      <c r="C3022" s="10" t="s">
        <v>4822</v>
      </c>
      <c r="D3022" s="14" t="s">
        <v>4823</v>
      </c>
      <c r="E3022" s="10"/>
      <c r="F3022" s="10" t="s">
        <v>3860</v>
      </c>
      <c r="G3022" s="111" t="n">
        <v>1</v>
      </c>
      <c r="H3022" s="152" t="n">
        <v>0</v>
      </c>
      <c r="I3022" s="111">
        <f>G3022*H3022</f>
      </c>
      <c r="J3022" s="153" t="s">
        <v>134</v>
      </c>
      <c r="K3022" s="146"/>
      <c r="Z3022" s="111">
        <f>IF(AQ3022="5",BJ3022,0)</f>
      </c>
      <c r="AB3022" s="111">
        <f>IF(AQ3022="1",BH3022,0)</f>
      </c>
      <c r="AC3022" s="111">
        <f>IF(AQ3022="1",BI3022,0)</f>
      </c>
      <c r="AD3022" s="111">
        <f>IF(AQ3022="7",BH3022,0)</f>
      </c>
      <c r="AE3022" s="111">
        <f>IF(AQ3022="7",BI3022,0)</f>
      </c>
      <c r="AF3022" s="111">
        <f>IF(AQ3022="2",BH3022,0)</f>
      </c>
      <c r="AG3022" s="111">
        <f>IF(AQ3022="2",BI3022,0)</f>
      </c>
      <c r="AH3022" s="111">
        <f>IF(AQ3022="0",BJ3022,0)</f>
      </c>
      <c r="AI3022" s="132" t="s">
        <v>93</v>
      </c>
      <c r="AJ3022" s="111">
        <f>IF(AN3022=0,I3022,0)</f>
      </c>
      <c r="AK3022" s="111">
        <f>IF(AN3022=12,I3022,0)</f>
      </c>
      <c r="AL3022" s="111">
        <f>IF(AN3022=21,I3022,0)</f>
      </c>
      <c r="AN3022" s="111" t="n">
        <v>21</v>
      </c>
      <c r="AO3022" s="111">
        <f>H3022*0</f>
      </c>
      <c r="AP3022" s="111">
        <f>H3022*(1-0)</f>
      </c>
      <c r="AQ3022" s="153" t="s">
        <v>140</v>
      </c>
      <c r="AV3022" s="111">
        <f>AW3022+AX3022</f>
      </c>
      <c r="AW3022" s="111">
        <f>G3022*AO3022</f>
      </c>
      <c r="AX3022" s="111">
        <f>G3022*AP3022</f>
      </c>
      <c r="AY3022" s="153" t="s">
        <v>4112</v>
      </c>
      <c r="AZ3022" s="153" t="s">
        <v>4606</v>
      </c>
      <c r="BA3022" s="132" t="s">
        <v>4594</v>
      </c>
      <c r="BC3022" s="111">
        <f>AW3022+AX3022</f>
      </c>
      <c r="BD3022" s="111">
        <f>H3022/(100-BE3022)*100</f>
      </c>
      <c r="BE3022" s="111" t="n">
        <v>0</v>
      </c>
      <c r="BF3022" s="111">
        <f>3022</f>
      </c>
      <c r="BH3022" s="111">
        <f>G3022*AO3022</f>
      </c>
      <c r="BI3022" s="111">
        <f>G3022*AP3022</f>
      </c>
      <c r="BJ3022" s="111">
        <f>G3022*H3022</f>
      </c>
      <c r="BK3022" s="111"/>
      <c r="BL3022" s="111"/>
      <c r="BW3022" s="111" t="n">
        <v>21</v>
      </c>
      <c r="BX3022" s="14" t="s">
        <v>4823</v>
      </c>
    </row>
    <row r="3023" customHeight="true" ht="13.5">
      <c r="A3023" s="159"/>
      <c r="C3023" s="160" t="s">
        <v>146</v>
      </c>
      <c r="D3023" s="161" t="s">
        <v>4824</v>
      </c>
      <c r="E3023" s="156"/>
      <c r="F3023" s="156"/>
      <c r="G3023" s="156"/>
      <c r="H3023" s="162"/>
      <c r="I3023" s="156"/>
      <c r="J3023" s="156"/>
      <c r="K3023" s="163"/>
    </row>
    <row r="3024">
      <c r="A3024" s="154"/>
      <c r="B3024" s="155"/>
      <c r="C3024" s="155"/>
      <c r="D3024" s="156" t="s">
        <v>130</v>
      </c>
      <c r="E3024" s="156" t="s">
        <v>4825</v>
      </c>
      <c r="F3024" s="155"/>
      <c r="G3024" s="157" t="n">
        <v>1</v>
      </c>
      <c r="H3024" s="158"/>
      <c r="I3024" s="155"/>
      <c r="J3024" s="155"/>
      <c r="K3024" s="146"/>
    </row>
    <row r="3025">
      <c r="A3025" s="9" t="s">
        <v>4826</v>
      </c>
      <c r="B3025" s="10" t="s">
        <v>93</v>
      </c>
      <c r="C3025" s="10" t="s">
        <v>4827</v>
      </c>
      <c r="D3025" s="14" t="s">
        <v>4828</v>
      </c>
      <c r="E3025" s="10"/>
      <c r="F3025" s="10" t="s">
        <v>3860</v>
      </c>
      <c r="G3025" s="111" t="n">
        <v>1</v>
      </c>
      <c r="H3025" s="152" t="n">
        <v>0</v>
      </c>
      <c r="I3025" s="111">
        <f>G3025*H3025</f>
      </c>
      <c r="J3025" s="153" t="s">
        <v>134</v>
      </c>
      <c r="K3025" s="146"/>
      <c r="Z3025" s="111">
        <f>IF(AQ3025="5",BJ3025,0)</f>
      </c>
      <c r="AB3025" s="111">
        <f>IF(AQ3025="1",BH3025,0)</f>
      </c>
      <c r="AC3025" s="111">
        <f>IF(AQ3025="1",BI3025,0)</f>
      </c>
      <c r="AD3025" s="111">
        <f>IF(AQ3025="7",BH3025,0)</f>
      </c>
      <c r="AE3025" s="111">
        <f>IF(AQ3025="7",BI3025,0)</f>
      </c>
      <c r="AF3025" s="111">
        <f>IF(AQ3025="2",BH3025,0)</f>
      </c>
      <c r="AG3025" s="111">
        <f>IF(AQ3025="2",BI3025,0)</f>
      </c>
      <c r="AH3025" s="111">
        <f>IF(AQ3025="0",BJ3025,0)</f>
      </c>
      <c r="AI3025" s="132" t="s">
        <v>93</v>
      </c>
      <c r="AJ3025" s="111">
        <f>IF(AN3025=0,I3025,0)</f>
      </c>
      <c r="AK3025" s="111">
        <f>IF(AN3025=12,I3025,0)</f>
      </c>
      <c r="AL3025" s="111">
        <f>IF(AN3025=21,I3025,0)</f>
      </c>
      <c r="AN3025" s="111" t="n">
        <v>21</v>
      </c>
      <c r="AO3025" s="111">
        <f>H3025*0</f>
      </c>
      <c r="AP3025" s="111">
        <f>H3025*(1-0)</f>
      </c>
      <c r="AQ3025" s="153" t="s">
        <v>140</v>
      </c>
      <c r="AV3025" s="111">
        <f>AW3025+AX3025</f>
      </c>
      <c r="AW3025" s="111">
        <f>G3025*AO3025</f>
      </c>
      <c r="AX3025" s="111">
        <f>G3025*AP3025</f>
      </c>
      <c r="AY3025" s="153" t="s">
        <v>4112</v>
      </c>
      <c r="AZ3025" s="153" t="s">
        <v>4606</v>
      </c>
      <c r="BA3025" s="132" t="s">
        <v>4594</v>
      </c>
      <c r="BC3025" s="111">
        <f>AW3025+AX3025</f>
      </c>
      <c r="BD3025" s="111">
        <f>H3025/(100-BE3025)*100</f>
      </c>
      <c r="BE3025" s="111" t="n">
        <v>0</v>
      </c>
      <c r="BF3025" s="111">
        <f>3025</f>
      </c>
      <c r="BH3025" s="111">
        <f>G3025*AO3025</f>
      </c>
      <c r="BI3025" s="111">
        <f>G3025*AP3025</f>
      </c>
      <c r="BJ3025" s="111">
        <f>G3025*H3025</f>
      </c>
      <c r="BK3025" s="111"/>
      <c r="BL3025" s="111"/>
      <c r="BW3025" s="111" t="n">
        <v>21</v>
      </c>
      <c r="BX3025" s="14" t="s">
        <v>4828</v>
      </c>
    </row>
    <row r="3026" customHeight="true" ht="13.5">
      <c r="A3026" s="159"/>
      <c r="C3026" s="160" t="s">
        <v>146</v>
      </c>
      <c r="D3026" s="161" t="s">
        <v>4829</v>
      </c>
      <c r="E3026" s="156"/>
      <c r="F3026" s="156"/>
      <c r="G3026" s="156"/>
      <c r="H3026" s="162"/>
      <c r="I3026" s="156"/>
      <c r="J3026" s="156"/>
      <c r="K3026" s="163"/>
    </row>
    <row r="3027">
      <c r="A3027" s="154"/>
      <c r="B3027" s="155"/>
      <c r="C3027" s="155"/>
      <c r="D3027" s="156" t="s">
        <v>130</v>
      </c>
      <c r="E3027" s="156" t="s">
        <v>4825</v>
      </c>
      <c r="F3027" s="155"/>
      <c r="G3027" s="157" t="n">
        <v>1</v>
      </c>
      <c r="H3027" s="158"/>
      <c r="I3027" s="155"/>
      <c r="J3027" s="155"/>
      <c r="K3027" s="146"/>
    </row>
    <row r="3028">
      <c r="A3028" s="9" t="s">
        <v>4830</v>
      </c>
      <c r="B3028" s="10" t="s">
        <v>93</v>
      </c>
      <c r="C3028" s="10" t="s">
        <v>4831</v>
      </c>
      <c r="D3028" s="14" t="s">
        <v>4832</v>
      </c>
      <c r="E3028" s="10"/>
      <c r="F3028" s="10" t="s">
        <v>133</v>
      </c>
      <c r="G3028" s="111" t="n">
        <v>80</v>
      </c>
      <c r="H3028" s="152" t="n">
        <v>0</v>
      </c>
      <c r="I3028" s="111">
        <f>G3028*H3028</f>
      </c>
      <c r="J3028" s="153" t="s">
        <v>134</v>
      </c>
      <c r="K3028" s="146"/>
      <c r="Z3028" s="111">
        <f>IF(AQ3028="5",BJ3028,0)</f>
      </c>
      <c r="AB3028" s="111">
        <f>IF(AQ3028="1",BH3028,0)</f>
      </c>
      <c r="AC3028" s="111">
        <f>IF(AQ3028="1",BI3028,0)</f>
      </c>
      <c r="AD3028" s="111">
        <f>IF(AQ3028="7",BH3028,0)</f>
      </c>
      <c r="AE3028" s="111">
        <f>IF(AQ3028="7",BI3028,0)</f>
      </c>
      <c r="AF3028" s="111">
        <f>IF(AQ3028="2",BH3028,0)</f>
      </c>
      <c r="AG3028" s="111">
        <f>IF(AQ3028="2",BI3028,0)</f>
      </c>
      <c r="AH3028" s="111">
        <f>IF(AQ3028="0",BJ3028,0)</f>
      </c>
      <c r="AI3028" s="132" t="s">
        <v>93</v>
      </c>
      <c r="AJ3028" s="111">
        <f>IF(AN3028=0,I3028,0)</f>
      </c>
      <c r="AK3028" s="111">
        <f>IF(AN3028=12,I3028,0)</f>
      </c>
      <c r="AL3028" s="111">
        <f>IF(AN3028=21,I3028,0)</f>
      </c>
      <c r="AN3028" s="111" t="n">
        <v>21</v>
      </c>
      <c r="AO3028" s="111">
        <f>H3028*0.436278342</f>
      </c>
      <c r="AP3028" s="111">
        <f>H3028*(1-0.436278342)</f>
      </c>
      <c r="AQ3028" s="153" t="s">
        <v>140</v>
      </c>
      <c r="AV3028" s="111">
        <f>AW3028+AX3028</f>
      </c>
      <c r="AW3028" s="111">
        <f>G3028*AO3028</f>
      </c>
      <c r="AX3028" s="111">
        <f>G3028*AP3028</f>
      </c>
      <c r="AY3028" s="153" t="s">
        <v>4112</v>
      </c>
      <c r="AZ3028" s="153" t="s">
        <v>4606</v>
      </c>
      <c r="BA3028" s="132" t="s">
        <v>4594</v>
      </c>
      <c r="BC3028" s="111">
        <f>AW3028+AX3028</f>
      </c>
      <c r="BD3028" s="111">
        <f>H3028/(100-BE3028)*100</f>
      </c>
      <c r="BE3028" s="111" t="n">
        <v>0</v>
      </c>
      <c r="BF3028" s="111">
        <f>3028</f>
      </c>
      <c r="BH3028" s="111">
        <f>G3028*AO3028</f>
      </c>
      <c r="BI3028" s="111">
        <f>G3028*AP3028</f>
      </c>
      <c r="BJ3028" s="111">
        <f>G3028*H3028</f>
      </c>
      <c r="BK3028" s="111"/>
      <c r="BL3028" s="111"/>
      <c r="BW3028" s="111" t="n">
        <v>21</v>
      </c>
      <c r="BX3028" s="14" t="s">
        <v>4832</v>
      </c>
    </row>
    <row r="3029" customHeight="true" ht="13.5">
      <c r="A3029" s="159"/>
      <c r="C3029" s="160" t="s">
        <v>146</v>
      </c>
      <c r="D3029" s="161" t="s">
        <v>4833</v>
      </c>
      <c r="E3029" s="156"/>
      <c r="F3029" s="156"/>
      <c r="G3029" s="156"/>
      <c r="H3029" s="162"/>
      <c r="I3029" s="156"/>
      <c r="J3029" s="156"/>
      <c r="K3029" s="163"/>
    </row>
    <row r="3030">
      <c r="A3030" s="9" t="s">
        <v>4834</v>
      </c>
      <c r="B3030" s="10" t="s">
        <v>93</v>
      </c>
      <c r="C3030" s="10" t="s">
        <v>4835</v>
      </c>
      <c r="D3030" s="14" t="s">
        <v>4832</v>
      </c>
      <c r="E3030" s="10"/>
      <c r="F3030" s="10" t="s">
        <v>133</v>
      </c>
      <c r="G3030" s="111" t="n">
        <v>75</v>
      </c>
      <c r="H3030" s="152" t="n">
        <v>0</v>
      </c>
      <c r="I3030" s="111">
        <f>G3030*H3030</f>
      </c>
      <c r="J3030" s="153" t="s">
        <v>134</v>
      </c>
      <c r="K3030" s="146"/>
      <c r="Z3030" s="111">
        <f>IF(AQ3030="5",BJ3030,0)</f>
      </c>
      <c r="AB3030" s="111">
        <f>IF(AQ3030="1",BH3030,0)</f>
      </c>
      <c r="AC3030" s="111">
        <f>IF(AQ3030="1",BI3030,0)</f>
      </c>
      <c r="AD3030" s="111">
        <f>IF(AQ3030="7",BH3030,0)</f>
      </c>
      <c r="AE3030" s="111">
        <f>IF(AQ3030="7",BI3030,0)</f>
      </c>
      <c r="AF3030" s="111">
        <f>IF(AQ3030="2",BH3030,0)</f>
      </c>
      <c r="AG3030" s="111">
        <f>IF(AQ3030="2",BI3030,0)</f>
      </c>
      <c r="AH3030" s="111">
        <f>IF(AQ3030="0",BJ3030,0)</f>
      </c>
      <c r="AI3030" s="132" t="s">
        <v>93</v>
      </c>
      <c r="AJ3030" s="111">
        <f>IF(AN3030=0,I3030,0)</f>
      </c>
      <c r="AK3030" s="111">
        <f>IF(AN3030=12,I3030,0)</f>
      </c>
      <c r="AL3030" s="111">
        <f>IF(AN3030=21,I3030,0)</f>
      </c>
      <c r="AN3030" s="111" t="n">
        <v>21</v>
      </c>
      <c r="AO3030" s="111">
        <f>H3030*0.409382518</f>
      </c>
      <c r="AP3030" s="111">
        <f>H3030*(1-0.409382518)</f>
      </c>
      <c r="AQ3030" s="153" t="s">
        <v>140</v>
      </c>
      <c r="AV3030" s="111">
        <f>AW3030+AX3030</f>
      </c>
      <c r="AW3030" s="111">
        <f>G3030*AO3030</f>
      </c>
      <c r="AX3030" s="111">
        <f>G3030*AP3030</f>
      </c>
      <c r="AY3030" s="153" t="s">
        <v>4112</v>
      </c>
      <c r="AZ3030" s="153" t="s">
        <v>4606</v>
      </c>
      <c r="BA3030" s="132" t="s">
        <v>4594</v>
      </c>
      <c r="BC3030" s="111">
        <f>AW3030+AX3030</f>
      </c>
      <c r="BD3030" s="111">
        <f>H3030/(100-BE3030)*100</f>
      </c>
      <c r="BE3030" s="111" t="n">
        <v>0</v>
      </c>
      <c r="BF3030" s="111">
        <f>3030</f>
      </c>
      <c r="BH3030" s="111">
        <f>G3030*AO3030</f>
      </c>
      <c r="BI3030" s="111">
        <f>G3030*AP3030</f>
      </c>
      <c r="BJ3030" s="111">
        <f>G3030*H3030</f>
      </c>
      <c r="BK3030" s="111"/>
      <c r="BL3030" s="111"/>
      <c r="BW3030" s="111" t="n">
        <v>21</v>
      </c>
      <c r="BX3030" s="14" t="s">
        <v>4832</v>
      </c>
    </row>
    <row r="3031" customHeight="true" ht="13.5">
      <c r="A3031" s="159"/>
      <c r="C3031" s="160" t="s">
        <v>146</v>
      </c>
      <c r="D3031" s="161" t="s">
        <v>4836</v>
      </c>
      <c r="E3031" s="156"/>
      <c r="F3031" s="156"/>
      <c r="G3031" s="156"/>
      <c r="H3031" s="162"/>
      <c r="I3031" s="156"/>
      <c r="J3031" s="156"/>
      <c r="K3031" s="163"/>
    </row>
    <row r="3032">
      <c r="A3032" s="9" t="s">
        <v>4837</v>
      </c>
      <c r="B3032" s="10" t="s">
        <v>93</v>
      </c>
      <c r="C3032" s="10" t="s">
        <v>4838</v>
      </c>
      <c r="D3032" s="14" t="s">
        <v>4832</v>
      </c>
      <c r="E3032" s="10"/>
      <c r="F3032" s="10" t="s">
        <v>133</v>
      </c>
      <c r="G3032" s="111" t="n">
        <v>80</v>
      </c>
      <c r="H3032" s="152" t="n">
        <v>0</v>
      </c>
      <c r="I3032" s="111">
        <f>G3032*H3032</f>
      </c>
      <c r="J3032" s="153" t="s">
        <v>134</v>
      </c>
      <c r="K3032" s="146"/>
      <c r="Z3032" s="111">
        <f>IF(AQ3032="5",BJ3032,0)</f>
      </c>
      <c r="AB3032" s="111">
        <f>IF(AQ3032="1",BH3032,0)</f>
      </c>
      <c r="AC3032" s="111">
        <f>IF(AQ3032="1",BI3032,0)</f>
      </c>
      <c r="AD3032" s="111">
        <f>IF(AQ3032="7",BH3032,0)</f>
      </c>
      <c r="AE3032" s="111">
        <f>IF(AQ3032="7",BI3032,0)</f>
      </c>
      <c r="AF3032" s="111">
        <f>IF(AQ3032="2",BH3032,0)</f>
      </c>
      <c r="AG3032" s="111">
        <f>IF(AQ3032="2",BI3032,0)</f>
      </c>
      <c r="AH3032" s="111">
        <f>IF(AQ3032="0",BJ3032,0)</f>
      </c>
      <c r="AI3032" s="132" t="s">
        <v>93</v>
      </c>
      <c r="AJ3032" s="111">
        <f>IF(AN3032=0,I3032,0)</f>
      </c>
      <c r="AK3032" s="111">
        <f>IF(AN3032=12,I3032,0)</f>
      </c>
      <c r="AL3032" s="111">
        <f>IF(AN3032=21,I3032,0)</f>
      </c>
      <c r="AN3032" s="111" t="n">
        <v>21</v>
      </c>
      <c r="AO3032" s="111">
        <f>H3032*0.350616235</f>
      </c>
      <c r="AP3032" s="111">
        <f>H3032*(1-0.350616235)</f>
      </c>
      <c r="AQ3032" s="153" t="s">
        <v>140</v>
      </c>
      <c r="AV3032" s="111">
        <f>AW3032+AX3032</f>
      </c>
      <c r="AW3032" s="111">
        <f>G3032*AO3032</f>
      </c>
      <c r="AX3032" s="111">
        <f>G3032*AP3032</f>
      </c>
      <c r="AY3032" s="153" t="s">
        <v>4112</v>
      </c>
      <c r="AZ3032" s="153" t="s">
        <v>4606</v>
      </c>
      <c r="BA3032" s="132" t="s">
        <v>4594</v>
      </c>
      <c r="BC3032" s="111">
        <f>AW3032+AX3032</f>
      </c>
      <c r="BD3032" s="111">
        <f>H3032/(100-BE3032)*100</f>
      </c>
      <c r="BE3032" s="111" t="n">
        <v>0</v>
      </c>
      <c r="BF3032" s="111">
        <f>3032</f>
      </c>
      <c r="BH3032" s="111">
        <f>G3032*AO3032</f>
      </c>
      <c r="BI3032" s="111">
        <f>G3032*AP3032</f>
      </c>
      <c r="BJ3032" s="111">
        <f>G3032*H3032</f>
      </c>
      <c r="BK3032" s="111"/>
      <c r="BL3032" s="111"/>
      <c r="BW3032" s="111" t="n">
        <v>21</v>
      </c>
      <c r="BX3032" s="14" t="s">
        <v>4832</v>
      </c>
    </row>
    <row r="3033" customHeight="true" ht="13.5">
      <c r="A3033" s="159"/>
      <c r="C3033" s="160" t="s">
        <v>146</v>
      </c>
      <c r="D3033" s="161" t="s">
        <v>4839</v>
      </c>
      <c r="E3033" s="156"/>
      <c r="F3033" s="156"/>
      <c r="G3033" s="156"/>
      <c r="H3033" s="162"/>
      <c r="I3033" s="156"/>
      <c r="J3033" s="156"/>
      <c r="K3033" s="163"/>
    </row>
    <row r="3034">
      <c r="A3034" s="9" t="s">
        <v>4840</v>
      </c>
      <c r="B3034" s="10" t="s">
        <v>93</v>
      </c>
      <c r="C3034" s="10" t="s">
        <v>4841</v>
      </c>
      <c r="D3034" s="14" t="s">
        <v>4832</v>
      </c>
      <c r="E3034" s="10"/>
      <c r="F3034" s="10" t="s">
        <v>133</v>
      </c>
      <c r="G3034" s="111" t="n">
        <v>120</v>
      </c>
      <c r="H3034" s="152" t="n">
        <v>0</v>
      </c>
      <c r="I3034" s="111">
        <f>G3034*H3034</f>
      </c>
      <c r="J3034" s="153" t="s">
        <v>134</v>
      </c>
      <c r="K3034" s="146"/>
      <c r="Z3034" s="111">
        <f>IF(AQ3034="5",BJ3034,0)</f>
      </c>
      <c r="AB3034" s="111">
        <f>IF(AQ3034="1",BH3034,0)</f>
      </c>
      <c r="AC3034" s="111">
        <f>IF(AQ3034="1",BI3034,0)</f>
      </c>
      <c r="AD3034" s="111">
        <f>IF(AQ3034="7",BH3034,0)</f>
      </c>
      <c r="AE3034" s="111">
        <f>IF(AQ3034="7",BI3034,0)</f>
      </c>
      <c r="AF3034" s="111">
        <f>IF(AQ3034="2",BH3034,0)</f>
      </c>
      <c r="AG3034" s="111">
        <f>IF(AQ3034="2",BI3034,0)</f>
      </c>
      <c r="AH3034" s="111">
        <f>IF(AQ3034="0",BJ3034,0)</f>
      </c>
      <c r="AI3034" s="132" t="s">
        <v>93</v>
      </c>
      <c r="AJ3034" s="111">
        <f>IF(AN3034=0,I3034,0)</f>
      </c>
      <c r="AK3034" s="111">
        <f>IF(AN3034=12,I3034,0)</f>
      </c>
      <c r="AL3034" s="111">
        <f>IF(AN3034=21,I3034,0)</f>
      </c>
      <c r="AN3034" s="111" t="n">
        <v>21</v>
      </c>
      <c r="AO3034" s="111">
        <f>H3034*0.314790858</f>
      </c>
      <c r="AP3034" s="111">
        <f>H3034*(1-0.314790858)</f>
      </c>
      <c r="AQ3034" s="153" t="s">
        <v>140</v>
      </c>
      <c r="AV3034" s="111">
        <f>AW3034+AX3034</f>
      </c>
      <c r="AW3034" s="111">
        <f>G3034*AO3034</f>
      </c>
      <c r="AX3034" s="111">
        <f>G3034*AP3034</f>
      </c>
      <c r="AY3034" s="153" t="s">
        <v>4112</v>
      </c>
      <c r="AZ3034" s="153" t="s">
        <v>4606</v>
      </c>
      <c r="BA3034" s="132" t="s">
        <v>4594</v>
      </c>
      <c r="BC3034" s="111">
        <f>AW3034+AX3034</f>
      </c>
      <c r="BD3034" s="111">
        <f>H3034/(100-BE3034)*100</f>
      </c>
      <c r="BE3034" s="111" t="n">
        <v>0</v>
      </c>
      <c r="BF3034" s="111">
        <f>3034</f>
      </c>
      <c r="BH3034" s="111">
        <f>G3034*AO3034</f>
      </c>
      <c r="BI3034" s="111">
        <f>G3034*AP3034</f>
      </c>
      <c r="BJ3034" s="111">
        <f>G3034*H3034</f>
      </c>
      <c r="BK3034" s="111"/>
      <c r="BL3034" s="111"/>
      <c r="BW3034" s="111" t="n">
        <v>21</v>
      </c>
      <c r="BX3034" s="14" t="s">
        <v>4832</v>
      </c>
    </row>
    <row r="3035" customHeight="true" ht="13.5">
      <c r="A3035" s="159"/>
      <c r="C3035" s="160" t="s">
        <v>146</v>
      </c>
      <c r="D3035" s="161" t="s">
        <v>4842</v>
      </c>
      <c r="E3035" s="156"/>
      <c r="F3035" s="156"/>
      <c r="G3035" s="156"/>
      <c r="H3035" s="162"/>
      <c r="I3035" s="156"/>
      <c r="J3035" s="156"/>
      <c r="K3035" s="163"/>
    </row>
    <row r="3036">
      <c r="A3036" s="9" t="s">
        <v>4843</v>
      </c>
      <c r="B3036" s="10" t="s">
        <v>93</v>
      </c>
      <c r="C3036" s="10" t="s">
        <v>4844</v>
      </c>
      <c r="D3036" s="14" t="s">
        <v>4845</v>
      </c>
      <c r="E3036" s="10"/>
      <c r="F3036" s="10" t="s">
        <v>133</v>
      </c>
      <c r="G3036" s="111" t="n">
        <v>55</v>
      </c>
      <c r="H3036" s="152" t="n">
        <v>0</v>
      </c>
      <c r="I3036" s="111">
        <f>G3036*H3036</f>
      </c>
      <c r="J3036" s="153" t="s">
        <v>134</v>
      </c>
      <c r="K3036" s="146"/>
      <c r="Z3036" s="111">
        <f>IF(AQ3036="5",BJ3036,0)</f>
      </c>
      <c r="AB3036" s="111">
        <f>IF(AQ3036="1",BH3036,0)</f>
      </c>
      <c r="AC3036" s="111">
        <f>IF(AQ3036="1",BI3036,0)</f>
      </c>
      <c r="AD3036" s="111">
        <f>IF(AQ3036="7",BH3036,0)</f>
      </c>
      <c r="AE3036" s="111">
        <f>IF(AQ3036="7",BI3036,0)</f>
      </c>
      <c r="AF3036" s="111">
        <f>IF(AQ3036="2",BH3036,0)</f>
      </c>
      <c r="AG3036" s="111">
        <f>IF(AQ3036="2",BI3036,0)</f>
      </c>
      <c r="AH3036" s="111">
        <f>IF(AQ3036="0",BJ3036,0)</f>
      </c>
      <c r="AI3036" s="132" t="s">
        <v>93</v>
      </c>
      <c r="AJ3036" s="111">
        <f>IF(AN3036=0,I3036,0)</f>
      </c>
      <c r="AK3036" s="111">
        <f>IF(AN3036=12,I3036,0)</f>
      </c>
      <c r="AL3036" s="111">
        <f>IF(AN3036=21,I3036,0)</f>
      </c>
      <c r="AN3036" s="111" t="n">
        <v>21</v>
      </c>
      <c r="AO3036" s="111">
        <f>H3036*0.090824838</f>
      </c>
      <c r="AP3036" s="111">
        <f>H3036*(1-0.090824838)</f>
      </c>
      <c r="AQ3036" s="153" t="s">
        <v>140</v>
      </c>
      <c r="AV3036" s="111">
        <f>AW3036+AX3036</f>
      </c>
      <c r="AW3036" s="111">
        <f>G3036*AO3036</f>
      </c>
      <c r="AX3036" s="111">
        <f>G3036*AP3036</f>
      </c>
      <c r="AY3036" s="153" t="s">
        <v>4112</v>
      </c>
      <c r="AZ3036" s="153" t="s">
        <v>4606</v>
      </c>
      <c r="BA3036" s="132" t="s">
        <v>4594</v>
      </c>
      <c r="BC3036" s="111">
        <f>AW3036+AX3036</f>
      </c>
      <c r="BD3036" s="111">
        <f>H3036/(100-BE3036)*100</f>
      </c>
      <c r="BE3036" s="111" t="n">
        <v>0</v>
      </c>
      <c r="BF3036" s="111">
        <f>3036</f>
      </c>
      <c r="BH3036" s="111">
        <f>G3036*AO3036</f>
      </c>
      <c r="BI3036" s="111">
        <f>G3036*AP3036</f>
      </c>
      <c r="BJ3036" s="111">
        <f>G3036*H3036</f>
      </c>
      <c r="BK3036" s="111"/>
      <c r="BL3036" s="111"/>
      <c r="BW3036" s="111" t="n">
        <v>21</v>
      </c>
      <c r="BX3036" s="14" t="s">
        <v>4845</v>
      </c>
    </row>
    <row r="3037" customHeight="true" ht="13.5">
      <c r="A3037" s="159"/>
      <c r="C3037" s="160" t="s">
        <v>146</v>
      </c>
      <c r="D3037" s="161" t="s">
        <v>4846</v>
      </c>
      <c r="E3037" s="156"/>
      <c r="F3037" s="156"/>
      <c r="G3037" s="156"/>
      <c r="H3037" s="162"/>
      <c r="I3037" s="156"/>
      <c r="J3037" s="156"/>
      <c r="K3037" s="163"/>
    </row>
    <row r="3038">
      <c r="A3038" s="9" t="s">
        <v>4847</v>
      </c>
      <c r="B3038" s="10" t="s">
        <v>93</v>
      </c>
      <c r="C3038" s="10" t="s">
        <v>4844</v>
      </c>
      <c r="D3038" s="14" t="s">
        <v>4848</v>
      </c>
      <c r="E3038" s="10"/>
      <c r="F3038" s="10" t="s">
        <v>133</v>
      </c>
      <c r="G3038" s="111" t="n">
        <v>136</v>
      </c>
      <c r="H3038" s="152" t="n">
        <v>0</v>
      </c>
      <c r="I3038" s="111">
        <f>G3038*H3038</f>
      </c>
      <c r="J3038" s="153" t="s">
        <v>134</v>
      </c>
      <c r="K3038" s="146"/>
      <c r="Z3038" s="111">
        <f>IF(AQ3038="5",BJ3038,0)</f>
      </c>
      <c r="AB3038" s="111">
        <f>IF(AQ3038="1",BH3038,0)</f>
      </c>
      <c r="AC3038" s="111">
        <f>IF(AQ3038="1",BI3038,0)</f>
      </c>
      <c r="AD3038" s="111">
        <f>IF(AQ3038="7",BH3038,0)</f>
      </c>
      <c r="AE3038" s="111">
        <f>IF(AQ3038="7",BI3038,0)</f>
      </c>
      <c r="AF3038" s="111">
        <f>IF(AQ3038="2",BH3038,0)</f>
      </c>
      <c r="AG3038" s="111">
        <f>IF(AQ3038="2",BI3038,0)</f>
      </c>
      <c r="AH3038" s="111">
        <f>IF(AQ3038="0",BJ3038,0)</f>
      </c>
      <c r="AI3038" s="132" t="s">
        <v>93</v>
      </c>
      <c r="AJ3038" s="111">
        <f>IF(AN3038=0,I3038,0)</f>
      </c>
      <c r="AK3038" s="111">
        <f>IF(AN3038=12,I3038,0)</f>
      </c>
      <c r="AL3038" s="111">
        <f>IF(AN3038=21,I3038,0)</f>
      </c>
      <c r="AN3038" s="111" t="n">
        <v>21</v>
      </c>
      <c r="AO3038" s="111">
        <f>H3038*0.090772259</f>
      </c>
      <c r="AP3038" s="111">
        <f>H3038*(1-0.090772259)</f>
      </c>
      <c r="AQ3038" s="153" t="s">
        <v>140</v>
      </c>
      <c r="AV3038" s="111">
        <f>AW3038+AX3038</f>
      </c>
      <c r="AW3038" s="111">
        <f>G3038*AO3038</f>
      </c>
      <c r="AX3038" s="111">
        <f>G3038*AP3038</f>
      </c>
      <c r="AY3038" s="153" t="s">
        <v>4112</v>
      </c>
      <c r="AZ3038" s="153" t="s">
        <v>4606</v>
      </c>
      <c r="BA3038" s="132" t="s">
        <v>4594</v>
      </c>
      <c r="BC3038" s="111">
        <f>AW3038+AX3038</f>
      </c>
      <c r="BD3038" s="111">
        <f>H3038/(100-BE3038)*100</f>
      </c>
      <c r="BE3038" s="111" t="n">
        <v>0</v>
      </c>
      <c r="BF3038" s="111">
        <f>3038</f>
      </c>
      <c r="BH3038" s="111">
        <f>G3038*AO3038</f>
      </c>
      <c r="BI3038" s="111">
        <f>G3038*AP3038</f>
      </c>
      <c r="BJ3038" s="111">
        <f>G3038*H3038</f>
      </c>
      <c r="BK3038" s="111"/>
      <c r="BL3038" s="111"/>
      <c r="BW3038" s="111" t="n">
        <v>21</v>
      </c>
      <c r="BX3038" s="14" t="s">
        <v>4848</v>
      </c>
    </row>
    <row r="3039" customHeight="true" ht="13.5">
      <c r="A3039" s="159"/>
      <c r="C3039" s="160" t="s">
        <v>146</v>
      </c>
      <c r="D3039" s="161" t="s">
        <v>4846</v>
      </c>
      <c r="E3039" s="156"/>
      <c r="F3039" s="156"/>
      <c r="G3039" s="156"/>
      <c r="H3039" s="162"/>
      <c r="I3039" s="156"/>
      <c r="J3039" s="156"/>
      <c r="K3039" s="163"/>
    </row>
    <row r="3040">
      <c r="A3040" s="9" t="s">
        <v>4849</v>
      </c>
      <c r="B3040" s="10" t="s">
        <v>93</v>
      </c>
      <c r="C3040" s="10" t="s">
        <v>4850</v>
      </c>
      <c r="D3040" s="14" t="s">
        <v>4851</v>
      </c>
      <c r="E3040" s="10"/>
      <c r="F3040" s="10" t="s">
        <v>282</v>
      </c>
      <c r="G3040" s="111" t="n">
        <v>120</v>
      </c>
      <c r="H3040" s="152" t="n">
        <v>0</v>
      </c>
      <c r="I3040" s="111">
        <f>G3040*H3040</f>
      </c>
      <c r="J3040" s="153" t="s">
        <v>134</v>
      </c>
      <c r="K3040" s="146"/>
      <c r="Z3040" s="111">
        <f>IF(AQ3040="5",BJ3040,0)</f>
      </c>
      <c r="AB3040" s="111">
        <f>IF(AQ3040="1",BH3040,0)</f>
      </c>
      <c r="AC3040" s="111">
        <f>IF(AQ3040="1",BI3040,0)</f>
      </c>
      <c r="AD3040" s="111">
        <f>IF(AQ3040="7",BH3040,0)</f>
      </c>
      <c r="AE3040" s="111">
        <f>IF(AQ3040="7",BI3040,0)</f>
      </c>
      <c r="AF3040" s="111">
        <f>IF(AQ3040="2",BH3040,0)</f>
      </c>
      <c r="AG3040" s="111">
        <f>IF(AQ3040="2",BI3040,0)</f>
      </c>
      <c r="AH3040" s="111">
        <f>IF(AQ3040="0",BJ3040,0)</f>
      </c>
      <c r="AI3040" s="132" t="s">
        <v>93</v>
      </c>
      <c r="AJ3040" s="111">
        <f>IF(AN3040=0,I3040,0)</f>
      </c>
      <c r="AK3040" s="111">
        <f>IF(AN3040=12,I3040,0)</f>
      </c>
      <c r="AL3040" s="111">
        <f>IF(AN3040=21,I3040,0)</f>
      </c>
      <c r="AN3040" s="111" t="n">
        <v>21</v>
      </c>
      <c r="AO3040" s="111">
        <f>H3040*0</f>
      </c>
      <c r="AP3040" s="111">
        <f>H3040*(1-0)</f>
      </c>
      <c r="AQ3040" s="153" t="s">
        <v>140</v>
      </c>
      <c r="AV3040" s="111">
        <f>AW3040+AX3040</f>
      </c>
      <c r="AW3040" s="111">
        <f>G3040*AO3040</f>
      </c>
      <c r="AX3040" s="111">
        <f>G3040*AP3040</f>
      </c>
      <c r="AY3040" s="153" t="s">
        <v>4112</v>
      </c>
      <c r="AZ3040" s="153" t="s">
        <v>4606</v>
      </c>
      <c r="BA3040" s="132" t="s">
        <v>4594</v>
      </c>
      <c r="BC3040" s="111">
        <f>AW3040+AX3040</f>
      </c>
      <c r="BD3040" s="111">
        <f>H3040/(100-BE3040)*100</f>
      </c>
      <c r="BE3040" s="111" t="n">
        <v>0</v>
      </c>
      <c r="BF3040" s="111">
        <f>3040</f>
      </c>
      <c r="BH3040" s="111">
        <f>G3040*AO3040</f>
      </c>
      <c r="BI3040" s="111">
        <f>G3040*AP3040</f>
      </c>
      <c r="BJ3040" s="111">
        <f>G3040*H3040</f>
      </c>
      <c r="BK3040" s="111"/>
      <c r="BL3040" s="111"/>
      <c r="BW3040" s="111" t="n">
        <v>21</v>
      </c>
      <c r="BX3040" s="14" t="s">
        <v>4851</v>
      </c>
    </row>
    <row r="3041" customHeight="true" ht="13.5">
      <c r="A3041" s="159"/>
      <c r="C3041" s="160" t="s">
        <v>146</v>
      </c>
      <c r="D3041" s="161" t="s">
        <v>4852</v>
      </c>
      <c r="E3041" s="156"/>
      <c r="F3041" s="156"/>
      <c r="G3041" s="156"/>
      <c r="H3041" s="162"/>
      <c r="I3041" s="156"/>
      <c r="J3041" s="156"/>
      <c r="K3041" s="163"/>
    </row>
    <row r="3042">
      <c r="A3042" s="9" t="s">
        <v>4853</v>
      </c>
      <c r="B3042" s="10" t="s">
        <v>93</v>
      </c>
      <c r="C3042" s="10" t="s">
        <v>4854</v>
      </c>
      <c r="D3042" s="14" t="s">
        <v>4855</v>
      </c>
      <c r="E3042" s="10"/>
      <c r="F3042" s="10" t="s">
        <v>282</v>
      </c>
      <c r="G3042" s="111" t="n">
        <v>75</v>
      </c>
      <c r="H3042" s="152" t="n">
        <v>0</v>
      </c>
      <c r="I3042" s="111">
        <f>G3042*H3042</f>
      </c>
      <c r="J3042" s="153" t="s">
        <v>134</v>
      </c>
      <c r="K3042" s="146"/>
      <c r="Z3042" s="111">
        <f>IF(AQ3042="5",BJ3042,0)</f>
      </c>
      <c r="AB3042" s="111">
        <f>IF(AQ3042="1",BH3042,0)</f>
      </c>
      <c r="AC3042" s="111">
        <f>IF(AQ3042="1",BI3042,0)</f>
      </c>
      <c r="AD3042" s="111">
        <f>IF(AQ3042="7",BH3042,0)</f>
      </c>
      <c r="AE3042" s="111">
        <f>IF(AQ3042="7",BI3042,0)</f>
      </c>
      <c r="AF3042" s="111">
        <f>IF(AQ3042="2",BH3042,0)</f>
      </c>
      <c r="AG3042" s="111">
        <f>IF(AQ3042="2",BI3042,0)</f>
      </c>
      <c r="AH3042" s="111">
        <f>IF(AQ3042="0",BJ3042,0)</f>
      </c>
      <c r="AI3042" s="132" t="s">
        <v>93</v>
      </c>
      <c r="AJ3042" s="111">
        <f>IF(AN3042=0,I3042,0)</f>
      </c>
      <c r="AK3042" s="111">
        <f>IF(AN3042=12,I3042,0)</f>
      </c>
      <c r="AL3042" s="111">
        <f>IF(AN3042=21,I3042,0)</f>
      </c>
      <c r="AN3042" s="111" t="n">
        <v>21</v>
      </c>
      <c r="AO3042" s="111">
        <f>H3042*0</f>
      </c>
      <c r="AP3042" s="111">
        <f>H3042*(1-0)</f>
      </c>
      <c r="AQ3042" s="153" t="s">
        <v>140</v>
      </c>
      <c r="AV3042" s="111">
        <f>AW3042+AX3042</f>
      </c>
      <c r="AW3042" s="111">
        <f>G3042*AO3042</f>
      </c>
      <c r="AX3042" s="111">
        <f>G3042*AP3042</f>
      </c>
      <c r="AY3042" s="153" t="s">
        <v>4112</v>
      </c>
      <c r="AZ3042" s="153" t="s">
        <v>4606</v>
      </c>
      <c r="BA3042" s="132" t="s">
        <v>4594</v>
      </c>
      <c r="BC3042" s="111">
        <f>AW3042+AX3042</f>
      </c>
      <c r="BD3042" s="111">
        <f>H3042/(100-BE3042)*100</f>
      </c>
      <c r="BE3042" s="111" t="n">
        <v>0</v>
      </c>
      <c r="BF3042" s="111">
        <f>3042</f>
      </c>
      <c r="BH3042" s="111">
        <f>G3042*AO3042</f>
      </c>
      <c r="BI3042" s="111">
        <f>G3042*AP3042</f>
      </c>
      <c r="BJ3042" s="111">
        <f>G3042*H3042</f>
      </c>
      <c r="BK3042" s="111"/>
      <c r="BL3042" s="111"/>
      <c r="BW3042" s="111" t="n">
        <v>21</v>
      </c>
      <c r="BX3042" s="14" t="s">
        <v>4855</v>
      </c>
    </row>
    <row r="3043" customHeight="true" ht="13.5">
      <c r="A3043" s="159"/>
      <c r="C3043" s="160" t="s">
        <v>146</v>
      </c>
      <c r="D3043" s="161" t="s">
        <v>4852</v>
      </c>
      <c r="E3043" s="156"/>
      <c r="F3043" s="156"/>
      <c r="G3043" s="156"/>
      <c r="H3043" s="162"/>
      <c r="I3043" s="156"/>
      <c r="J3043" s="156"/>
      <c r="K3043" s="163"/>
    </row>
    <row r="3044">
      <c r="A3044" s="9" t="s">
        <v>4856</v>
      </c>
      <c r="B3044" s="10" t="s">
        <v>93</v>
      </c>
      <c r="C3044" s="10" t="s">
        <v>4857</v>
      </c>
      <c r="D3044" s="14" t="s">
        <v>4858</v>
      </c>
      <c r="E3044" s="10"/>
      <c r="F3044" s="10" t="s">
        <v>282</v>
      </c>
      <c r="G3044" s="111" t="n">
        <v>200</v>
      </c>
      <c r="H3044" s="152" t="n">
        <v>0</v>
      </c>
      <c r="I3044" s="111">
        <f>G3044*H3044</f>
      </c>
      <c r="J3044" s="153" t="s">
        <v>134</v>
      </c>
      <c r="K3044" s="146"/>
      <c r="Z3044" s="111">
        <f>IF(AQ3044="5",BJ3044,0)</f>
      </c>
      <c r="AB3044" s="111">
        <f>IF(AQ3044="1",BH3044,0)</f>
      </c>
      <c r="AC3044" s="111">
        <f>IF(AQ3044="1",BI3044,0)</f>
      </c>
      <c r="AD3044" s="111">
        <f>IF(AQ3044="7",BH3044,0)</f>
      </c>
      <c r="AE3044" s="111">
        <f>IF(AQ3044="7",BI3044,0)</f>
      </c>
      <c r="AF3044" s="111">
        <f>IF(AQ3044="2",BH3044,0)</f>
      </c>
      <c r="AG3044" s="111">
        <f>IF(AQ3044="2",BI3044,0)</f>
      </c>
      <c r="AH3044" s="111">
        <f>IF(AQ3044="0",BJ3044,0)</f>
      </c>
      <c r="AI3044" s="132" t="s">
        <v>93</v>
      </c>
      <c r="AJ3044" s="111">
        <f>IF(AN3044=0,I3044,0)</f>
      </c>
      <c r="AK3044" s="111">
        <f>IF(AN3044=12,I3044,0)</f>
      </c>
      <c r="AL3044" s="111">
        <f>IF(AN3044=21,I3044,0)</f>
      </c>
      <c r="AN3044" s="111" t="n">
        <v>21</v>
      </c>
      <c r="AO3044" s="111">
        <f>H3044*0.483783325</f>
      </c>
      <c r="AP3044" s="111">
        <f>H3044*(1-0.483783325)</f>
      </c>
      <c r="AQ3044" s="153" t="s">
        <v>140</v>
      </c>
      <c r="AV3044" s="111">
        <f>AW3044+AX3044</f>
      </c>
      <c r="AW3044" s="111">
        <f>G3044*AO3044</f>
      </c>
      <c r="AX3044" s="111">
        <f>G3044*AP3044</f>
      </c>
      <c r="AY3044" s="153" t="s">
        <v>4112</v>
      </c>
      <c r="AZ3044" s="153" t="s">
        <v>4606</v>
      </c>
      <c r="BA3044" s="132" t="s">
        <v>4594</v>
      </c>
      <c r="BC3044" s="111">
        <f>AW3044+AX3044</f>
      </c>
      <c r="BD3044" s="111">
        <f>H3044/(100-BE3044)*100</f>
      </c>
      <c r="BE3044" s="111" t="n">
        <v>0</v>
      </c>
      <c r="BF3044" s="111">
        <f>3044</f>
      </c>
      <c r="BH3044" s="111">
        <f>G3044*AO3044</f>
      </c>
      <c r="BI3044" s="111">
        <f>G3044*AP3044</f>
      </c>
      <c r="BJ3044" s="111">
        <f>G3044*H3044</f>
      </c>
      <c r="BK3044" s="111"/>
      <c r="BL3044" s="111"/>
      <c r="BW3044" s="111" t="n">
        <v>21</v>
      </c>
      <c r="BX3044" s="14" t="s">
        <v>4858</v>
      </c>
    </row>
    <row r="3045" customHeight="true" ht="13.5">
      <c r="A3045" s="159"/>
      <c r="C3045" s="160" t="s">
        <v>146</v>
      </c>
      <c r="D3045" s="161" t="s">
        <v>4859</v>
      </c>
      <c r="E3045" s="156"/>
      <c r="F3045" s="156"/>
      <c r="G3045" s="156"/>
      <c r="H3045" s="162"/>
      <c r="I3045" s="156"/>
      <c r="J3045" s="156"/>
      <c r="K3045" s="163"/>
    </row>
    <row r="3046">
      <c r="A3046" s="154"/>
      <c r="B3046" s="155"/>
      <c r="C3046" s="155"/>
      <c r="D3046" s="156" t="s">
        <v>805</v>
      </c>
      <c r="E3046" s="156" t="s">
        <v>4597</v>
      </c>
      <c r="F3046" s="155"/>
      <c r="G3046" s="157" t="n">
        <v>100</v>
      </c>
      <c r="H3046" s="158"/>
      <c r="I3046" s="155"/>
      <c r="J3046" s="155"/>
      <c r="K3046" s="146"/>
    </row>
    <row r="3047">
      <c r="A3047" s="154"/>
      <c r="B3047" s="155"/>
      <c r="C3047" s="155"/>
      <c r="D3047" s="156" t="s">
        <v>805</v>
      </c>
      <c r="E3047" s="156" t="s">
        <v>4599</v>
      </c>
      <c r="F3047" s="155"/>
      <c r="G3047" s="157" t="n">
        <v>100</v>
      </c>
      <c r="H3047" s="158"/>
      <c r="I3047" s="155"/>
      <c r="J3047" s="155"/>
      <c r="K3047" s="146"/>
    </row>
    <row r="3048">
      <c r="A3048" s="9" t="s">
        <v>4860</v>
      </c>
      <c r="B3048" s="10" t="s">
        <v>93</v>
      </c>
      <c r="C3048" s="10" t="s">
        <v>4861</v>
      </c>
      <c r="D3048" s="14" t="s">
        <v>4862</v>
      </c>
      <c r="E3048" s="10"/>
      <c r="F3048" s="10" t="s">
        <v>282</v>
      </c>
      <c r="G3048" s="111" t="n">
        <v>250</v>
      </c>
      <c r="H3048" s="152" t="n">
        <v>0</v>
      </c>
      <c r="I3048" s="111">
        <f>G3048*H3048</f>
      </c>
      <c r="J3048" s="153" t="s">
        <v>134</v>
      </c>
      <c r="K3048" s="146"/>
      <c r="Z3048" s="111">
        <f>IF(AQ3048="5",BJ3048,0)</f>
      </c>
      <c r="AB3048" s="111">
        <f>IF(AQ3048="1",BH3048,0)</f>
      </c>
      <c r="AC3048" s="111">
        <f>IF(AQ3048="1",BI3048,0)</f>
      </c>
      <c r="AD3048" s="111">
        <f>IF(AQ3048="7",BH3048,0)</f>
      </c>
      <c r="AE3048" s="111">
        <f>IF(AQ3048="7",BI3048,0)</f>
      </c>
      <c r="AF3048" s="111">
        <f>IF(AQ3048="2",BH3048,0)</f>
      </c>
      <c r="AG3048" s="111">
        <f>IF(AQ3048="2",BI3048,0)</f>
      </c>
      <c r="AH3048" s="111">
        <f>IF(AQ3048="0",BJ3048,0)</f>
      </c>
      <c r="AI3048" s="132" t="s">
        <v>93</v>
      </c>
      <c r="AJ3048" s="111">
        <f>IF(AN3048=0,I3048,0)</f>
      </c>
      <c r="AK3048" s="111">
        <f>IF(AN3048=12,I3048,0)</f>
      </c>
      <c r="AL3048" s="111">
        <f>IF(AN3048=21,I3048,0)</f>
      </c>
      <c r="AN3048" s="111" t="n">
        <v>21</v>
      </c>
      <c r="AO3048" s="111">
        <f>H3048*0.381236674</f>
      </c>
      <c r="AP3048" s="111">
        <f>H3048*(1-0.381236674)</f>
      </c>
      <c r="AQ3048" s="153" t="s">
        <v>140</v>
      </c>
      <c r="AV3048" s="111">
        <f>AW3048+AX3048</f>
      </c>
      <c r="AW3048" s="111">
        <f>G3048*AO3048</f>
      </c>
      <c r="AX3048" s="111">
        <f>G3048*AP3048</f>
      </c>
      <c r="AY3048" s="153" t="s">
        <v>4112</v>
      </c>
      <c r="AZ3048" s="153" t="s">
        <v>4606</v>
      </c>
      <c r="BA3048" s="132" t="s">
        <v>4594</v>
      </c>
      <c r="BC3048" s="111">
        <f>AW3048+AX3048</f>
      </c>
      <c r="BD3048" s="111">
        <f>H3048/(100-BE3048)*100</f>
      </c>
      <c r="BE3048" s="111" t="n">
        <v>0</v>
      </c>
      <c r="BF3048" s="111">
        <f>3048</f>
      </c>
      <c r="BH3048" s="111">
        <f>G3048*AO3048</f>
      </c>
      <c r="BI3048" s="111">
        <f>G3048*AP3048</f>
      </c>
      <c r="BJ3048" s="111">
        <f>G3048*H3048</f>
      </c>
      <c r="BK3048" s="111"/>
      <c r="BL3048" s="111"/>
      <c r="BW3048" s="111" t="n">
        <v>21</v>
      </c>
      <c r="BX3048" s="14" t="s">
        <v>4862</v>
      </c>
    </row>
    <row r="3049" customHeight="true" ht="13.5">
      <c r="A3049" s="159"/>
      <c r="C3049" s="160" t="s">
        <v>146</v>
      </c>
      <c r="D3049" s="161" t="s">
        <v>4863</v>
      </c>
      <c r="E3049" s="156"/>
      <c r="F3049" s="156"/>
      <c r="G3049" s="156"/>
      <c r="H3049" s="162"/>
      <c r="I3049" s="156"/>
      <c r="J3049" s="156"/>
      <c r="K3049" s="163"/>
    </row>
    <row r="3050">
      <c r="A3050" s="154"/>
      <c r="B3050" s="155"/>
      <c r="C3050" s="155"/>
      <c r="D3050" s="156" t="s">
        <v>805</v>
      </c>
      <c r="E3050" s="156" t="s">
        <v>4597</v>
      </c>
      <c r="F3050" s="155"/>
      <c r="G3050" s="157" t="n">
        <v>100</v>
      </c>
      <c r="H3050" s="158"/>
      <c r="I3050" s="155"/>
      <c r="J3050" s="155"/>
      <c r="K3050" s="146"/>
    </row>
    <row r="3051">
      <c r="A3051" s="154"/>
      <c r="B3051" s="155"/>
      <c r="C3051" s="155"/>
      <c r="D3051" s="156" t="s">
        <v>1202</v>
      </c>
      <c r="E3051" s="156" t="s">
        <v>4599</v>
      </c>
      <c r="F3051" s="155"/>
      <c r="G3051" s="157" t="n">
        <v>150</v>
      </c>
      <c r="H3051" s="158"/>
      <c r="I3051" s="155"/>
      <c r="J3051" s="155"/>
      <c r="K3051" s="146"/>
    </row>
    <row r="3052">
      <c r="A3052" s="9" t="s">
        <v>4864</v>
      </c>
      <c r="B3052" s="10" t="s">
        <v>93</v>
      </c>
      <c r="C3052" s="10" t="s">
        <v>4865</v>
      </c>
      <c r="D3052" s="14" t="s">
        <v>4866</v>
      </c>
      <c r="E3052" s="10"/>
      <c r="F3052" s="10" t="s">
        <v>282</v>
      </c>
      <c r="G3052" s="111" t="n">
        <v>350</v>
      </c>
      <c r="H3052" s="152" t="n">
        <v>0</v>
      </c>
      <c r="I3052" s="111">
        <f>G3052*H3052</f>
      </c>
      <c r="J3052" s="153" t="s">
        <v>134</v>
      </c>
      <c r="K3052" s="146"/>
      <c r="Z3052" s="111">
        <f>IF(AQ3052="5",BJ3052,0)</f>
      </c>
      <c r="AB3052" s="111">
        <f>IF(AQ3052="1",BH3052,0)</f>
      </c>
      <c r="AC3052" s="111">
        <f>IF(AQ3052="1",BI3052,0)</f>
      </c>
      <c r="AD3052" s="111">
        <f>IF(AQ3052="7",BH3052,0)</f>
      </c>
      <c r="AE3052" s="111">
        <f>IF(AQ3052="7",BI3052,0)</f>
      </c>
      <c r="AF3052" s="111">
        <f>IF(AQ3052="2",BH3052,0)</f>
      </c>
      <c r="AG3052" s="111">
        <f>IF(AQ3052="2",BI3052,0)</f>
      </c>
      <c r="AH3052" s="111">
        <f>IF(AQ3052="0",BJ3052,0)</f>
      </c>
      <c r="AI3052" s="132" t="s">
        <v>93</v>
      </c>
      <c r="AJ3052" s="111">
        <f>IF(AN3052=0,I3052,0)</f>
      </c>
      <c r="AK3052" s="111">
        <f>IF(AN3052=12,I3052,0)</f>
      </c>
      <c r="AL3052" s="111">
        <f>IF(AN3052=21,I3052,0)</f>
      </c>
      <c r="AN3052" s="111" t="n">
        <v>21</v>
      </c>
      <c r="AO3052" s="111">
        <f>H3052*0.307053942</f>
      </c>
      <c r="AP3052" s="111">
        <f>H3052*(1-0.307053942)</f>
      </c>
      <c r="AQ3052" s="153" t="s">
        <v>140</v>
      </c>
      <c r="AV3052" s="111">
        <f>AW3052+AX3052</f>
      </c>
      <c r="AW3052" s="111">
        <f>G3052*AO3052</f>
      </c>
      <c r="AX3052" s="111">
        <f>G3052*AP3052</f>
      </c>
      <c r="AY3052" s="153" t="s">
        <v>4112</v>
      </c>
      <c r="AZ3052" s="153" t="s">
        <v>4606</v>
      </c>
      <c r="BA3052" s="132" t="s">
        <v>4594</v>
      </c>
      <c r="BC3052" s="111">
        <f>AW3052+AX3052</f>
      </c>
      <c r="BD3052" s="111">
        <f>H3052/(100-BE3052)*100</f>
      </c>
      <c r="BE3052" s="111" t="n">
        <v>0</v>
      </c>
      <c r="BF3052" s="111">
        <f>3052</f>
      </c>
      <c r="BH3052" s="111">
        <f>G3052*AO3052</f>
      </c>
      <c r="BI3052" s="111">
        <f>G3052*AP3052</f>
      </c>
      <c r="BJ3052" s="111">
        <f>G3052*H3052</f>
      </c>
      <c r="BK3052" s="111"/>
      <c r="BL3052" s="111"/>
      <c r="BW3052" s="111" t="n">
        <v>21</v>
      </c>
      <c r="BX3052" s="14" t="s">
        <v>4866</v>
      </c>
    </row>
    <row r="3053" customHeight="true" ht="13.5">
      <c r="A3053" s="159"/>
      <c r="C3053" s="160" t="s">
        <v>146</v>
      </c>
      <c r="D3053" s="161" t="s">
        <v>4859</v>
      </c>
      <c r="E3053" s="156"/>
      <c r="F3053" s="156"/>
      <c r="G3053" s="156"/>
      <c r="H3053" s="162"/>
      <c r="I3053" s="156"/>
      <c r="J3053" s="156"/>
      <c r="K3053" s="163"/>
    </row>
    <row r="3054">
      <c r="A3054" s="154"/>
      <c r="B3054" s="155"/>
      <c r="C3054" s="155"/>
      <c r="D3054" s="156" t="s">
        <v>1202</v>
      </c>
      <c r="E3054" s="156" t="s">
        <v>4597</v>
      </c>
      <c r="F3054" s="155"/>
      <c r="G3054" s="157" t="n">
        <v>150</v>
      </c>
      <c r="H3054" s="158"/>
      <c r="I3054" s="155"/>
      <c r="J3054" s="155"/>
      <c r="K3054" s="146"/>
    </row>
    <row r="3055">
      <c r="A3055" s="154"/>
      <c r="B3055" s="155"/>
      <c r="C3055" s="155"/>
      <c r="D3055" s="156" t="s">
        <v>1478</v>
      </c>
      <c r="E3055" s="156" t="s">
        <v>4599</v>
      </c>
      <c r="F3055" s="155"/>
      <c r="G3055" s="157" t="n">
        <v>200</v>
      </c>
      <c r="H3055" s="158"/>
      <c r="I3055" s="155"/>
      <c r="J3055" s="155"/>
      <c r="K3055" s="146"/>
    </row>
    <row r="3056">
      <c r="A3056" s="9" t="s">
        <v>4867</v>
      </c>
      <c r="B3056" s="10" t="s">
        <v>93</v>
      </c>
      <c r="C3056" s="10" t="s">
        <v>4868</v>
      </c>
      <c r="D3056" s="14" t="s">
        <v>4869</v>
      </c>
      <c r="E3056" s="10"/>
      <c r="F3056" s="10" t="s">
        <v>282</v>
      </c>
      <c r="G3056" s="111" t="n">
        <v>400</v>
      </c>
      <c r="H3056" s="152" t="n">
        <v>0</v>
      </c>
      <c r="I3056" s="111">
        <f>G3056*H3056</f>
      </c>
      <c r="J3056" s="153" t="s">
        <v>134</v>
      </c>
      <c r="K3056" s="146"/>
      <c r="Z3056" s="111">
        <f>IF(AQ3056="5",BJ3056,0)</f>
      </c>
      <c r="AB3056" s="111">
        <f>IF(AQ3056="1",BH3056,0)</f>
      </c>
      <c r="AC3056" s="111">
        <f>IF(AQ3056="1",BI3056,0)</f>
      </c>
      <c r="AD3056" s="111">
        <f>IF(AQ3056="7",BH3056,0)</f>
      </c>
      <c r="AE3056" s="111">
        <f>IF(AQ3056="7",BI3056,0)</f>
      </c>
      <c r="AF3056" s="111">
        <f>IF(AQ3056="2",BH3056,0)</f>
      </c>
      <c r="AG3056" s="111">
        <f>IF(AQ3056="2",BI3056,0)</f>
      </c>
      <c r="AH3056" s="111">
        <f>IF(AQ3056="0",BJ3056,0)</f>
      </c>
      <c r="AI3056" s="132" t="s">
        <v>93</v>
      </c>
      <c r="AJ3056" s="111">
        <f>IF(AN3056=0,I3056,0)</f>
      </c>
      <c r="AK3056" s="111">
        <f>IF(AN3056=12,I3056,0)</f>
      </c>
      <c r="AL3056" s="111">
        <f>IF(AN3056=21,I3056,0)</f>
      </c>
      <c r="AN3056" s="111" t="n">
        <v>21</v>
      </c>
      <c r="AO3056" s="111">
        <f>H3056*0.231633312</f>
      </c>
      <c r="AP3056" s="111">
        <f>H3056*(1-0.231633312)</f>
      </c>
      <c r="AQ3056" s="153" t="s">
        <v>140</v>
      </c>
      <c r="AV3056" s="111">
        <f>AW3056+AX3056</f>
      </c>
      <c r="AW3056" s="111">
        <f>G3056*AO3056</f>
      </c>
      <c r="AX3056" s="111">
        <f>G3056*AP3056</f>
      </c>
      <c r="AY3056" s="153" t="s">
        <v>4112</v>
      </c>
      <c r="AZ3056" s="153" t="s">
        <v>4606</v>
      </c>
      <c r="BA3056" s="132" t="s">
        <v>4594</v>
      </c>
      <c r="BC3056" s="111">
        <f>AW3056+AX3056</f>
      </c>
      <c r="BD3056" s="111">
        <f>H3056/(100-BE3056)*100</f>
      </c>
      <c r="BE3056" s="111" t="n">
        <v>0</v>
      </c>
      <c r="BF3056" s="111">
        <f>3056</f>
      </c>
      <c r="BH3056" s="111">
        <f>G3056*AO3056</f>
      </c>
      <c r="BI3056" s="111">
        <f>G3056*AP3056</f>
      </c>
      <c r="BJ3056" s="111">
        <f>G3056*H3056</f>
      </c>
      <c r="BK3056" s="111"/>
      <c r="BL3056" s="111"/>
      <c r="BW3056" s="111" t="n">
        <v>21</v>
      </c>
      <c r="BX3056" s="14" t="s">
        <v>4869</v>
      </c>
    </row>
    <row r="3057" customHeight="true" ht="13.5">
      <c r="A3057" s="159"/>
      <c r="C3057" s="160" t="s">
        <v>146</v>
      </c>
      <c r="D3057" s="161" t="s">
        <v>4863</v>
      </c>
      <c r="E3057" s="156"/>
      <c r="F3057" s="156"/>
      <c r="G3057" s="156"/>
      <c r="H3057" s="162"/>
      <c r="I3057" s="156"/>
      <c r="J3057" s="156"/>
      <c r="K3057" s="163"/>
    </row>
    <row r="3058">
      <c r="A3058" s="154"/>
      <c r="B3058" s="155"/>
      <c r="C3058" s="155"/>
      <c r="D3058" s="156" t="s">
        <v>805</v>
      </c>
      <c r="E3058" s="156" t="s">
        <v>4597</v>
      </c>
      <c r="F3058" s="155"/>
      <c r="G3058" s="157" t="n">
        <v>100</v>
      </c>
      <c r="H3058" s="158"/>
      <c r="I3058" s="155"/>
      <c r="J3058" s="155"/>
      <c r="K3058" s="146"/>
    </row>
    <row r="3059">
      <c r="A3059" s="154"/>
      <c r="B3059" s="155"/>
      <c r="C3059" s="155"/>
      <c r="D3059" s="156" t="s">
        <v>2020</v>
      </c>
      <c r="E3059" s="156" t="s">
        <v>4599</v>
      </c>
      <c r="F3059" s="155"/>
      <c r="G3059" s="157" t="n">
        <v>300</v>
      </c>
      <c r="H3059" s="158"/>
      <c r="I3059" s="155"/>
      <c r="J3059" s="155"/>
      <c r="K3059" s="146"/>
    </row>
    <row r="3060">
      <c r="A3060" s="9" t="s">
        <v>4870</v>
      </c>
      <c r="B3060" s="10" t="s">
        <v>93</v>
      </c>
      <c r="C3060" s="10" t="s">
        <v>4871</v>
      </c>
      <c r="D3060" s="14" t="s">
        <v>4872</v>
      </c>
      <c r="E3060" s="10"/>
      <c r="F3060" s="10" t="s">
        <v>133</v>
      </c>
      <c r="G3060" s="111" t="n">
        <v>1</v>
      </c>
      <c r="H3060" s="152" t="n">
        <v>0</v>
      </c>
      <c r="I3060" s="111">
        <f>G3060*H3060</f>
      </c>
      <c r="J3060" s="153" t="s">
        <v>134</v>
      </c>
      <c r="K3060" s="146"/>
      <c r="Z3060" s="111">
        <f>IF(AQ3060="5",BJ3060,0)</f>
      </c>
      <c r="AB3060" s="111">
        <f>IF(AQ3060="1",BH3060,0)</f>
      </c>
      <c r="AC3060" s="111">
        <f>IF(AQ3060="1",BI3060,0)</f>
      </c>
      <c r="AD3060" s="111">
        <f>IF(AQ3060="7",BH3060,0)</f>
      </c>
      <c r="AE3060" s="111">
        <f>IF(AQ3060="7",BI3060,0)</f>
      </c>
      <c r="AF3060" s="111">
        <f>IF(AQ3060="2",BH3060,0)</f>
      </c>
      <c r="AG3060" s="111">
        <f>IF(AQ3060="2",BI3060,0)</f>
      </c>
      <c r="AH3060" s="111">
        <f>IF(AQ3060="0",BJ3060,0)</f>
      </c>
      <c r="AI3060" s="132" t="s">
        <v>93</v>
      </c>
      <c r="AJ3060" s="111">
        <f>IF(AN3060=0,I3060,0)</f>
      </c>
      <c r="AK3060" s="111">
        <f>IF(AN3060=12,I3060,0)</f>
      </c>
      <c r="AL3060" s="111">
        <f>IF(AN3060=21,I3060,0)</f>
      </c>
      <c r="AN3060" s="111" t="n">
        <v>21</v>
      </c>
      <c r="AO3060" s="111">
        <f>H3060*1</f>
      </c>
      <c r="AP3060" s="111">
        <f>H3060*(1-1)</f>
      </c>
      <c r="AQ3060" s="153" t="s">
        <v>130</v>
      </c>
      <c r="AV3060" s="111">
        <f>AW3060+AX3060</f>
      </c>
      <c r="AW3060" s="111">
        <f>G3060*AO3060</f>
      </c>
      <c r="AX3060" s="111">
        <f>G3060*AP3060</f>
      </c>
      <c r="AY3060" s="153" t="s">
        <v>4112</v>
      </c>
      <c r="AZ3060" s="153" t="s">
        <v>4606</v>
      </c>
      <c r="BA3060" s="132" t="s">
        <v>4594</v>
      </c>
      <c r="BC3060" s="111">
        <f>AW3060+AX3060</f>
      </c>
      <c r="BD3060" s="111">
        <f>H3060/(100-BE3060)*100</f>
      </c>
      <c r="BE3060" s="111" t="n">
        <v>0</v>
      </c>
      <c r="BF3060" s="111">
        <f>3060</f>
      </c>
      <c r="BH3060" s="111">
        <f>G3060*AO3060</f>
      </c>
      <c r="BI3060" s="111">
        <f>G3060*AP3060</f>
      </c>
      <c r="BJ3060" s="111">
        <f>G3060*H3060</f>
      </c>
      <c r="BK3060" s="111"/>
      <c r="BL3060" s="111"/>
      <c r="BW3060" s="111" t="n">
        <v>21</v>
      </c>
      <c r="BX3060" s="14" t="s">
        <v>4872</v>
      </c>
    </row>
    <row r="3061">
      <c r="A3061" s="154"/>
      <c r="B3061" s="155"/>
      <c r="C3061" s="155"/>
      <c r="D3061" s="156" t="s">
        <v>130</v>
      </c>
      <c r="E3061" s="156" t="s">
        <v>4726</v>
      </c>
      <c r="F3061" s="155"/>
      <c r="G3061" s="157" t="n">
        <v>1</v>
      </c>
      <c r="H3061" s="158"/>
      <c r="I3061" s="155"/>
      <c r="J3061" s="155"/>
      <c r="K3061" s="146"/>
    </row>
    <row r="3062">
      <c r="A3062" s="9" t="s">
        <v>4873</v>
      </c>
      <c r="B3062" s="10" t="s">
        <v>93</v>
      </c>
      <c r="C3062" s="10" t="s">
        <v>4874</v>
      </c>
      <c r="D3062" s="14" t="s">
        <v>4875</v>
      </c>
      <c r="E3062" s="10"/>
      <c r="F3062" s="10" t="s">
        <v>133</v>
      </c>
      <c r="G3062" s="111" t="n">
        <v>1</v>
      </c>
      <c r="H3062" s="152" t="n">
        <v>0</v>
      </c>
      <c r="I3062" s="111">
        <f>G3062*H3062</f>
      </c>
      <c r="J3062" s="153" t="s">
        <v>134</v>
      </c>
      <c r="K3062" s="146"/>
      <c r="Z3062" s="111">
        <f>IF(AQ3062="5",BJ3062,0)</f>
      </c>
      <c r="AB3062" s="111">
        <f>IF(AQ3062="1",BH3062,0)</f>
      </c>
      <c r="AC3062" s="111">
        <f>IF(AQ3062="1",BI3062,0)</f>
      </c>
      <c r="AD3062" s="111">
        <f>IF(AQ3062="7",BH3062,0)</f>
      </c>
      <c r="AE3062" s="111">
        <f>IF(AQ3062="7",BI3062,0)</f>
      </c>
      <c r="AF3062" s="111">
        <f>IF(AQ3062="2",BH3062,0)</f>
      </c>
      <c r="AG3062" s="111">
        <f>IF(AQ3062="2",BI3062,0)</f>
      </c>
      <c r="AH3062" s="111">
        <f>IF(AQ3062="0",BJ3062,0)</f>
      </c>
      <c r="AI3062" s="132" t="s">
        <v>93</v>
      </c>
      <c r="AJ3062" s="111">
        <f>IF(AN3062=0,I3062,0)</f>
      </c>
      <c r="AK3062" s="111">
        <f>IF(AN3062=12,I3062,0)</f>
      </c>
      <c r="AL3062" s="111">
        <f>IF(AN3062=21,I3062,0)</f>
      </c>
      <c r="AN3062" s="111" t="n">
        <v>21</v>
      </c>
      <c r="AO3062" s="111">
        <f>H3062*1</f>
      </c>
      <c r="AP3062" s="111">
        <f>H3062*(1-1)</f>
      </c>
      <c r="AQ3062" s="153" t="s">
        <v>130</v>
      </c>
      <c r="AV3062" s="111">
        <f>AW3062+AX3062</f>
      </c>
      <c r="AW3062" s="111">
        <f>G3062*AO3062</f>
      </c>
      <c r="AX3062" s="111">
        <f>G3062*AP3062</f>
      </c>
      <c r="AY3062" s="153" t="s">
        <v>4112</v>
      </c>
      <c r="AZ3062" s="153" t="s">
        <v>4606</v>
      </c>
      <c r="BA3062" s="132" t="s">
        <v>4594</v>
      </c>
      <c r="BC3062" s="111">
        <f>AW3062+AX3062</f>
      </c>
      <c r="BD3062" s="111">
        <f>H3062/(100-BE3062)*100</f>
      </c>
      <c r="BE3062" s="111" t="n">
        <v>0</v>
      </c>
      <c r="BF3062" s="111">
        <f>3062</f>
      </c>
      <c r="BH3062" s="111">
        <f>G3062*AO3062</f>
      </c>
      <c r="BI3062" s="111">
        <f>G3062*AP3062</f>
      </c>
      <c r="BJ3062" s="111">
        <f>G3062*H3062</f>
      </c>
      <c r="BK3062" s="111"/>
      <c r="BL3062" s="111"/>
      <c r="BW3062" s="111" t="n">
        <v>21</v>
      </c>
      <c r="BX3062" s="14" t="s">
        <v>4875</v>
      </c>
    </row>
    <row r="3063">
      <c r="A3063" s="154"/>
      <c r="B3063" s="155"/>
      <c r="C3063" s="155"/>
      <c r="D3063" s="156" t="s">
        <v>130</v>
      </c>
      <c r="E3063" s="156" t="s">
        <v>4876</v>
      </c>
      <c r="F3063" s="155"/>
      <c r="G3063" s="157" t="n">
        <v>1</v>
      </c>
      <c r="H3063" s="158"/>
      <c r="I3063" s="155"/>
      <c r="J3063" s="155"/>
      <c r="K3063" s="146"/>
    </row>
    <row r="3064">
      <c r="A3064" s="154"/>
      <c r="B3064" s="155"/>
      <c r="C3064" s="155"/>
      <c r="D3064" s="156" t="s">
        <v>4</v>
      </c>
      <c r="E3064" s="156" t="s">
        <v>4877</v>
      </c>
      <c r="F3064" s="155"/>
      <c r="G3064" s="157" t="n">
        <v>0</v>
      </c>
      <c r="H3064" s="158"/>
      <c r="I3064" s="155"/>
      <c r="J3064" s="155"/>
      <c r="K3064" s="146"/>
    </row>
    <row r="3065">
      <c r="A3065" s="9" t="s">
        <v>4878</v>
      </c>
      <c r="B3065" s="10" t="s">
        <v>93</v>
      </c>
      <c r="C3065" s="10" t="s">
        <v>4879</v>
      </c>
      <c r="D3065" s="14" t="s">
        <v>4880</v>
      </c>
      <c r="E3065" s="10"/>
      <c r="F3065" s="10" t="s">
        <v>133</v>
      </c>
      <c r="G3065" s="111" t="n">
        <v>2</v>
      </c>
      <c r="H3065" s="152" t="n">
        <v>0</v>
      </c>
      <c r="I3065" s="111">
        <f>G3065*H3065</f>
      </c>
      <c r="J3065" s="153" t="s">
        <v>134</v>
      </c>
      <c r="K3065" s="146"/>
      <c r="Z3065" s="111">
        <f>IF(AQ3065="5",BJ3065,0)</f>
      </c>
      <c r="AB3065" s="111">
        <f>IF(AQ3065="1",BH3065,0)</f>
      </c>
      <c r="AC3065" s="111">
        <f>IF(AQ3065="1",BI3065,0)</f>
      </c>
      <c r="AD3065" s="111">
        <f>IF(AQ3065="7",BH3065,0)</f>
      </c>
      <c r="AE3065" s="111">
        <f>IF(AQ3065="7",BI3065,0)</f>
      </c>
      <c r="AF3065" s="111">
        <f>IF(AQ3065="2",BH3065,0)</f>
      </c>
      <c r="AG3065" s="111">
        <f>IF(AQ3065="2",BI3065,0)</f>
      </c>
      <c r="AH3065" s="111">
        <f>IF(AQ3065="0",BJ3065,0)</f>
      </c>
      <c r="AI3065" s="132" t="s">
        <v>93</v>
      </c>
      <c r="AJ3065" s="111">
        <f>IF(AN3065=0,I3065,0)</f>
      </c>
      <c r="AK3065" s="111">
        <f>IF(AN3065=12,I3065,0)</f>
      </c>
      <c r="AL3065" s="111">
        <f>IF(AN3065=21,I3065,0)</f>
      </c>
      <c r="AN3065" s="111" t="n">
        <v>21</v>
      </c>
      <c r="AO3065" s="111">
        <f>H3065*1</f>
      </c>
      <c r="AP3065" s="111">
        <f>H3065*(1-1)</f>
      </c>
      <c r="AQ3065" s="153" t="s">
        <v>130</v>
      </c>
      <c r="AV3065" s="111">
        <f>AW3065+AX3065</f>
      </c>
      <c r="AW3065" s="111">
        <f>G3065*AO3065</f>
      </c>
      <c r="AX3065" s="111">
        <f>G3065*AP3065</f>
      </c>
      <c r="AY3065" s="153" t="s">
        <v>4112</v>
      </c>
      <c r="AZ3065" s="153" t="s">
        <v>4606</v>
      </c>
      <c r="BA3065" s="132" t="s">
        <v>4594</v>
      </c>
      <c r="BC3065" s="111">
        <f>AW3065+AX3065</f>
      </c>
      <c r="BD3065" s="111">
        <f>H3065/(100-BE3065)*100</f>
      </c>
      <c r="BE3065" s="111" t="n">
        <v>0</v>
      </c>
      <c r="BF3065" s="111">
        <f>3065</f>
      </c>
      <c r="BH3065" s="111">
        <f>G3065*AO3065</f>
      </c>
      <c r="BI3065" s="111">
        <f>G3065*AP3065</f>
      </c>
      <c r="BJ3065" s="111">
        <f>G3065*H3065</f>
      </c>
      <c r="BK3065" s="111"/>
      <c r="BL3065" s="111"/>
      <c r="BW3065" s="111" t="n">
        <v>21</v>
      </c>
      <c r="BX3065" s="14" t="s">
        <v>4880</v>
      </c>
    </row>
    <row r="3066">
      <c r="A3066" s="154"/>
      <c r="B3066" s="155"/>
      <c r="C3066" s="155"/>
      <c r="D3066" s="156" t="s">
        <v>140</v>
      </c>
      <c r="E3066" s="156" t="s">
        <v>4726</v>
      </c>
      <c r="F3066" s="155"/>
      <c r="G3066" s="157" t="n">
        <v>2</v>
      </c>
      <c r="H3066" s="158"/>
      <c r="I3066" s="155"/>
      <c r="J3066" s="155"/>
      <c r="K3066" s="146"/>
    </row>
    <row r="3067">
      <c r="A3067" s="9" t="s">
        <v>4881</v>
      </c>
      <c r="B3067" s="10" t="s">
        <v>93</v>
      </c>
      <c r="C3067" s="10" t="s">
        <v>4882</v>
      </c>
      <c r="D3067" s="14" t="s">
        <v>4883</v>
      </c>
      <c r="E3067" s="10"/>
      <c r="F3067" s="10" t="s">
        <v>133</v>
      </c>
      <c r="G3067" s="111" t="n">
        <v>1</v>
      </c>
      <c r="H3067" s="152" t="n">
        <v>0</v>
      </c>
      <c r="I3067" s="111">
        <f>G3067*H3067</f>
      </c>
      <c r="J3067" s="153" t="s">
        <v>134</v>
      </c>
      <c r="K3067" s="146"/>
      <c r="Z3067" s="111">
        <f>IF(AQ3067="5",BJ3067,0)</f>
      </c>
      <c r="AB3067" s="111">
        <f>IF(AQ3067="1",BH3067,0)</f>
      </c>
      <c r="AC3067" s="111">
        <f>IF(AQ3067="1",BI3067,0)</f>
      </c>
      <c r="AD3067" s="111">
        <f>IF(AQ3067="7",BH3067,0)</f>
      </c>
      <c r="AE3067" s="111">
        <f>IF(AQ3067="7",BI3067,0)</f>
      </c>
      <c r="AF3067" s="111">
        <f>IF(AQ3067="2",BH3067,0)</f>
      </c>
      <c r="AG3067" s="111">
        <f>IF(AQ3067="2",BI3067,0)</f>
      </c>
      <c r="AH3067" s="111">
        <f>IF(AQ3067="0",BJ3067,0)</f>
      </c>
      <c r="AI3067" s="132" t="s">
        <v>93</v>
      </c>
      <c r="AJ3067" s="111">
        <f>IF(AN3067=0,I3067,0)</f>
      </c>
      <c r="AK3067" s="111">
        <f>IF(AN3067=12,I3067,0)</f>
      </c>
      <c r="AL3067" s="111">
        <f>IF(AN3067=21,I3067,0)</f>
      </c>
      <c r="AN3067" s="111" t="n">
        <v>21</v>
      </c>
      <c r="AO3067" s="111">
        <f>H3067*1</f>
      </c>
      <c r="AP3067" s="111">
        <f>H3067*(1-1)</f>
      </c>
      <c r="AQ3067" s="153" t="s">
        <v>130</v>
      </c>
      <c r="AV3067" s="111">
        <f>AW3067+AX3067</f>
      </c>
      <c r="AW3067" s="111">
        <f>G3067*AO3067</f>
      </c>
      <c r="AX3067" s="111">
        <f>G3067*AP3067</f>
      </c>
      <c r="AY3067" s="153" t="s">
        <v>4112</v>
      </c>
      <c r="AZ3067" s="153" t="s">
        <v>4606</v>
      </c>
      <c r="BA3067" s="132" t="s">
        <v>4594</v>
      </c>
      <c r="BC3067" s="111">
        <f>AW3067+AX3067</f>
      </c>
      <c r="BD3067" s="111">
        <f>H3067/(100-BE3067)*100</f>
      </c>
      <c r="BE3067" s="111" t="n">
        <v>0</v>
      </c>
      <c r="BF3067" s="111">
        <f>3067</f>
      </c>
      <c r="BH3067" s="111">
        <f>G3067*AO3067</f>
      </c>
      <c r="BI3067" s="111">
        <f>G3067*AP3067</f>
      </c>
      <c r="BJ3067" s="111">
        <f>G3067*H3067</f>
      </c>
      <c r="BK3067" s="111"/>
      <c r="BL3067" s="111"/>
      <c r="BW3067" s="111" t="n">
        <v>21</v>
      </c>
      <c r="BX3067" s="14" t="s">
        <v>4883</v>
      </c>
    </row>
    <row r="3068">
      <c r="A3068" s="154"/>
      <c r="B3068" s="155"/>
      <c r="C3068" s="155"/>
      <c r="D3068" s="156" t="s">
        <v>130</v>
      </c>
      <c r="E3068" s="156" t="s">
        <v>4726</v>
      </c>
      <c r="F3068" s="155"/>
      <c r="G3068" s="157" t="n">
        <v>1</v>
      </c>
      <c r="H3068" s="158"/>
      <c r="I3068" s="155"/>
      <c r="J3068" s="155"/>
      <c r="K3068" s="146"/>
    </row>
    <row r="3069">
      <c r="A3069" s="9" t="s">
        <v>4884</v>
      </c>
      <c r="B3069" s="10" t="s">
        <v>93</v>
      </c>
      <c r="C3069" s="10" t="s">
        <v>4885</v>
      </c>
      <c r="D3069" s="14" t="s">
        <v>4886</v>
      </c>
      <c r="E3069" s="10"/>
      <c r="F3069" s="10" t="s">
        <v>133</v>
      </c>
      <c r="G3069" s="111" t="n">
        <v>8</v>
      </c>
      <c r="H3069" s="152" t="n">
        <v>0</v>
      </c>
      <c r="I3069" s="111">
        <f>G3069*H3069</f>
      </c>
      <c r="J3069" s="153" t="s">
        <v>134</v>
      </c>
      <c r="K3069" s="146"/>
      <c r="Z3069" s="111">
        <f>IF(AQ3069="5",BJ3069,0)</f>
      </c>
      <c r="AB3069" s="111">
        <f>IF(AQ3069="1",BH3069,0)</f>
      </c>
      <c r="AC3069" s="111">
        <f>IF(AQ3069="1",BI3069,0)</f>
      </c>
      <c r="AD3069" s="111">
        <f>IF(AQ3069="7",BH3069,0)</f>
      </c>
      <c r="AE3069" s="111">
        <f>IF(AQ3069="7",BI3069,0)</f>
      </c>
      <c r="AF3069" s="111">
        <f>IF(AQ3069="2",BH3069,0)</f>
      </c>
      <c r="AG3069" s="111">
        <f>IF(AQ3069="2",BI3069,0)</f>
      </c>
      <c r="AH3069" s="111">
        <f>IF(AQ3069="0",BJ3069,0)</f>
      </c>
      <c r="AI3069" s="132" t="s">
        <v>93</v>
      </c>
      <c r="AJ3069" s="111">
        <f>IF(AN3069=0,I3069,0)</f>
      </c>
      <c r="AK3069" s="111">
        <f>IF(AN3069=12,I3069,0)</f>
      </c>
      <c r="AL3069" s="111">
        <f>IF(AN3069=21,I3069,0)</f>
      </c>
      <c r="AN3069" s="111" t="n">
        <v>21</v>
      </c>
      <c r="AO3069" s="111">
        <f>H3069*1</f>
      </c>
      <c r="AP3069" s="111">
        <f>H3069*(1-1)</f>
      </c>
      <c r="AQ3069" s="153" t="s">
        <v>130</v>
      </c>
      <c r="AV3069" s="111">
        <f>AW3069+AX3069</f>
      </c>
      <c r="AW3069" s="111">
        <f>G3069*AO3069</f>
      </c>
      <c r="AX3069" s="111">
        <f>G3069*AP3069</f>
      </c>
      <c r="AY3069" s="153" t="s">
        <v>4112</v>
      </c>
      <c r="AZ3069" s="153" t="s">
        <v>4606</v>
      </c>
      <c r="BA3069" s="132" t="s">
        <v>4594</v>
      </c>
      <c r="BC3069" s="111">
        <f>AW3069+AX3069</f>
      </c>
      <c r="BD3069" s="111">
        <f>H3069/(100-BE3069)*100</f>
      </c>
      <c r="BE3069" s="111" t="n">
        <v>0</v>
      </c>
      <c r="BF3069" s="111">
        <f>3069</f>
      </c>
      <c r="BH3069" s="111">
        <f>G3069*AO3069</f>
      </c>
      <c r="BI3069" s="111">
        <f>G3069*AP3069</f>
      </c>
      <c r="BJ3069" s="111">
        <f>G3069*H3069</f>
      </c>
      <c r="BK3069" s="111"/>
      <c r="BL3069" s="111"/>
      <c r="BW3069" s="111" t="n">
        <v>21</v>
      </c>
      <c r="BX3069" s="14" t="s">
        <v>4886</v>
      </c>
    </row>
    <row r="3070">
      <c r="A3070" s="154"/>
      <c r="B3070" s="155"/>
      <c r="C3070" s="155"/>
      <c r="D3070" s="156" t="s">
        <v>176</v>
      </c>
      <c r="E3070" s="156" t="s">
        <v>4726</v>
      </c>
      <c r="F3070" s="155"/>
      <c r="G3070" s="157" t="n">
        <v>8</v>
      </c>
      <c r="H3070" s="158"/>
      <c r="I3070" s="155"/>
      <c r="J3070" s="155"/>
      <c r="K3070" s="146"/>
    </row>
    <row r="3071">
      <c r="A3071" s="9" t="s">
        <v>4887</v>
      </c>
      <c r="B3071" s="10" t="s">
        <v>93</v>
      </c>
      <c r="C3071" s="10" t="s">
        <v>4888</v>
      </c>
      <c r="D3071" s="14" t="s">
        <v>4889</v>
      </c>
      <c r="E3071" s="10"/>
      <c r="F3071" s="10" t="s">
        <v>133</v>
      </c>
      <c r="G3071" s="111" t="n">
        <v>22</v>
      </c>
      <c r="H3071" s="152" t="n">
        <v>0</v>
      </c>
      <c r="I3071" s="111">
        <f>G3071*H3071</f>
      </c>
      <c r="J3071" s="153" t="s">
        <v>134</v>
      </c>
      <c r="K3071" s="146"/>
      <c r="Z3071" s="111">
        <f>IF(AQ3071="5",BJ3071,0)</f>
      </c>
      <c r="AB3071" s="111">
        <f>IF(AQ3071="1",BH3071,0)</f>
      </c>
      <c r="AC3071" s="111">
        <f>IF(AQ3071="1",BI3071,0)</f>
      </c>
      <c r="AD3071" s="111">
        <f>IF(AQ3071="7",BH3071,0)</f>
      </c>
      <c r="AE3071" s="111">
        <f>IF(AQ3071="7",BI3071,0)</f>
      </c>
      <c r="AF3071" s="111">
        <f>IF(AQ3071="2",BH3071,0)</f>
      </c>
      <c r="AG3071" s="111">
        <f>IF(AQ3071="2",BI3071,0)</f>
      </c>
      <c r="AH3071" s="111">
        <f>IF(AQ3071="0",BJ3071,0)</f>
      </c>
      <c r="AI3071" s="132" t="s">
        <v>93</v>
      </c>
      <c r="AJ3071" s="111">
        <f>IF(AN3071=0,I3071,0)</f>
      </c>
      <c r="AK3071" s="111">
        <f>IF(AN3071=12,I3071,0)</f>
      </c>
      <c r="AL3071" s="111">
        <f>IF(AN3071=21,I3071,0)</f>
      </c>
      <c r="AN3071" s="111" t="n">
        <v>21</v>
      </c>
      <c r="AO3071" s="111">
        <f>H3071*1</f>
      </c>
      <c r="AP3071" s="111">
        <f>H3071*(1-1)</f>
      </c>
      <c r="AQ3071" s="153" t="s">
        <v>130</v>
      </c>
      <c r="AV3071" s="111">
        <f>AW3071+AX3071</f>
      </c>
      <c r="AW3071" s="111">
        <f>G3071*AO3071</f>
      </c>
      <c r="AX3071" s="111">
        <f>G3071*AP3071</f>
      </c>
      <c r="AY3071" s="153" t="s">
        <v>4112</v>
      </c>
      <c r="AZ3071" s="153" t="s">
        <v>4606</v>
      </c>
      <c r="BA3071" s="132" t="s">
        <v>4594</v>
      </c>
      <c r="BC3071" s="111">
        <f>AW3071+AX3071</f>
      </c>
      <c r="BD3071" s="111">
        <f>H3071/(100-BE3071)*100</f>
      </c>
      <c r="BE3071" s="111" t="n">
        <v>0</v>
      </c>
      <c r="BF3071" s="111">
        <f>3071</f>
      </c>
      <c r="BH3071" s="111">
        <f>G3071*AO3071</f>
      </c>
      <c r="BI3071" s="111">
        <f>G3071*AP3071</f>
      </c>
      <c r="BJ3071" s="111">
        <f>G3071*H3071</f>
      </c>
      <c r="BK3071" s="111"/>
      <c r="BL3071" s="111"/>
      <c r="BW3071" s="111" t="n">
        <v>21</v>
      </c>
      <c r="BX3071" s="14" t="s">
        <v>4889</v>
      </c>
    </row>
    <row r="3072">
      <c r="A3072" s="154"/>
      <c r="B3072" s="155"/>
      <c r="C3072" s="155"/>
      <c r="D3072" s="156" t="s">
        <v>266</v>
      </c>
      <c r="E3072" s="156" t="s">
        <v>4726</v>
      </c>
      <c r="F3072" s="155"/>
      <c r="G3072" s="157" t="n">
        <v>22</v>
      </c>
      <c r="H3072" s="158"/>
      <c r="I3072" s="155"/>
      <c r="J3072" s="155"/>
      <c r="K3072" s="146"/>
    </row>
    <row r="3073">
      <c r="A3073" s="9" t="s">
        <v>4890</v>
      </c>
      <c r="B3073" s="10" t="s">
        <v>93</v>
      </c>
      <c r="C3073" s="10" t="s">
        <v>4891</v>
      </c>
      <c r="D3073" s="14" t="s">
        <v>4892</v>
      </c>
      <c r="E3073" s="10"/>
      <c r="F3073" s="10" t="s">
        <v>133</v>
      </c>
      <c r="G3073" s="111" t="n">
        <v>13</v>
      </c>
      <c r="H3073" s="152" t="n">
        <v>0</v>
      </c>
      <c r="I3073" s="111">
        <f>G3073*H3073</f>
      </c>
      <c r="J3073" s="153" t="s">
        <v>134</v>
      </c>
      <c r="K3073" s="146"/>
      <c r="Z3073" s="111">
        <f>IF(AQ3073="5",BJ3073,0)</f>
      </c>
      <c r="AB3073" s="111">
        <f>IF(AQ3073="1",BH3073,0)</f>
      </c>
      <c r="AC3073" s="111">
        <f>IF(AQ3073="1",BI3073,0)</f>
      </c>
      <c r="AD3073" s="111">
        <f>IF(AQ3073="7",BH3073,0)</f>
      </c>
      <c r="AE3073" s="111">
        <f>IF(AQ3073="7",BI3073,0)</f>
      </c>
      <c r="AF3073" s="111">
        <f>IF(AQ3073="2",BH3073,0)</f>
      </c>
      <c r="AG3073" s="111">
        <f>IF(AQ3073="2",BI3073,0)</f>
      </c>
      <c r="AH3073" s="111">
        <f>IF(AQ3073="0",BJ3073,0)</f>
      </c>
      <c r="AI3073" s="132" t="s">
        <v>93</v>
      </c>
      <c r="AJ3073" s="111">
        <f>IF(AN3073=0,I3073,0)</f>
      </c>
      <c r="AK3073" s="111">
        <f>IF(AN3073=12,I3073,0)</f>
      </c>
      <c r="AL3073" s="111">
        <f>IF(AN3073=21,I3073,0)</f>
      </c>
      <c r="AN3073" s="111" t="n">
        <v>21</v>
      </c>
      <c r="AO3073" s="111">
        <f>H3073*1</f>
      </c>
      <c r="AP3073" s="111">
        <f>H3073*(1-1)</f>
      </c>
      <c r="AQ3073" s="153" t="s">
        <v>130</v>
      </c>
      <c r="AV3073" s="111">
        <f>AW3073+AX3073</f>
      </c>
      <c r="AW3073" s="111">
        <f>G3073*AO3073</f>
      </c>
      <c r="AX3073" s="111">
        <f>G3073*AP3073</f>
      </c>
      <c r="AY3073" s="153" t="s">
        <v>4112</v>
      </c>
      <c r="AZ3073" s="153" t="s">
        <v>4606</v>
      </c>
      <c r="BA3073" s="132" t="s">
        <v>4594</v>
      </c>
      <c r="BC3073" s="111">
        <f>AW3073+AX3073</f>
      </c>
      <c r="BD3073" s="111">
        <f>H3073/(100-BE3073)*100</f>
      </c>
      <c r="BE3073" s="111" t="n">
        <v>0</v>
      </c>
      <c r="BF3073" s="111">
        <f>3073</f>
      </c>
      <c r="BH3073" s="111">
        <f>G3073*AO3073</f>
      </c>
      <c r="BI3073" s="111">
        <f>G3073*AP3073</f>
      </c>
      <c r="BJ3073" s="111">
        <f>G3073*H3073</f>
      </c>
      <c r="BK3073" s="111"/>
      <c r="BL3073" s="111"/>
      <c r="BW3073" s="111" t="n">
        <v>21</v>
      </c>
      <c r="BX3073" s="14" t="s">
        <v>4892</v>
      </c>
    </row>
    <row r="3074">
      <c r="A3074" s="154"/>
      <c r="B3074" s="155"/>
      <c r="C3074" s="155"/>
      <c r="D3074" s="156" t="s">
        <v>163</v>
      </c>
      <c r="E3074" s="156" t="s">
        <v>4726</v>
      </c>
      <c r="F3074" s="155"/>
      <c r="G3074" s="157" t="n">
        <v>13</v>
      </c>
      <c r="H3074" s="158"/>
      <c r="I3074" s="155"/>
      <c r="J3074" s="155"/>
      <c r="K3074" s="146"/>
    </row>
    <row r="3075">
      <c r="A3075" s="147" t="s">
        <v>4</v>
      </c>
      <c r="B3075" s="148" t="s">
        <v>93</v>
      </c>
      <c r="C3075" s="148" t="s">
        <v>4578</v>
      </c>
      <c r="D3075" s="149" t="s">
        <v>4893</v>
      </c>
      <c r="E3075" s="148"/>
      <c r="F3075" s="150" t="s">
        <v>79</v>
      </c>
      <c r="G3075" s="150" t="s">
        <v>79</v>
      </c>
      <c r="H3075" s="151" t="s">
        <v>79</v>
      </c>
      <c r="I3075" s="117">
        <f>SUM(I3076:I3090)</f>
      </c>
      <c r="J3075" s="132" t="s">
        <v>4</v>
      </c>
      <c r="K3075" s="146"/>
      <c r="AI3075" s="132" t="s">
        <v>93</v>
      </c>
      <c r="AS3075" s="117">
        <f>SUM(AJ3076:AJ3090)</f>
      </c>
      <c r="AT3075" s="117">
        <f>SUM(AK3076:AK3090)</f>
      </c>
      <c r="AU3075" s="117">
        <f>SUM(AL3076:AL3090)</f>
      </c>
    </row>
    <row r="3076">
      <c r="A3076" s="9" t="s">
        <v>4894</v>
      </c>
      <c r="B3076" s="10" t="s">
        <v>93</v>
      </c>
      <c r="C3076" s="10" t="s">
        <v>4895</v>
      </c>
      <c r="D3076" s="14" t="s">
        <v>4896</v>
      </c>
      <c r="E3076" s="10"/>
      <c r="F3076" s="10" t="s">
        <v>133</v>
      </c>
      <c r="G3076" s="111" t="n">
        <v>2</v>
      </c>
      <c r="H3076" s="152" t="n">
        <v>0</v>
      </c>
      <c r="I3076" s="111">
        <f>G3076*H3076</f>
      </c>
      <c r="J3076" s="153" t="s">
        <v>134</v>
      </c>
      <c r="K3076" s="146"/>
      <c r="Z3076" s="111">
        <f>IF(AQ3076="5",BJ3076,0)</f>
      </c>
      <c r="AB3076" s="111">
        <f>IF(AQ3076="1",BH3076,0)</f>
      </c>
      <c r="AC3076" s="111">
        <f>IF(AQ3076="1",BI3076,0)</f>
      </c>
      <c r="AD3076" s="111">
        <f>IF(AQ3076="7",BH3076,0)</f>
      </c>
      <c r="AE3076" s="111">
        <f>IF(AQ3076="7",BI3076,0)</f>
      </c>
      <c r="AF3076" s="111">
        <f>IF(AQ3076="2",BH3076,0)</f>
      </c>
      <c r="AG3076" s="111">
        <f>IF(AQ3076="2",BI3076,0)</f>
      </c>
      <c r="AH3076" s="111">
        <f>IF(AQ3076="0",BJ3076,0)</f>
      </c>
      <c r="AI3076" s="132" t="s">
        <v>93</v>
      </c>
      <c r="AJ3076" s="111">
        <f>IF(AN3076=0,I3076,0)</f>
      </c>
      <c r="AK3076" s="111">
        <f>IF(AN3076=12,I3076,0)</f>
      </c>
      <c r="AL3076" s="111">
        <f>IF(AN3076=21,I3076,0)</f>
      </c>
      <c r="AN3076" s="111" t="n">
        <v>21</v>
      </c>
      <c r="AO3076" s="111">
        <f>H3076*0</f>
      </c>
      <c r="AP3076" s="111">
        <f>H3076*(1-0)</f>
      </c>
      <c r="AQ3076" s="153" t="s">
        <v>140</v>
      </c>
      <c r="AV3076" s="111">
        <f>AW3076+AX3076</f>
      </c>
      <c r="AW3076" s="111">
        <f>G3076*AO3076</f>
      </c>
      <c r="AX3076" s="111">
        <f>G3076*AP3076</f>
      </c>
      <c r="AY3076" s="153" t="s">
        <v>4583</v>
      </c>
      <c r="AZ3076" s="153" t="s">
        <v>4606</v>
      </c>
      <c r="BA3076" s="132" t="s">
        <v>4594</v>
      </c>
      <c r="BC3076" s="111">
        <f>AW3076+AX3076</f>
      </c>
      <c r="BD3076" s="111">
        <f>H3076/(100-BE3076)*100</f>
      </c>
      <c r="BE3076" s="111" t="n">
        <v>0</v>
      </c>
      <c r="BF3076" s="111">
        <f>3076</f>
      </c>
      <c r="BH3076" s="111">
        <f>G3076*AO3076</f>
      </c>
      <c r="BI3076" s="111">
        <f>G3076*AP3076</f>
      </c>
      <c r="BJ3076" s="111">
        <f>G3076*H3076</f>
      </c>
      <c r="BK3076" s="111"/>
      <c r="BL3076" s="111"/>
      <c r="BW3076" s="111" t="n">
        <v>21</v>
      </c>
      <c r="BX3076" s="14" t="s">
        <v>4896</v>
      </c>
    </row>
    <row r="3077" customHeight="true" ht="13.5">
      <c r="A3077" s="159"/>
      <c r="C3077" s="160" t="s">
        <v>146</v>
      </c>
      <c r="D3077" s="161" t="s">
        <v>4897</v>
      </c>
      <c r="E3077" s="156"/>
      <c r="F3077" s="156"/>
      <c r="G3077" s="156"/>
      <c r="H3077" s="162"/>
      <c r="I3077" s="156"/>
      <c r="J3077" s="156"/>
      <c r="K3077" s="163"/>
    </row>
    <row r="3078">
      <c r="A3078" s="154"/>
      <c r="B3078" s="155"/>
      <c r="C3078" s="155"/>
      <c r="D3078" s="156" t="s">
        <v>140</v>
      </c>
      <c r="E3078" s="156" t="s">
        <v>4726</v>
      </c>
      <c r="F3078" s="155"/>
      <c r="G3078" s="157" t="n">
        <v>2</v>
      </c>
      <c r="H3078" s="158"/>
      <c r="I3078" s="155"/>
      <c r="J3078" s="155"/>
      <c r="K3078" s="146"/>
    </row>
    <row r="3079">
      <c r="A3079" s="9" t="s">
        <v>4898</v>
      </c>
      <c r="B3079" s="10" t="s">
        <v>93</v>
      </c>
      <c r="C3079" s="10" t="s">
        <v>4899</v>
      </c>
      <c r="D3079" s="14" t="s">
        <v>4900</v>
      </c>
      <c r="E3079" s="10"/>
      <c r="F3079" s="10" t="s">
        <v>133</v>
      </c>
      <c r="G3079" s="111" t="n">
        <v>9</v>
      </c>
      <c r="H3079" s="152" t="n">
        <v>0</v>
      </c>
      <c r="I3079" s="111">
        <f>G3079*H3079</f>
      </c>
      <c r="J3079" s="153" t="s">
        <v>134</v>
      </c>
      <c r="K3079" s="146"/>
      <c r="Z3079" s="111">
        <f>IF(AQ3079="5",BJ3079,0)</f>
      </c>
      <c r="AB3079" s="111">
        <f>IF(AQ3079="1",BH3079,0)</f>
      </c>
      <c r="AC3079" s="111">
        <f>IF(AQ3079="1",BI3079,0)</f>
      </c>
      <c r="AD3079" s="111">
        <f>IF(AQ3079="7",BH3079,0)</f>
      </c>
      <c r="AE3079" s="111">
        <f>IF(AQ3079="7",BI3079,0)</f>
      </c>
      <c r="AF3079" s="111">
        <f>IF(AQ3079="2",BH3079,0)</f>
      </c>
      <c r="AG3079" s="111">
        <f>IF(AQ3079="2",BI3079,0)</f>
      </c>
      <c r="AH3079" s="111">
        <f>IF(AQ3079="0",BJ3079,0)</f>
      </c>
      <c r="AI3079" s="132" t="s">
        <v>93</v>
      </c>
      <c r="AJ3079" s="111">
        <f>IF(AN3079=0,I3079,0)</f>
      </c>
      <c r="AK3079" s="111">
        <f>IF(AN3079=12,I3079,0)</f>
      </c>
      <c r="AL3079" s="111">
        <f>IF(AN3079=21,I3079,0)</f>
      </c>
      <c r="AN3079" s="111" t="n">
        <v>21</v>
      </c>
      <c r="AO3079" s="111">
        <f>H3079*0</f>
      </c>
      <c r="AP3079" s="111">
        <f>H3079*(1-0)</f>
      </c>
      <c r="AQ3079" s="153" t="s">
        <v>140</v>
      </c>
      <c r="AV3079" s="111">
        <f>AW3079+AX3079</f>
      </c>
      <c r="AW3079" s="111">
        <f>G3079*AO3079</f>
      </c>
      <c r="AX3079" s="111">
        <f>G3079*AP3079</f>
      </c>
      <c r="AY3079" s="153" t="s">
        <v>4583</v>
      </c>
      <c r="AZ3079" s="153" t="s">
        <v>4606</v>
      </c>
      <c r="BA3079" s="132" t="s">
        <v>4594</v>
      </c>
      <c r="BC3079" s="111">
        <f>AW3079+AX3079</f>
      </c>
      <c r="BD3079" s="111">
        <f>H3079/(100-BE3079)*100</f>
      </c>
      <c r="BE3079" s="111" t="n">
        <v>0</v>
      </c>
      <c r="BF3079" s="111">
        <f>3079</f>
      </c>
      <c r="BH3079" s="111">
        <f>G3079*AO3079</f>
      </c>
      <c r="BI3079" s="111">
        <f>G3079*AP3079</f>
      </c>
      <c r="BJ3079" s="111">
        <f>G3079*H3079</f>
      </c>
      <c r="BK3079" s="111"/>
      <c r="BL3079" s="111"/>
      <c r="BW3079" s="111" t="n">
        <v>21</v>
      </c>
      <c r="BX3079" s="14" t="s">
        <v>4900</v>
      </c>
    </row>
    <row r="3080" customHeight="true" ht="13.5">
      <c r="A3080" s="159"/>
      <c r="C3080" s="160" t="s">
        <v>146</v>
      </c>
      <c r="D3080" s="161" t="s">
        <v>4901</v>
      </c>
      <c r="E3080" s="156"/>
      <c r="F3080" s="156"/>
      <c r="G3080" s="156"/>
      <c r="H3080" s="162"/>
      <c r="I3080" s="156"/>
      <c r="J3080" s="156"/>
      <c r="K3080" s="163"/>
    </row>
    <row r="3081">
      <c r="A3081" s="154"/>
      <c r="B3081" s="155"/>
      <c r="C3081" s="155"/>
      <c r="D3081" s="156" t="s">
        <v>183</v>
      </c>
      <c r="E3081" s="156" t="s">
        <v>4726</v>
      </c>
      <c r="F3081" s="155"/>
      <c r="G3081" s="157" t="n">
        <v>9</v>
      </c>
      <c r="H3081" s="158"/>
      <c r="I3081" s="155"/>
      <c r="J3081" s="155"/>
      <c r="K3081" s="146"/>
    </row>
    <row r="3082">
      <c r="A3082" s="9" t="s">
        <v>4902</v>
      </c>
      <c r="B3082" s="10" t="s">
        <v>93</v>
      </c>
      <c r="C3082" s="10" t="s">
        <v>4903</v>
      </c>
      <c r="D3082" s="14" t="s">
        <v>4904</v>
      </c>
      <c r="E3082" s="10"/>
      <c r="F3082" s="10" t="s">
        <v>133</v>
      </c>
      <c r="G3082" s="111" t="n">
        <v>10</v>
      </c>
      <c r="H3082" s="152" t="n">
        <v>0</v>
      </c>
      <c r="I3082" s="111">
        <f>G3082*H3082</f>
      </c>
      <c r="J3082" s="153" t="s">
        <v>134</v>
      </c>
      <c r="K3082" s="146"/>
      <c r="Z3082" s="111">
        <f>IF(AQ3082="5",BJ3082,0)</f>
      </c>
      <c r="AB3082" s="111">
        <f>IF(AQ3082="1",BH3082,0)</f>
      </c>
      <c r="AC3082" s="111">
        <f>IF(AQ3082="1",BI3082,0)</f>
      </c>
      <c r="AD3082" s="111">
        <f>IF(AQ3082="7",BH3082,0)</f>
      </c>
      <c r="AE3082" s="111">
        <f>IF(AQ3082="7",BI3082,0)</f>
      </c>
      <c r="AF3082" s="111">
        <f>IF(AQ3082="2",BH3082,0)</f>
      </c>
      <c r="AG3082" s="111">
        <f>IF(AQ3082="2",BI3082,0)</f>
      </c>
      <c r="AH3082" s="111">
        <f>IF(AQ3082="0",BJ3082,0)</f>
      </c>
      <c r="AI3082" s="132" t="s">
        <v>93</v>
      </c>
      <c r="AJ3082" s="111">
        <f>IF(AN3082=0,I3082,0)</f>
      </c>
      <c r="AK3082" s="111">
        <f>IF(AN3082=12,I3082,0)</f>
      </c>
      <c r="AL3082" s="111">
        <f>IF(AN3082=21,I3082,0)</f>
      </c>
      <c r="AN3082" s="111" t="n">
        <v>21</v>
      </c>
      <c r="AO3082" s="111">
        <f>H3082*0</f>
      </c>
      <c r="AP3082" s="111">
        <f>H3082*(1-0)</f>
      </c>
      <c r="AQ3082" s="153" t="s">
        <v>140</v>
      </c>
      <c r="AV3082" s="111">
        <f>AW3082+AX3082</f>
      </c>
      <c r="AW3082" s="111">
        <f>G3082*AO3082</f>
      </c>
      <c r="AX3082" s="111">
        <f>G3082*AP3082</f>
      </c>
      <c r="AY3082" s="153" t="s">
        <v>4583</v>
      </c>
      <c r="AZ3082" s="153" t="s">
        <v>4606</v>
      </c>
      <c r="BA3082" s="132" t="s">
        <v>4594</v>
      </c>
      <c r="BC3082" s="111">
        <f>AW3082+AX3082</f>
      </c>
      <c r="BD3082" s="111">
        <f>H3082/(100-BE3082)*100</f>
      </c>
      <c r="BE3082" s="111" t="n">
        <v>0</v>
      </c>
      <c r="BF3082" s="111">
        <f>3082</f>
      </c>
      <c r="BH3082" s="111">
        <f>G3082*AO3082</f>
      </c>
      <c r="BI3082" s="111">
        <f>G3082*AP3082</f>
      </c>
      <c r="BJ3082" s="111">
        <f>G3082*H3082</f>
      </c>
      <c r="BK3082" s="111"/>
      <c r="BL3082" s="111"/>
      <c r="BW3082" s="111" t="n">
        <v>21</v>
      </c>
      <c r="BX3082" s="14" t="s">
        <v>4904</v>
      </c>
    </row>
    <row r="3083" customHeight="true" ht="13.5">
      <c r="A3083" s="159"/>
      <c r="C3083" s="160" t="s">
        <v>146</v>
      </c>
      <c r="D3083" s="161" t="s">
        <v>4905</v>
      </c>
      <c r="E3083" s="156"/>
      <c r="F3083" s="156"/>
      <c r="G3083" s="156"/>
      <c r="H3083" s="162"/>
      <c r="I3083" s="156"/>
      <c r="J3083" s="156"/>
      <c r="K3083" s="163"/>
    </row>
    <row r="3084">
      <c r="A3084" s="154"/>
      <c r="B3084" s="155"/>
      <c r="C3084" s="155"/>
      <c r="D3084" s="156" t="s">
        <v>186</v>
      </c>
      <c r="E3084" s="156" t="s">
        <v>4906</v>
      </c>
      <c r="F3084" s="155"/>
      <c r="G3084" s="157" t="n">
        <v>10</v>
      </c>
      <c r="H3084" s="158"/>
      <c r="I3084" s="155"/>
      <c r="J3084" s="155"/>
      <c r="K3084" s="146"/>
    </row>
    <row r="3085">
      <c r="A3085" s="9" t="s">
        <v>4907</v>
      </c>
      <c r="B3085" s="10" t="s">
        <v>93</v>
      </c>
      <c r="C3085" s="10" t="s">
        <v>4908</v>
      </c>
      <c r="D3085" s="14" t="s">
        <v>4909</v>
      </c>
      <c r="E3085" s="10"/>
      <c r="F3085" s="10" t="s">
        <v>282</v>
      </c>
      <c r="G3085" s="111" t="n">
        <v>1300</v>
      </c>
      <c r="H3085" s="152" t="n">
        <v>0</v>
      </c>
      <c r="I3085" s="111">
        <f>G3085*H3085</f>
      </c>
      <c r="J3085" s="153" t="s">
        <v>134</v>
      </c>
      <c r="K3085" s="146"/>
      <c r="Z3085" s="111">
        <f>IF(AQ3085="5",BJ3085,0)</f>
      </c>
      <c r="AB3085" s="111">
        <f>IF(AQ3085="1",BH3085,0)</f>
      </c>
      <c r="AC3085" s="111">
        <f>IF(AQ3085="1",BI3085,0)</f>
      </c>
      <c r="AD3085" s="111">
        <f>IF(AQ3085="7",BH3085,0)</f>
      </c>
      <c r="AE3085" s="111">
        <f>IF(AQ3085="7",BI3085,0)</f>
      </c>
      <c r="AF3085" s="111">
        <f>IF(AQ3085="2",BH3085,0)</f>
      </c>
      <c r="AG3085" s="111">
        <f>IF(AQ3085="2",BI3085,0)</f>
      </c>
      <c r="AH3085" s="111">
        <f>IF(AQ3085="0",BJ3085,0)</f>
      </c>
      <c r="AI3085" s="132" t="s">
        <v>93</v>
      </c>
      <c r="AJ3085" s="111">
        <f>IF(AN3085=0,I3085,0)</f>
      </c>
      <c r="AK3085" s="111">
        <f>IF(AN3085=12,I3085,0)</f>
      </c>
      <c r="AL3085" s="111">
        <f>IF(AN3085=21,I3085,0)</f>
      </c>
      <c r="AN3085" s="111" t="n">
        <v>21</v>
      </c>
      <c r="AO3085" s="111">
        <f>H3085*0</f>
      </c>
      <c r="AP3085" s="111">
        <f>H3085*(1-0)</f>
      </c>
      <c r="AQ3085" s="153" t="s">
        <v>140</v>
      </c>
      <c r="AV3085" s="111">
        <f>AW3085+AX3085</f>
      </c>
      <c r="AW3085" s="111">
        <f>G3085*AO3085</f>
      </c>
      <c r="AX3085" s="111">
        <f>G3085*AP3085</f>
      </c>
      <c r="AY3085" s="153" t="s">
        <v>4583</v>
      </c>
      <c r="AZ3085" s="153" t="s">
        <v>4606</v>
      </c>
      <c r="BA3085" s="132" t="s">
        <v>4594</v>
      </c>
      <c r="BC3085" s="111">
        <f>AW3085+AX3085</f>
      </c>
      <c r="BD3085" s="111">
        <f>H3085/(100-BE3085)*100</f>
      </c>
      <c r="BE3085" s="111" t="n">
        <v>0</v>
      </c>
      <c r="BF3085" s="111">
        <f>3085</f>
      </c>
      <c r="BH3085" s="111">
        <f>G3085*AO3085</f>
      </c>
      <c r="BI3085" s="111">
        <f>G3085*AP3085</f>
      </c>
      <c r="BJ3085" s="111">
        <f>G3085*H3085</f>
      </c>
      <c r="BK3085" s="111"/>
      <c r="BL3085" s="111"/>
      <c r="BW3085" s="111" t="n">
        <v>21</v>
      </c>
      <c r="BX3085" s="14" t="s">
        <v>4909</v>
      </c>
    </row>
    <row r="3086">
      <c r="A3086" s="154"/>
      <c r="B3086" s="155"/>
      <c r="C3086" s="155"/>
      <c r="D3086" s="156" t="s">
        <v>4910</v>
      </c>
      <c r="E3086" s="156" t="s">
        <v>4726</v>
      </c>
      <c r="F3086" s="155"/>
      <c r="G3086" s="157" t="n">
        <v>1300</v>
      </c>
      <c r="H3086" s="158"/>
      <c r="I3086" s="155"/>
      <c r="J3086" s="155"/>
      <c r="K3086" s="146"/>
    </row>
    <row r="3087">
      <c r="A3087" s="9" t="s">
        <v>4911</v>
      </c>
      <c r="B3087" s="10" t="s">
        <v>93</v>
      </c>
      <c r="C3087" s="10" t="s">
        <v>4912</v>
      </c>
      <c r="D3087" s="14" t="s">
        <v>4913</v>
      </c>
      <c r="E3087" s="10"/>
      <c r="F3087" s="10" t="s">
        <v>133</v>
      </c>
      <c r="G3087" s="111" t="n">
        <v>70</v>
      </c>
      <c r="H3087" s="152" t="n">
        <v>0</v>
      </c>
      <c r="I3087" s="111">
        <f>G3087*H3087</f>
      </c>
      <c r="J3087" s="153" t="s">
        <v>134</v>
      </c>
      <c r="K3087" s="146"/>
      <c r="Z3087" s="111">
        <f>IF(AQ3087="5",BJ3087,0)</f>
      </c>
      <c r="AB3087" s="111">
        <f>IF(AQ3087="1",BH3087,0)</f>
      </c>
      <c r="AC3087" s="111">
        <f>IF(AQ3087="1",BI3087,0)</f>
      </c>
      <c r="AD3087" s="111">
        <f>IF(AQ3087="7",BH3087,0)</f>
      </c>
      <c r="AE3087" s="111">
        <f>IF(AQ3087="7",BI3087,0)</f>
      </c>
      <c r="AF3087" s="111">
        <f>IF(AQ3087="2",BH3087,0)</f>
      </c>
      <c r="AG3087" s="111">
        <f>IF(AQ3087="2",BI3087,0)</f>
      </c>
      <c r="AH3087" s="111">
        <f>IF(AQ3087="0",BJ3087,0)</f>
      </c>
      <c r="AI3087" s="132" t="s">
        <v>93</v>
      </c>
      <c r="AJ3087" s="111">
        <f>IF(AN3087=0,I3087,0)</f>
      </c>
      <c r="AK3087" s="111">
        <f>IF(AN3087=12,I3087,0)</f>
      </c>
      <c r="AL3087" s="111">
        <f>IF(AN3087=21,I3087,0)</f>
      </c>
      <c r="AN3087" s="111" t="n">
        <v>21</v>
      </c>
      <c r="AO3087" s="111">
        <f>H3087*0</f>
      </c>
      <c r="AP3087" s="111">
        <f>H3087*(1-0)</f>
      </c>
      <c r="AQ3087" s="153" t="s">
        <v>140</v>
      </c>
      <c r="AV3087" s="111">
        <f>AW3087+AX3087</f>
      </c>
      <c r="AW3087" s="111">
        <f>G3087*AO3087</f>
      </c>
      <c r="AX3087" s="111">
        <f>G3087*AP3087</f>
      </c>
      <c r="AY3087" s="153" t="s">
        <v>4583</v>
      </c>
      <c r="AZ3087" s="153" t="s">
        <v>4606</v>
      </c>
      <c r="BA3087" s="132" t="s">
        <v>4594</v>
      </c>
      <c r="BC3087" s="111">
        <f>AW3087+AX3087</f>
      </c>
      <c r="BD3087" s="111">
        <f>H3087/(100-BE3087)*100</f>
      </c>
      <c r="BE3087" s="111" t="n">
        <v>0</v>
      </c>
      <c r="BF3087" s="111">
        <f>3087</f>
      </c>
      <c r="BH3087" s="111">
        <f>G3087*AO3087</f>
      </c>
      <c r="BI3087" s="111">
        <f>G3087*AP3087</f>
      </c>
      <c r="BJ3087" s="111">
        <f>G3087*H3087</f>
      </c>
      <c r="BK3087" s="111"/>
      <c r="BL3087" s="111"/>
      <c r="BW3087" s="111" t="n">
        <v>21</v>
      </c>
      <c r="BX3087" s="14" t="s">
        <v>4913</v>
      </c>
    </row>
    <row r="3088" customHeight="true" ht="13.5">
      <c r="A3088" s="159"/>
      <c r="C3088" s="160" t="s">
        <v>146</v>
      </c>
      <c r="D3088" s="161" t="s">
        <v>4610</v>
      </c>
      <c r="E3088" s="156"/>
      <c r="F3088" s="156"/>
      <c r="G3088" s="156"/>
      <c r="H3088" s="162"/>
      <c r="I3088" s="156"/>
      <c r="J3088" s="156"/>
      <c r="K3088" s="163"/>
    </row>
    <row r="3089">
      <c r="A3089" s="154"/>
      <c r="B3089" s="155"/>
      <c r="C3089" s="155"/>
      <c r="D3089" s="156" t="s">
        <v>589</v>
      </c>
      <c r="E3089" s="156" t="s">
        <v>4914</v>
      </c>
      <c r="F3089" s="155"/>
      <c r="G3089" s="157" t="n">
        <v>70</v>
      </c>
      <c r="H3089" s="158"/>
      <c r="I3089" s="155"/>
      <c r="J3089" s="155"/>
      <c r="K3089" s="146"/>
    </row>
    <row r="3090">
      <c r="A3090" s="9" t="s">
        <v>4915</v>
      </c>
      <c r="B3090" s="10" t="s">
        <v>93</v>
      </c>
      <c r="C3090" s="10" t="s">
        <v>4916</v>
      </c>
      <c r="D3090" s="14" t="s">
        <v>4917</v>
      </c>
      <c r="E3090" s="10"/>
      <c r="F3090" s="10" t="s">
        <v>133</v>
      </c>
      <c r="G3090" s="111" t="n">
        <v>2</v>
      </c>
      <c r="H3090" s="152" t="n">
        <v>0</v>
      </c>
      <c r="I3090" s="111">
        <f>G3090*H3090</f>
      </c>
      <c r="J3090" s="153" t="s">
        <v>134</v>
      </c>
      <c r="K3090" s="146"/>
      <c r="Z3090" s="111">
        <f>IF(AQ3090="5",BJ3090,0)</f>
      </c>
      <c r="AB3090" s="111">
        <f>IF(AQ3090="1",BH3090,0)</f>
      </c>
      <c r="AC3090" s="111">
        <f>IF(AQ3090="1",BI3090,0)</f>
      </c>
      <c r="AD3090" s="111">
        <f>IF(AQ3090="7",BH3090,0)</f>
      </c>
      <c r="AE3090" s="111">
        <f>IF(AQ3090="7",BI3090,0)</f>
      </c>
      <c r="AF3090" s="111">
        <f>IF(AQ3090="2",BH3090,0)</f>
      </c>
      <c r="AG3090" s="111">
        <f>IF(AQ3090="2",BI3090,0)</f>
      </c>
      <c r="AH3090" s="111">
        <f>IF(AQ3090="0",BJ3090,0)</f>
      </c>
      <c r="AI3090" s="132" t="s">
        <v>93</v>
      </c>
      <c r="AJ3090" s="111">
        <f>IF(AN3090=0,I3090,0)</f>
      </c>
      <c r="AK3090" s="111">
        <f>IF(AN3090=12,I3090,0)</f>
      </c>
      <c r="AL3090" s="111">
        <f>IF(AN3090=21,I3090,0)</f>
      </c>
      <c r="AN3090" s="111" t="n">
        <v>21</v>
      </c>
      <c r="AO3090" s="111">
        <f>H3090*1</f>
      </c>
      <c r="AP3090" s="111">
        <f>H3090*(1-1)</f>
      </c>
      <c r="AQ3090" s="153" t="s">
        <v>130</v>
      </c>
      <c r="AV3090" s="111">
        <f>AW3090+AX3090</f>
      </c>
      <c r="AW3090" s="111">
        <f>G3090*AO3090</f>
      </c>
      <c r="AX3090" s="111">
        <f>G3090*AP3090</f>
      </c>
      <c r="AY3090" s="153" t="s">
        <v>4583</v>
      </c>
      <c r="AZ3090" s="153" t="s">
        <v>4606</v>
      </c>
      <c r="BA3090" s="132" t="s">
        <v>4594</v>
      </c>
      <c r="BC3090" s="111">
        <f>AW3090+AX3090</f>
      </c>
      <c r="BD3090" s="111">
        <f>H3090/(100-BE3090)*100</f>
      </c>
      <c r="BE3090" s="111" t="n">
        <v>0</v>
      </c>
      <c r="BF3090" s="111">
        <f>3090</f>
      </c>
      <c r="BH3090" s="111">
        <f>G3090*AO3090</f>
      </c>
      <c r="BI3090" s="111">
        <f>G3090*AP3090</f>
      </c>
      <c r="BJ3090" s="111">
        <f>G3090*H3090</f>
      </c>
      <c r="BK3090" s="111"/>
      <c r="BL3090" s="111"/>
      <c r="BW3090" s="111" t="n">
        <v>21</v>
      </c>
      <c r="BX3090" s="14" t="s">
        <v>4917</v>
      </c>
    </row>
    <row r="3091">
      <c r="A3091" s="154"/>
      <c r="B3091" s="155"/>
      <c r="C3091" s="155"/>
      <c r="D3091" s="156" t="s">
        <v>140</v>
      </c>
      <c r="E3091" s="156" t="s">
        <v>4918</v>
      </c>
      <c r="F3091" s="155"/>
      <c r="G3091" s="157" t="n">
        <v>2</v>
      </c>
      <c r="H3091" s="158"/>
      <c r="I3091" s="155"/>
      <c r="J3091" s="155"/>
      <c r="K3091" s="146"/>
    </row>
    <row r="3092">
      <c r="A3092" s="147" t="s">
        <v>4</v>
      </c>
      <c r="B3092" s="148" t="s">
        <v>93</v>
      </c>
      <c r="C3092" s="148" t="s">
        <v>4919</v>
      </c>
      <c r="D3092" s="149" t="s">
        <v>94</v>
      </c>
      <c r="E3092" s="148"/>
      <c r="F3092" s="150" t="s">
        <v>79</v>
      </c>
      <c r="G3092" s="150" t="s">
        <v>79</v>
      </c>
      <c r="H3092" s="151" t="s">
        <v>79</v>
      </c>
      <c r="I3092" s="117">
        <f>SUM(I3093:I3184)</f>
      </c>
      <c r="J3092" s="132" t="s">
        <v>4</v>
      </c>
      <c r="K3092" s="146"/>
      <c r="AI3092" s="132" t="s">
        <v>93</v>
      </c>
      <c r="AS3092" s="117">
        <f>SUM(AJ3093:AJ3184)</f>
      </c>
      <c r="AT3092" s="117">
        <f>SUM(AK3093:AK3184)</f>
      </c>
      <c r="AU3092" s="117">
        <f>SUM(AL3093:AL3184)</f>
      </c>
    </row>
    <row r="3093">
      <c r="A3093" s="9" t="s">
        <v>4920</v>
      </c>
      <c r="B3093" s="10" t="s">
        <v>93</v>
      </c>
      <c r="C3093" s="10" t="s">
        <v>4921</v>
      </c>
      <c r="D3093" s="14" t="s">
        <v>4922</v>
      </c>
      <c r="E3093" s="10"/>
      <c r="F3093" s="10" t="s">
        <v>282</v>
      </c>
      <c r="G3093" s="111" t="n">
        <v>15</v>
      </c>
      <c r="H3093" s="152" t="n">
        <v>0</v>
      </c>
      <c r="I3093" s="111">
        <f>G3093*H3093</f>
      </c>
      <c r="J3093" s="153" t="s">
        <v>134</v>
      </c>
      <c r="K3093" s="146"/>
      <c r="Z3093" s="111">
        <f>IF(AQ3093="5",BJ3093,0)</f>
      </c>
      <c r="AB3093" s="111">
        <f>IF(AQ3093="1",BH3093,0)</f>
      </c>
      <c r="AC3093" s="111">
        <f>IF(AQ3093="1",BI3093,0)</f>
      </c>
      <c r="AD3093" s="111">
        <f>IF(AQ3093="7",BH3093,0)</f>
      </c>
      <c r="AE3093" s="111">
        <f>IF(AQ3093="7",BI3093,0)</f>
      </c>
      <c r="AF3093" s="111">
        <f>IF(AQ3093="2",BH3093,0)</f>
      </c>
      <c r="AG3093" s="111">
        <f>IF(AQ3093="2",BI3093,0)</f>
      </c>
      <c r="AH3093" s="111">
        <f>IF(AQ3093="0",BJ3093,0)</f>
      </c>
      <c r="AI3093" s="132" t="s">
        <v>93</v>
      </c>
      <c r="AJ3093" s="111">
        <f>IF(AN3093=0,I3093,0)</f>
      </c>
      <c r="AK3093" s="111">
        <f>IF(AN3093=12,I3093,0)</f>
      </c>
      <c r="AL3093" s="111">
        <f>IF(AN3093=21,I3093,0)</f>
      </c>
      <c r="AN3093" s="111" t="n">
        <v>21</v>
      </c>
      <c r="AO3093" s="111">
        <f>H3093*0.752947594</f>
      </c>
      <c r="AP3093" s="111">
        <f>H3093*(1-0.752947594)</f>
      </c>
      <c r="AQ3093" s="153" t="s">
        <v>140</v>
      </c>
      <c r="AV3093" s="111">
        <f>AW3093+AX3093</f>
      </c>
      <c r="AW3093" s="111">
        <f>G3093*AO3093</f>
      </c>
      <c r="AX3093" s="111">
        <f>G3093*AP3093</f>
      </c>
      <c r="AY3093" s="153" t="s">
        <v>4923</v>
      </c>
      <c r="AZ3093" s="153" t="s">
        <v>4606</v>
      </c>
      <c r="BA3093" s="132" t="s">
        <v>4594</v>
      </c>
      <c r="BC3093" s="111">
        <f>AW3093+AX3093</f>
      </c>
      <c r="BD3093" s="111">
        <f>H3093/(100-BE3093)*100</f>
      </c>
      <c r="BE3093" s="111" t="n">
        <v>0</v>
      </c>
      <c r="BF3093" s="111">
        <f>3093</f>
      </c>
      <c r="BH3093" s="111">
        <f>G3093*AO3093</f>
      </c>
      <c r="BI3093" s="111">
        <f>G3093*AP3093</f>
      </c>
      <c r="BJ3093" s="111">
        <f>G3093*H3093</f>
      </c>
      <c r="BK3093" s="111"/>
      <c r="BL3093" s="111"/>
      <c r="BW3093" s="111" t="n">
        <v>21</v>
      </c>
      <c r="BX3093" s="14" t="s">
        <v>4922</v>
      </c>
    </row>
    <row r="3094" customHeight="true" ht="13.5">
      <c r="A3094" s="159"/>
      <c r="C3094" s="160" t="s">
        <v>146</v>
      </c>
      <c r="D3094" s="161" t="s">
        <v>4924</v>
      </c>
      <c r="E3094" s="156"/>
      <c r="F3094" s="156"/>
      <c r="G3094" s="156"/>
      <c r="H3094" s="162"/>
      <c r="I3094" s="156"/>
      <c r="J3094" s="156"/>
      <c r="K3094" s="163"/>
    </row>
    <row r="3095">
      <c r="A3095" s="9" t="s">
        <v>4925</v>
      </c>
      <c r="B3095" s="10" t="s">
        <v>93</v>
      </c>
      <c r="C3095" s="10" t="s">
        <v>4926</v>
      </c>
      <c r="D3095" s="14" t="s">
        <v>4927</v>
      </c>
      <c r="E3095" s="10"/>
      <c r="F3095" s="10" t="s">
        <v>282</v>
      </c>
      <c r="G3095" s="111" t="n">
        <v>20</v>
      </c>
      <c r="H3095" s="152" t="n">
        <v>0</v>
      </c>
      <c r="I3095" s="111">
        <f>G3095*H3095</f>
      </c>
      <c r="J3095" s="153" t="s">
        <v>134</v>
      </c>
      <c r="K3095" s="146"/>
      <c r="Z3095" s="111">
        <f>IF(AQ3095="5",BJ3095,0)</f>
      </c>
      <c r="AB3095" s="111">
        <f>IF(AQ3095="1",BH3095,0)</f>
      </c>
      <c r="AC3095" s="111">
        <f>IF(AQ3095="1",BI3095,0)</f>
      </c>
      <c r="AD3095" s="111">
        <f>IF(AQ3095="7",BH3095,0)</f>
      </c>
      <c r="AE3095" s="111">
        <f>IF(AQ3095="7",BI3095,0)</f>
      </c>
      <c r="AF3095" s="111">
        <f>IF(AQ3095="2",BH3095,0)</f>
      </c>
      <c r="AG3095" s="111">
        <f>IF(AQ3095="2",BI3095,0)</f>
      </c>
      <c r="AH3095" s="111">
        <f>IF(AQ3095="0",BJ3095,0)</f>
      </c>
      <c r="AI3095" s="132" t="s">
        <v>93</v>
      </c>
      <c r="AJ3095" s="111">
        <f>IF(AN3095=0,I3095,0)</f>
      </c>
      <c r="AK3095" s="111">
        <f>IF(AN3095=12,I3095,0)</f>
      </c>
      <c r="AL3095" s="111">
        <f>IF(AN3095=21,I3095,0)</f>
      </c>
      <c r="AN3095" s="111" t="n">
        <v>21</v>
      </c>
      <c r="AO3095" s="111">
        <f>H3095*0.626707376</f>
      </c>
      <c r="AP3095" s="111">
        <f>H3095*(1-0.626707376)</f>
      </c>
      <c r="AQ3095" s="153" t="s">
        <v>140</v>
      </c>
      <c r="AV3095" s="111">
        <f>AW3095+AX3095</f>
      </c>
      <c r="AW3095" s="111">
        <f>G3095*AO3095</f>
      </c>
      <c r="AX3095" s="111">
        <f>G3095*AP3095</f>
      </c>
      <c r="AY3095" s="153" t="s">
        <v>4923</v>
      </c>
      <c r="AZ3095" s="153" t="s">
        <v>4606</v>
      </c>
      <c r="BA3095" s="132" t="s">
        <v>4594</v>
      </c>
      <c r="BC3095" s="111">
        <f>AW3095+AX3095</f>
      </c>
      <c r="BD3095" s="111">
        <f>H3095/(100-BE3095)*100</f>
      </c>
      <c r="BE3095" s="111" t="n">
        <v>0</v>
      </c>
      <c r="BF3095" s="111">
        <f>3095</f>
      </c>
      <c r="BH3095" s="111">
        <f>G3095*AO3095</f>
      </c>
      <c r="BI3095" s="111">
        <f>G3095*AP3095</f>
      </c>
      <c r="BJ3095" s="111">
        <f>G3095*H3095</f>
      </c>
      <c r="BK3095" s="111"/>
      <c r="BL3095" s="111"/>
      <c r="BW3095" s="111" t="n">
        <v>21</v>
      </c>
      <c r="BX3095" s="14" t="s">
        <v>4927</v>
      </c>
    </row>
    <row r="3096" customHeight="true" ht="13.5">
      <c r="A3096" s="159"/>
      <c r="C3096" s="160" t="s">
        <v>146</v>
      </c>
      <c r="D3096" s="161" t="s">
        <v>4928</v>
      </c>
      <c r="E3096" s="156"/>
      <c r="F3096" s="156"/>
      <c r="G3096" s="156"/>
      <c r="H3096" s="162"/>
      <c r="I3096" s="156"/>
      <c r="J3096" s="156"/>
      <c r="K3096" s="163"/>
    </row>
    <row r="3097">
      <c r="A3097" s="9" t="s">
        <v>4929</v>
      </c>
      <c r="B3097" s="10" t="s">
        <v>93</v>
      </c>
      <c r="C3097" s="10" t="s">
        <v>4930</v>
      </c>
      <c r="D3097" s="14" t="s">
        <v>4931</v>
      </c>
      <c r="E3097" s="10"/>
      <c r="F3097" s="10" t="s">
        <v>282</v>
      </c>
      <c r="G3097" s="111" t="n">
        <v>20</v>
      </c>
      <c r="H3097" s="152" t="n">
        <v>0</v>
      </c>
      <c r="I3097" s="111">
        <f>G3097*H3097</f>
      </c>
      <c r="J3097" s="153" t="s">
        <v>134</v>
      </c>
      <c r="K3097" s="146"/>
      <c r="Z3097" s="111">
        <f>IF(AQ3097="5",BJ3097,0)</f>
      </c>
      <c r="AB3097" s="111">
        <f>IF(AQ3097="1",BH3097,0)</f>
      </c>
      <c r="AC3097" s="111">
        <f>IF(AQ3097="1",BI3097,0)</f>
      </c>
      <c r="AD3097" s="111">
        <f>IF(AQ3097="7",BH3097,0)</f>
      </c>
      <c r="AE3097" s="111">
        <f>IF(AQ3097="7",BI3097,0)</f>
      </c>
      <c r="AF3097" s="111">
        <f>IF(AQ3097="2",BH3097,0)</f>
      </c>
      <c r="AG3097" s="111">
        <f>IF(AQ3097="2",BI3097,0)</f>
      </c>
      <c r="AH3097" s="111">
        <f>IF(AQ3097="0",BJ3097,0)</f>
      </c>
      <c r="AI3097" s="132" t="s">
        <v>93</v>
      </c>
      <c r="AJ3097" s="111">
        <f>IF(AN3097=0,I3097,0)</f>
      </c>
      <c r="AK3097" s="111">
        <f>IF(AN3097=12,I3097,0)</f>
      </c>
      <c r="AL3097" s="111">
        <f>IF(AN3097=21,I3097,0)</f>
      </c>
      <c r="AN3097" s="111" t="n">
        <v>21</v>
      </c>
      <c r="AO3097" s="111">
        <f>H3097*0.408559173</f>
      </c>
      <c r="AP3097" s="111">
        <f>H3097*(1-0.408559173)</f>
      </c>
      <c r="AQ3097" s="153" t="s">
        <v>140</v>
      </c>
      <c r="AV3097" s="111">
        <f>AW3097+AX3097</f>
      </c>
      <c r="AW3097" s="111">
        <f>G3097*AO3097</f>
      </c>
      <c r="AX3097" s="111">
        <f>G3097*AP3097</f>
      </c>
      <c r="AY3097" s="153" t="s">
        <v>4923</v>
      </c>
      <c r="AZ3097" s="153" t="s">
        <v>4606</v>
      </c>
      <c r="BA3097" s="132" t="s">
        <v>4594</v>
      </c>
      <c r="BC3097" s="111">
        <f>AW3097+AX3097</f>
      </c>
      <c r="BD3097" s="111">
        <f>H3097/(100-BE3097)*100</f>
      </c>
      <c r="BE3097" s="111" t="n">
        <v>0</v>
      </c>
      <c r="BF3097" s="111">
        <f>3097</f>
      </c>
      <c r="BH3097" s="111">
        <f>G3097*AO3097</f>
      </c>
      <c r="BI3097" s="111">
        <f>G3097*AP3097</f>
      </c>
      <c r="BJ3097" s="111">
        <f>G3097*H3097</f>
      </c>
      <c r="BK3097" s="111"/>
      <c r="BL3097" s="111"/>
      <c r="BW3097" s="111" t="n">
        <v>21</v>
      </c>
      <c r="BX3097" s="14" t="s">
        <v>4931</v>
      </c>
    </row>
    <row r="3098" customHeight="true" ht="13.5">
      <c r="A3098" s="159"/>
      <c r="C3098" s="160" t="s">
        <v>146</v>
      </c>
      <c r="D3098" s="161" t="s">
        <v>4932</v>
      </c>
      <c r="E3098" s="156"/>
      <c r="F3098" s="156"/>
      <c r="G3098" s="156"/>
      <c r="H3098" s="162"/>
      <c r="I3098" s="156"/>
      <c r="J3098" s="156"/>
      <c r="K3098" s="163"/>
    </row>
    <row r="3099">
      <c r="A3099" s="9" t="s">
        <v>4933</v>
      </c>
      <c r="B3099" s="10" t="s">
        <v>93</v>
      </c>
      <c r="C3099" s="10" t="s">
        <v>4934</v>
      </c>
      <c r="D3099" s="14" t="s">
        <v>4935</v>
      </c>
      <c r="E3099" s="10"/>
      <c r="F3099" s="10" t="s">
        <v>282</v>
      </c>
      <c r="G3099" s="111" t="n">
        <v>10</v>
      </c>
      <c r="H3099" s="152" t="n">
        <v>0</v>
      </c>
      <c r="I3099" s="111">
        <f>G3099*H3099</f>
      </c>
      <c r="J3099" s="153" t="s">
        <v>134</v>
      </c>
      <c r="K3099" s="146"/>
      <c r="Z3099" s="111">
        <f>IF(AQ3099="5",BJ3099,0)</f>
      </c>
      <c r="AB3099" s="111">
        <f>IF(AQ3099="1",BH3099,0)</f>
      </c>
      <c r="AC3099" s="111">
        <f>IF(AQ3099="1",BI3099,0)</f>
      </c>
      <c r="AD3099" s="111">
        <f>IF(AQ3099="7",BH3099,0)</f>
      </c>
      <c r="AE3099" s="111">
        <f>IF(AQ3099="7",BI3099,0)</f>
      </c>
      <c r="AF3099" s="111">
        <f>IF(AQ3099="2",BH3099,0)</f>
      </c>
      <c r="AG3099" s="111">
        <f>IF(AQ3099="2",BI3099,0)</f>
      </c>
      <c r="AH3099" s="111">
        <f>IF(AQ3099="0",BJ3099,0)</f>
      </c>
      <c r="AI3099" s="132" t="s">
        <v>93</v>
      </c>
      <c r="AJ3099" s="111">
        <f>IF(AN3099=0,I3099,0)</f>
      </c>
      <c r="AK3099" s="111">
        <f>IF(AN3099=12,I3099,0)</f>
      </c>
      <c r="AL3099" s="111">
        <f>IF(AN3099=21,I3099,0)</f>
      </c>
      <c r="AN3099" s="111" t="n">
        <v>21</v>
      </c>
      <c r="AO3099" s="111">
        <f>H3099*0.740537168</f>
      </c>
      <c r="AP3099" s="111">
        <f>H3099*(1-0.740537168)</f>
      </c>
      <c r="AQ3099" s="153" t="s">
        <v>140</v>
      </c>
      <c r="AV3099" s="111">
        <f>AW3099+AX3099</f>
      </c>
      <c r="AW3099" s="111">
        <f>G3099*AO3099</f>
      </c>
      <c r="AX3099" s="111">
        <f>G3099*AP3099</f>
      </c>
      <c r="AY3099" s="153" t="s">
        <v>4923</v>
      </c>
      <c r="AZ3099" s="153" t="s">
        <v>4606</v>
      </c>
      <c r="BA3099" s="132" t="s">
        <v>4594</v>
      </c>
      <c r="BC3099" s="111">
        <f>AW3099+AX3099</f>
      </c>
      <c r="BD3099" s="111">
        <f>H3099/(100-BE3099)*100</f>
      </c>
      <c r="BE3099" s="111" t="n">
        <v>0</v>
      </c>
      <c r="BF3099" s="111">
        <f>3099</f>
      </c>
      <c r="BH3099" s="111">
        <f>G3099*AO3099</f>
      </c>
      <c r="BI3099" s="111">
        <f>G3099*AP3099</f>
      </c>
      <c r="BJ3099" s="111">
        <f>G3099*H3099</f>
      </c>
      <c r="BK3099" s="111"/>
      <c r="BL3099" s="111"/>
      <c r="BW3099" s="111" t="n">
        <v>21</v>
      </c>
      <c r="BX3099" s="14" t="s">
        <v>4935</v>
      </c>
    </row>
    <row r="3100" customHeight="true" ht="13.5">
      <c r="A3100" s="159"/>
      <c r="C3100" s="160" t="s">
        <v>146</v>
      </c>
      <c r="D3100" s="161" t="s">
        <v>4936</v>
      </c>
      <c r="E3100" s="156"/>
      <c r="F3100" s="156"/>
      <c r="G3100" s="156"/>
      <c r="H3100" s="162"/>
      <c r="I3100" s="156"/>
      <c r="J3100" s="156"/>
      <c r="K3100" s="163"/>
    </row>
    <row r="3101">
      <c r="A3101" s="9" t="s">
        <v>4937</v>
      </c>
      <c r="B3101" s="10" t="s">
        <v>93</v>
      </c>
      <c r="C3101" s="10" t="s">
        <v>4938</v>
      </c>
      <c r="D3101" s="14" t="s">
        <v>4939</v>
      </c>
      <c r="E3101" s="10"/>
      <c r="F3101" s="10" t="s">
        <v>282</v>
      </c>
      <c r="G3101" s="111" t="n">
        <v>120</v>
      </c>
      <c r="H3101" s="152" t="n">
        <v>0</v>
      </c>
      <c r="I3101" s="111">
        <f>G3101*H3101</f>
      </c>
      <c r="J3101" s="153" t="s">
        <v>134</v>
      </c>
      <c r="K3101" s="146"/>
      <c r="Z3101" s="111">
        <f>IF(AQ3101="5",BJ3101,0)</f>
      </c>
      <c r="AB3101" s="111">
        <f>IF(AQ3101="1",BH3101,0)</f>
      </c>
      <c r="AC3101" s="111">
        <f>IF(AQ3101="1",BI3101,0)</f>
      </c>
      <c r="AD3101" s="111">
        <f>IF(AQ3101="7",BH3101,0)</f>
      </c>
      <c r="AE3101" s="111">
        <f>IF(AQ3101="7",BI3101,0)</f>
      </c>
      <c r="AF3101" s="111">
        <f>IF(AQ3101="2",BH3101,0)</f>
      </c>
      <c r="AG3101" s="111">
        <f>IF(AQ3101="2",BI3101,0)</f>
      </c>
      <c r="AH3101" s="111">
        <f>IF(AQ3101="0",BJ3101,0)</f>
      </c>
      <c r="AI3101" s="132" t="s">
        <v>93</v>
      </c>
      <c r="AJ3101" s="111">
        <f>IF(AN3101=0,I3101,0)</f>
      </c>
      <c r="AK3101" s="111">
        <f>IF(AN3101=12,I3101,0)</f>
      </c>
      <c r="AL3101" s="111">
        <f>IF(AN3101=21,I3101,0)</f>
      </c>
      <c r="AN3101" s="111" t="n">
        <v>21</v>
      </c>
      <c r="AO3101" s="111">
        <f>H3101*0.641330839</f>
      </c>
      <c r="AP3101" s="111">
        <f>H3101*(1-0.641330839)</f>
      </c>
      <c r="AQ3101" s="153" t="s">
        <v>140</v>
      </c>
      <c r="AV3101" s="111">
        <f>AW3101+AX3101</f>
      </c>
      <c r="AW3101" s="111">
        <f>G3101*AO3101</f>
      </c>
      <c r="AX3101" s="111">
        <f>G3101*AP3101</f>
      </c>
      <c r="AY3101" s="153" t="s">
        <v>4923</v>
      </c>
      <c r="AZ3101" s="153" t="s">
        <v>4606</v>
      </c>
      <c r="BA3101" s="132" t="s">
        <v>4594</v>
      </c>
      <c r="BC3101" s="111">
        <f>AW3101+AX3101</f>
      </c>
      <c r="BD3101" s="111">
        <f>H3101/(100-BE3101)*100</f>
      </c>
      <c r="BE3101" s="111" t="n">
        <v>0</v>
      </c>
      <c r="BF3101" s="111">
        <f>3101</f>
      </c>
      <c r="BH3101" s="111">
        <f>G3101*AO3101</f>
      </c>
      <c r="BI3101" s="111">
        <f>G3101*AP3101</f>
      </c>
      <c r="BJ3101" s="111">
        <f>G3101*H3101</f>
      </c>
      <c r="BK3101" s="111"/>
      <c r="BL3101" s="111"/>
      <c r="BW3101" s="111" t="n">
        <v>21</v>
      </c>
      <c r="BX3101" s="14" t="s">
        <v>4939</v>
      </c>
    </row>
    <row r="3102" customHeight="true" ht="13.5">
      <c r="A3102" s="159"/>
      <c r="C3102" s="160" t="s">
        <v>146</v>
      </c>
      <c r="D3102" s="161" t="s">
        <v>4940</v>
      </c>
      <c r="E3102" s="156"/>
      <c r="F3102" s="156"/>
      <c r="G3102" s="156"/>
      <c r="H3102" s="162"/>
      <c r="I3102" s="156"/>
      <c r="J3102" s="156"/>
      <c r="K3102" s="163"/>
    </row>
    <row r="3103">
      <c r="A3103" s="9" t="s">
        <v>4941</v>
      </c>
      <c r="B3103" s="10" t="s">
        <v>93</v>
      </c>
      <c r="C3103" s="10" t="s">
        <v>4942</v>
      </c>
      <c r="D3103" s="14" t="s">
        <v>4943</v>
      </c>
      <c r="E3103" s="10"/>
      <c r="F3103" s="10" t="s">
        <v>282</v>
      </c>
      <c r="G3103" s="111" t="n">
        <v>530</v>
      </c>
      <c r="H3103" s="152" t="n">
        <v>0</v>
      </c>
      <c r="I3103" s="111">
        <f>G3103*H3103</f>
      </c>
      <c r="J3103" s="153" t="s">
        <v>134</v>
      </c>
      <c r="K3103" s="146"/>
      <c r="Z3103" s="111">
        <f>IF(AQ3103="5",BJ3103,0)</f>
      </c>
      <c r="AB3103" s="111">
        <f>IF(AQ3103="1",BH3103,0)</f>
      </c>
      <c r="AC3103" s="111">
        <f>IF(AQ3103="1",BI3103,0)</f>
      </c>
      <c r="AD3103" s="111">
        <f>IF(AQ3103="7",BH3103,0)</f>
      </c>
      <c r="AE3103" s="111">
        <f>IF(AQ3103="7",BI3103,0)</f>
      </c>
      <c r="AF3103" s="111">
        <f>IF(AQ3103="2",BH3103,0)</f>
      </c>
      <c r="AG3103" s="111">
        <f>IF(AQ3103="2",BI3103,0)</f>
      </c>
      <c r="AH3103" s="111">
        <f>IF(AQ3103="0",BJ3103,0)</f>
      </c>
      <c r="AI3103" s="132" t="s">
        <v>93</v>
      </c>
      <c r="AJ3103" s="111">
        <f>IF(AN3103=0,I3103,0)</f>
      </c>
      <c r="AK3103" s="111">
        <f>IF(AN3103=12,I3103,0)</f>
      </c>
      <c r="AL3103" s="111">
        <f>IF(AN3103=21,I3103,0)</f>
      </c>
      <c r="AN3103" s="111" t="n">
        <v>21</v>
      </c>
      <c r="AO3103" s="111">
        <f>H3103*0.309965804</f>
      </c>
      <c r="AP3103" s="111">
        <f>H3103*(1-0.309965804)</f>
      </c>
      <c r="AQ3103" s="153" t="s">
        <v>140</v>
      </c>
      <c r="AV3103" s="111">
        <f>AW3103+AX3103</f>
      </c>
      <c r="AW3103" s="111">
        <f>G3103*AO3103</f>
      </c>
      <c r="AX3103" s="111">
        <f>G3103*AP3103</f>
      </c>
      <c r="AY3103" s="153" t="s">
        <v>4923</v>
      </c>
      <c r="AZ3103" s="153" t="s">
        <v>4606</v>
      </c>
      <c r="BA3103" s="132" t="s">
        <v>4594</v>
      </c>
      <c r="BC3103" s="111">
        <f>AW3103+AX3103</f>
      </c>
      <c r="BD3103" s="111">
        <f>H3103/(100-BE3103)*100</f>
      </c>
      <c r="BE3103" s="111" t="n">
        <v>0</v>
      </c>
      <c r="BF3103" s="111">
        <f>3103</f>
      </c>
      <c r="BH3103" s="111">
        <f>G3103*AO3103</f>
      </c>
      <c r="BI3103" s="111">
        <f>G3103*AP3103</f>
      </c>
      <c r="BJ3103" s="111">
        <f>G3103*H3103</f>
      </c>
      <c r="BK3103" s="111"/>
      <c r="BL3103" s="111"/>
      <c r="BW3103" s="111" t="n">
        <v>21</v>
      </c>
      <c r="BX3103" s="14" t="s">
        <v>4943</v>
      </c>
    </row>
    <row r="3104" customHeight="true" ht="13.5">
      <c r="A3104" s="159"/>
      <c r="C3104" s="160" t="s">
        <v>146</v>
      </c>
      <c r="D3104" s="161" t="s">
        <v>4944</v>
      </c>
      <c r="E3104" s="156"/>
      <c r="F3104" s="156"/>
      <c r="G3104" s="156"/>
      <c r="H3104" s="162"/>
      <c r="I3104" s="156"/>
      <c r="J3104" s="156"/>
      <c r="K3104" s="163"/>
    </row>
    <row r="3105">
      <c r="A3105" s="9" t="s">
        <v>4945</v>
      </c>
      <c r="B3105" s="10" t="s">
        <v>93</v>
      </c>
      <c r="C3105" s="10" t="s">
        <v>4946</v>
      </c>
      <c r="D3105" s="14" t="s">
        <v>4947</v>
      </c>
      <c r="E3105" s="10"/>
      <c r="F3105" s="10" t="s">
        <v>282</v>
      </c>
      <c r="G3105" s="111" t="n">
        <v>1350</v>
      </c>
      <c r="H3105" s="152" t="n">
        <v>0</v>
      </c>
      <c r="I3105" s="111">
        <f>G3105*H3105</f>
      </c>
      <c r="J3105" s="153" t="s">
        <v>134</v>
      </c>
      <c r="K3105" s="146"/>
      <c r="Z3105" s="111">
        <f>IF(AQ3105="5",BJ3105,0)</f>
      </c>
      <c r="AB3105" s="111">
        <f>IF(AQ3105="1",BH3105,0)</f>
      </c>
      <c r="AC3105" s="111">
        <f>IF(AQ3105="1",BI3105,0)</f>
      </c>
      <c r="AD3105" s="111">
        <f>IF(AQ3105="7",BH3105,0)</f>
      </c>
      <c r="AE3105" s="111">
        <f>IF(AQ3105="7",BI3105,0)</f>
      </c>
      <c r="AF3105" s="111">
        <f>IF(AQ3105="2",BH3105,0)</f>
      </c>
      <c r="AG3105" s="111">
        <f>IF(AQ3105="2",BI3105,0)</f>
      </c>
      <c r="AH3105" s="111">
        <f>IF(AQ3105="0",BJ3105,0)</f>
      </c>
      <c r="AI3105" s="132" t="s">
        <v>93</v>
      </c>
      <c r="AJ3105" s="111">
        <f>IF(AN3105=0,I3105,0)</f>
      </c>
      <c r="AK3105" s="111">
        <f>IF(AN3105=12,I3105,0)</f>
      </c>
      <c r="AL3105" s="111">
        <f>IF(AN3105=21,I3105,0)</f>
      </c>
      <c r="AN3105" s="111" t="n">
        <v>21</v>
      </c>
      <c r="AO3105" s="111">
        <f>H3105*0.22113164</f>
      </c>
      <c r="AP3105" s="111">
        <f>H3105*(1-0.22113164)</f>
      </c>
      <c r="AQ3105" s="153" t="s">
        <v>140</v>
      </c>
      <c r="AV3105" s="111">
        <f>AW3105+AX3105</f>
      </c>
      <c r="AW3105" s="111">
        <f>G3105*AO3105</f>
      </c>
      <c r="AX3105" s="111">
        <f>G3105*AP3105</f>
      </c>
      <c r="AY3105" s="153" t="s">
        <v>4923</v>
      </c>
      <c r="AZ3105" s="153" t="s">
        <v>4606</v>
      </c>
      <c r="BA3105" s="132" t="s">
        <v>4594</v>
      </c>
      <c r="BC3105" s="111">
        <f>AW3105+AX3105</f>
      </c>
      <c r="BD3105" s="111">
        <f>H3105/(100-BE3105)*100</f>
      </c>
      <c r="BE3105" s="111" t="n">
        <v>0</v>
      </c>
      <c r="BF3105" s="111">
        <f>3105</f>
      </c>
      <c r="BH3105" s="111">
        <f>G3105*AO3105</f>
      </c>
      <c r="BI3105" s="111">
        <f>G3105*AP3105</f>
      </c>
      <c r="BJ3105" s="111">
        <f>G3105*H3105</f>
      </c>
      <c r="BK3105" s="111"/>
      <c r="BL3105" s="111"/>
      <c r="BW3105" s="111" t="n">
        <v>21</v>
      </c>
      <c r="BX3105" s="14" t="s">
        <v>4947</v>
      </c>
    </row>
    <row r="3106" customHeight="true" ht="13.5">
      <c r="A3106" s="159"/>
      <c r="C3106" s="160" t="s">
        <v>146</v>
      </c>
      <c r="D3106" s="161" t="s">
        <v>4948</v>
      </c>
      <c r="E3106" s="156"/>
      <c r="F3106" s="156"/>
      <c r="G3106" s="156"/>
      <c r="H3106" s="162"/>
      <c r="I3106" s="156"/>
      <c r="J3106" s="156"/>
      <c r="K3106" s="163"/>
    </row>
    <row r="3107">
      <c r="A3107" s="9" t="s">
        <v>4949</v>
      </c>
      <c r="B3107" s="10" t="s">
        <v>93</v>
      </c>
      <c r="C3107" s="10" t="s">
        <v>4950</v>
      </c>
      <c r="D3107" s="14" t="s">
        <v>4951</v>
      </c>
      <c r="E3107" s="10"/>
      <c r="F3107" s="10" t="s">
        <v>282</v>
      </c>
      <c r="G3107" s="111" t="n">
        <v>120</v>
      </c>
      <c r="H3107" s="152" t="n">
        <v>0</v>
      </c>
      <c r="I3107" s="111">
        <f>G3107*H3107</f>
      </c>
      <c r="J3107" s="153" t="s">
        <v>134</v>
      </c>
      <c r="K3107" s="146"/>
      <c r="Z3107" s="111">
        <f>IF(AQ3107="5",BJ3107,0)</f>
      </c>
      <c r="AB3107" s="111">
        <f>IF(AQ3107="1",BH3107,0)</f>
      </c>
      <c r="AC3107" s="111">
        <f>IF(AQ3107="1",BI3107,0)</f>
      </c>
      <c r="AD3107" s="111">
        <f>IF(AQ3107="7",BH3107,0)</f>
      </c>
      <c r="AE3107" s="111">
        <f>IF(AQ3107="7",BI3107,0)</f>
      </c>
      <c r="AF3107" s="111">
        <f>IF(AQ3107="2",BH3107,0)</f>
      </c>
      <c r="AG3107" s="111">
        <f>IF(AQ3107="2",BI3107,0)</f>
      </c>
      <c r="AH3107" s="111">
        <f>IF(AQ3107="0",BJ3107,0)</f>
      </c>
      <c r="AI3107" s="132" t="s">
        <v>93</v>
      </c>
      <c r="AJ3107" s="111">
        <f>IF(AN3107=0,I3107,0)</f>
      </c>
      <c r="AK3107" s="111">
        <f>IF(AN3107=12,I3107,0)</f>
      </c>
      <c r="AL3107" s="111">
        <f>IF(AN3107=21,I3107,0)</f>
      </c>
      <c r="AN3107" s="111" t="n">
        <v>21</v>
      </c>
      <c r="AO3107" s="111">
        <f>H3107*0.192940804</f>
      </c>
      <c r="AP3107" s="111">
        <f>H3107*(1-0.192940804)</f>
      </c>
      <c r="AQ3107" s="153" t="s">
        <v>140</v>
      </c>
      <c r="AV3107" s="111">
        <f>AW3107+AX3107</f>
      </c>
      <c r="AW3107" s="111">
        <f>G3107*AO3107</f>
      </c>
      <c r="AX3107" s="111">
        <f>G3107*AP3107</f>
      </c>
      <c r="AY3107" s="153" t="s">
        <v>4923</v>
      </c>
      <c r="AZ3107" s="153" t="s">
        <v>4606</v>
      </c>
      <c r="BA3107" s="132" t="s">
        <v>4594</v>
      </c>
      <c r="BC3107" s="111">
        <f>AW3107+AX3107</f>
      </c>
      <c r="BD3107" s="111">
        <f>H3107/(100-BE3107)*100</f>
      </c>
      <c r="BE3107" s="111" t="n">
        <v>0</v>
      </c>
      <c r="BF3107" s="111">
        <f>3107</f>
      </c>
      <c r="BH3107" s="111">
        <f>G3107*AO3107</f>
      </c>
      <c r="BI3107" s="111">
        <f>G3107*AP3107</f>
      </c>
      <c r="BJ3107" s="111">
        <f>G3107*H3107</f>
      </c>
      <c r="BK3107" s="111"/>
      <c r="BL3107" s="111"/>
      <c r="BW3107" s="111" t="n">
        <v>21</v>
      </c>
      <c r="BX3107" s="14" t="s">
        <v>4951</v>
      </c>
    </row>
    <row r="3108" customHeight="true" ht="13.5">
      <c r="A3108" s="159"/>
      <c r="C3108" s="160" t="s">
        <v>146</v>
      </c>
      <c r="D3108" s="161" t="s">
        <v>4952</v>
      </c>
      <c r="E3108" s="156"/>
      <c r="F3108" s="156"/>
      <c r="G3108" s="156"/>
      <c r="H3108" s="162"/>
      <c r="I3108" s="156"/>
      <c r="J3108" s="156"/>
      <c r="K3108" s="163"/>
    </row>
    <row r="3109">
      <c r="A3109" s="9" t="s">
        <v>4953</v>
      </c>
      <c r="B3109" s="10" t="s">
        <v>93</v>
      </c>
      <c r="C3109" s="10" t="s">
        <v>4954</v>
      </c>
      <c r="D3109" s="14" t="s">
        <v>4955</v>
      </c>
      <c r="E3109" s="10"/>
      <c r="F3109" s="10" t="s">
        <v>282</v>
      </c>
      <c r="G3109" s="111" t="n">
        <v>45</v>
      </c>
      <c r="H3109" s="152" t="n">
        <v>0</v>
      </c>
      <c r="I3109" s="111">
        <f>G3109*H3109</f>
      </c>
      <c r="J3109" s="153" t="s">
        <v>134</v>
      </c>
      <c r="K3109" s="146"/>
      <c r="Z3109" s="111">
        <f>IF(AQ3109="5",BJ3109,0)</f>
      </c>
      <c r="AB3109" s="111">
        <f>IF(AQ3109="1",BH3109,0)</f>
      </c>
      <c r="AC3109" s="111">
        <f>IF(AQ3109="1",BI3109,0)</f>
      </c>
      <c r="AD3109" s="111">
        <f>IF(AQ3109="7",BH3109,0)</f>
      </c>
      <c r="AE3109" s="111">
        <f>IF(AQ3109="7",BI3109,0)</f>
      </c>
      <c r="AF3109" s="111">
        <f>IF(AQ3109="2",BH3109,0)</f>
      </c>
      <c r="AG3109" s="111">
        <f>IF(AQ3109="2",BI3109,0)</f>
      </c>
      <c r="AH3109" s="111">
        <f>IF(AQ3109="0",BJ3109,0)</f>
      </c>
      <c r="AI3109" s="132" t="s">
        <v>93</v>
      </c>
      <c r="AJ3109" s="111">
        <f>IF(AN3109=0,I3109,0)</f>
      </c>
      <c r="AK3109" s="111">
        <f>IF(AN3109=12,I3109,0)</f>
      </c>
      <c r="AL3109" s="111">
        <f>IF(AN3109=21,I3109,0)</f>
      </c>
      <c r="AN3109" s="111" t="n">
        <v>21</v>
      </c>
      <c r="AO3109" s="111">
        <f>H3109*0.514664411</f>
      </c>
      <c r="AP3109" s="111">
        <f>H3109*(1-0.514664411)</f>
      </c>
      <c r="AQ3109" s="153" t="s">
        <v>140</v>
      </c>
      <c r="AV3109" s="111">
        <f>AW3109+AX3109</f>
      </c>
      <c r="AW3109" s="111">
        <f>G3109*AO3109</f>
      </c>
      <c r="AX3109" s="111">
        <f>G3109*AP3109</f>
      </c>
      <c r="AY3109" s="153" t="s">
        <v>4923</v>
      </c>
      <c r="AZ3109" s="153" t="s">
        <v>4606</v>
      </c>
      <c r="BA3109" s="132" t="s">
        <v>4594</v>
      </c>
      <c r="BC3109" s="111">
        <f>AW3109+AX3109</f>
      </c>
      <c r="BD3109" s="111">
        <f>H3109/(100-BE3109)*100</f>
      </c>
      <c r="BE3109" s="111" t="n">
        <v>0</v>
      </c>
      <c r="BF3109" s="111">
        <f>3109</f>
      </c>
      <c r="BH3109" s="111">
        <f>G3109*AO3109</f>
      </c>
      <c r="BI3109" s="111">
        <f>G3109*AP3109</f>
      </c>
      <c r="BJ3109" s="111">
        <f>G3109*H3109</f>
      </c>
      <c r="BK3109" s="111"/>
      <c r="BL3109" s="111"/>
      <c r="BW3109" s="111" t="n">
        <v>21</v>
      </c>
      <c r="BX3109" s="14" t="s">
        <v>4955</v>
      </c>
    </row>
    <row r="3110" customHeight="true" ht="13.5">
      <c r="A3110" s="159"/>
      <c r="C3110" s="160" t="s">
        <v>146</v>
      </c>
      <c r="D3110" s="161" t="s">
        <v>4956</v>
      </c>
      <c r="E3110" s="156"/>
      <c r="F3110" s="156"/>
      <c r="G3110" s="156"/>
      <c r="H3110" s="162"/>
      <c r="I3110" s="156"/>
      <c r="J3110" s="156"/>
      <c r="K3110" s="163"/>
    </row>
    <row r="3111">
      <c r="A3111" s="9" t="s">
        <v>4957</v>
      </c>
      <c r="B3111" s="10" t="s">
        <v>93</v>
      </c>
      <c r="C3111" s="10" t="s">
        <v>4958</v>
      </c>
      <c r="D3111" s="14" t="s">
        <v>4959</v>
      </c>
      <c r="E3111" s="10"/>
      <c r="F3111" s="10" t="s">
        <v>282</v>
      </c>
      <c r="G3111" s="111" t="n">
        <v>20</v>
      </c>
      <c r="H3111" s="152" t="n">
        <v>0</v>
      </c>
      <c r="I3111" s="111">
        <f>G3111*H3111</f>
      </c>
      <c r="J3111" s="153" t="s">
        <v>134</v>
      </c>
      <c r="K3111" s="146"/>
      <c r="Z3111" s="111">
        <f>IF(AQ3111="5",BJ3111,0)</f>
      </c>
      <c r="AB3111" s="111">
        <f>IF(AQ3111="1",BH3111,0)</f>
      </c>
      <c r="AC3111" s="111">
        <f>IF(AQ3111="1",BI3111,0)</f>
      </c>
      <c r="AD3111" s="111">
        <f>IF(AQ3111="7",BH3111,0)</f>
      </c>
      <c r="AE3111" s="111">
        <f>IF(AQ3111="7",BI3111,0)</f>
      </c>
      <c r="AF3111" s="111">
        <f>IF(AQ3111="2",BH3111,0)</f>
      </c>
      <c r="AG3111" s="111">
        <f>IF(AQ3111="2",BI3111,0)</f>
      </c>
      <c r="AH3111" s="111">
        <f>IF(AQ3111="0",BJ3111,0)</f>
      </c>
      <c r="AI3111" s="132" t="s">
        <v>93</v>
      </c>
      <c r="AJ3111" s="111">
        <f>IF(AN3111=0,I3111,0)</f>
      </c>
      <c r="AK3111" s="111">
        <f>IF(AN3111=12,I3111,0)</f>
      </c>
      <c r="AL3111" s="111">
        <f>IF(AN3111=21,I3111,0)</f>
      </c>
      <c r="AN3111" s="111" t="n">
        <v>21</v>
      </c>
      <c r="AO3111" s="111">
        <f>H3111*0.282103271</f>
      </c>
      <c r="AP3111" s="111">
        <f>H3111*(1-0.282103271)</f>
      </c>
      <c r="AQ3111" s="153" t="s">
        <v>140</v>
      </c>
      <c r="AV3111" s="111">
        <f>AW3111+AX3111</f>
      </c>
      <c r="AW3111" s="111">
        <f>G3111*AO3111</f>
      </c>
      <c r="AX3111" s="111">
        <f>G3111*AP3111</f>
      </c>
      <c r="AY3111" s="153" t="s">
        <v>4923</v>
      </c>
      <c r="AZ3111" s="153" t="s">
        <v>4606</v>
      </c>
      <c r="BA3111" s="132" t="s">
        <v>4594</v>
      </c>
      <c r="BC3111" s="111">
        <f>AW3111+AX3111</f>
      </c>
      <c r="BD3111" s="111">
        <f>H3111/(100-BE3111)*100</f>
      </c>
      <c r="BE3111" s="111" t="n">
        <v>0</v>
      </c>
      <c r="BF3111" s="111">
        <f>3111</f>
      </c>
      <c r="BH3111" s="111">
        <f>G3111*AO3111</f>
      </c>
      <c r="BI3111" s="111">
        <f>G3111*AP3111</f>
      </c>
      <c r="BJ3111" s="111">
        <f>G3111*H3111</f>
      </c>
      <c r="BK3111" s="111"/>
      <c r="BL3111" s="111"/>
      <c r="BW3111" s="111" t="n">
        <v>21</v>
      </c>
      <c r="BX3111" s="14" t="s">
        <v>4959</v>
      </c>
    </row>
    <row r="3112" customHeight="true" ht="13.5">
      <c r="A3112" s="159"/>
      <c r="C3112" s="160" t="s">
        <v>146</v>
      </c>
      <c r="D3112" s="161" t="s">
        <v>4960</v>
      </c>
      <c r="E3112" s="156"/>
      <c r="F3112" s="156"/>
      <c r="G3112" s="156"/>
      <c r="H3112" s="162"/>
      <c r="I3112" s="156"/>
      <c r="J3112" s="156"/>
      <c r="K3112" s="163"/>
    </row>
    <row r="3113">
      <c r="A3113" s="9" t="s">
        <v>4961</v>
      </c>
      <c r="B3113" s="10" t="s">
        <v>93</v>
      </c>
      <c r="C3113" s="10" t="s">
        <v>4962</v>
      </c>
      <c r="D3113" s="14" t="s">
        <v>4963</v>
      </c>
      <c r="E3113" s="10"/>
      <c r="F3113" s="10" t="s">
        <v>282</v>
      </c>
      <c r="G3113" s="111" t="n">
        <v>70</v>
      </c>
      <c r="H3113" s="152" t="n">
        <v>0</v>
      </c>
      <c r="I3113" s="111">
        <f>G3113*H3113</f>
      </c>
      <c r="J3113" s="153" t="s">
        <v>134</v>
      </c>
      <c r="K3113" s="146"/>
      <c r="Z3113" s="111">
        <f>IF(AQ3113="5",BJ3113,0)</f>
      </c>
      <c r="AB3113" s="111">
        <f>IF(AQ3113="1",BH3113,0)</f>
      </c>
      <c r="AC3113" s="111">
        <f>IF(AQ3113="1",BI3113,0)</f>
      </c>
      <c r="AD3113" s="111">
        <f>IF(AQ3113="7",BH3113,0)</f>
      </c>
      <c r="AE3113" s="111">
        <f>IF(AQ3113="7",BI3113,0)</f>
      </c>
      <c r="AF3113" s="111">
        <f>IF(AQ3113="2",BH3113,0)</f>
      </c>
      <c r="AG3113" s="111">
        <f>IF(AQ3113="2",BI3113,0)</f>
      </c>
      <c r="AH3113" s="111">
        <f>IF(AQ3113="0",BJ3113,0)</f>
      </c>
      <c r="AI3113" s="132" t="s">
        <v>93</v>
      </c>
      <c r="AJ3113" s="111">
        <f>IF(AN3113=0,I3113,0)</f>
      </c>
      <c r="AK3113" s="111">
        <f>IF(AN3113=12,I3113,0)</f>
      </c>
      <c r="AL3113" s="111">
        <f>IF(AN3113=21,I3113,0)</f>
      </c>
      <c r="AN3113" s="111" t="n">
        <v>21</v>
      </c>
      <c r="AO3113" s="111">
        <f>H3113*0.215170746</f>
      </c>
      <c r="AP3113" s="111">
        <f>H3113*(1-0.215170746)</f>
      </c>
      <c r="AQ3113" s="153" t="s">
        <v>140</v>
      </c>
      <c r="AV3113" s="111">
        <f>AW3113+AX3113</f>
      </c>
      <c r="AW3113" s="111">
        <f>G3113*AO3113</f>
      </c>
      <c r="AX3113" s="111">
        <f>G3113*AP3113</f>
      </c>
      <c r="AY3113" s="153" t="s">
        <v>4923</v>
      </c>
      <c r="AZ3113" s="153" t="s">
        <v>4606</v>
      </c>
      <c r="BA3113" s="132" t="s">
        <v>4594</v>
      </c>
      <c r="BC3113" s="111">
        <f>AW3113+AX3113</f>
      </c>
      <c r="BD3113" s="111">
        <f>H3113/(100-BE3113)*100</f>
      </c>
      <c r="BE3113" s="111" t="n">
        <v>0</v>
      </c>
      <c r="BF3113" s="111">
        <f>3113</f>
      </c>
      <c r="BH3113" s="111">
        <f>G3113*AO3113</f>
      </c>
      <c r="BI3113" s="111">
        <f>G3113*AP3113</f>
      </c>
      <c r="BJ3113" s="111">
        <f>G3113*H3113</f>
      </c>
      <c r="BK3113" s="111"/>
      <c r="BL3113" s="111"/>
      <c r="BW3113" s="111" t="n">
        <v>21</v>
      </c>
      <c r="BX3113" s="14" t="s">
        <v>4963</v>
      </c>
    </row>
    <row r="3114" customHeight="true" ht="13.5">
      <c r="A3114" s="159"/>
      <c r="C3114" s="160" t="s">
        <v>146</v>
      </c>
      <c r="D3114" s="161" t="s">
        <v>4964</v>
      </c>
      <c r="E3114" s="156"/>
      <c r="F3114" s="156"/>
      <c r="G3114" s="156"/>
      <c r="H3114" s="162"/>
      <c r="I3114" s="156"/>
      <c r="J3114" s="156"/>
      <c r="K3114" s="163"/>
    </row>
    <row r="3115">
      <c r="A3115" s="9" t="s">
        <v>4965</v>
      </c>
      <c r="B3115" s="10" t="s">
        <v>93</v>
      </c>
      <c r="C3115" s="10" t="s">
        <v>4966</v>
      </c>
      <c r="D3115" s="14" t="s">
        <v>4967</v>
      </c>
      <c r="E3115" s="10"/>
      <c r="F3115" s="10" t="s">
        <v>3860</v>
      </c>
      <c r="G3115" s="111" t="n">
        <v>1</v>
      </c>
      <c r="H3115" s="152" t="n">
        <v>0</v>
      </c>
      <c r="I3115" s="111">
        <f>G3115*H3115</f>
      </c>
      <c r="J3115" s="153" t="s">
        <v>134</v>
      </c>
      <c r="K3115" s="146"/>
      <c r="Z3115" s="111">
        <f>IF(AQ3115="5",BJ3115,0)</f>
      </c>
      <c r="AB3115" s="111">
        <f>IF(AQ3115="1",BH3115,0)</f>
      </c>
      <c r="AC3115" s="111">
        <f>IF(AQ3115="1",BI3115,0)</f>
      </c>
      <c r="AD3115" s="111">
        <f>IF(AQ3115="7",BH3115,0)</f>
      </c>
      <c r="AE3115" s="111">
        <f>IF(AQ3115="7",BI3115,0)</f>
      </c>
      <c r="AF3115" s="111">
        <f>IF(AQ3115="2",BH3115,0)</f>
      </c>
      <c r="AG3115" s="111">
        <f>IF(AQ3115="2",BI3115,0)</f>
      </c>
      <c r="AH3115" s="111">
        <f>IF(AQ3115="0",BJ3115,0)</f>
      </c>
      <c r="AI3115" s="132" t="s">
        <v>93</v>
      </c>
      <c r="AJ3115" s="111">
        <f>IF(AN3115=0,I3115,0)</f>
      </c>
      <c r="AK3115" s="111">
        <f>IF(AN3115=12,I3115,0)</f>
      </c>
      <c r="AL3115" s="111">
        <f>IF(AN3115=21,I3115,0)</f>
      </c>
      <c r="AN3115" s="111" t="n">
        <v>21</v>
      </c>
      <c r="AO3115" s="111">
        <f>H3115*0</f>
      </c>
      <c r="AP3115" s="111">
        <f>H3115*(1-0)</f>
      </c>
      <c r="AQ3115" s="153" t="s">
        <v>140</v>
      </c>
      <c r="AV3115" s="111">
        <f>AW3115+AX3115</f>
      </c>
      <c r="AW3115" s="111">
        <f>G3115*AO3115</f>
      </c>
      <c r="AX3115" s="111">
        <f>G3115*AP3115</f>
      </c>
      <c r="AY3115" s="153" t="s">
        <v>4923</v>
      </c>
      <c r="AZ3115" s="153" t="s">
        <v>4606</v>
      </c>
      <c r="BA3115" s="132" t="s">
        <v>4594</v>
      </c>
      <c r="BC3115" s="111">
        <f>AW3115+AX3115</f>
      </c>
      <c r="BD3115" s="111">
        <f>H3115/(100-BE3115)*100</f>
      </c>
      <c r="BE3115" s="111" t="n">
        <v>0</v>
      </c>
      <c r="BF3115" s="111">
        <f>3115</f>
      </c>
      <c r="BH3115" s="111">
        <f>G3115*AO3115</f>
      </c>
      <c r="BI3115" s="111">
        <f>G3115*AP3115</f>
      </c>
      <c r="BJ3115" s="111">
        <f>G3115*H3115</f>
      </c>
      <c r="BK3115" s="111"/>
      <c r="BL3115" s="111"/>
      <c r="BW3115" s="111" t="n">
        <v>21</v>
      </c>
      <c r="BX3115" s="14" t="s">
        <v>4967</v>
      </c>
    </row>
    <row r="3116">
      <c r="A3116" s="154"/>
      <c r="B3116" s="155"/>
      <c r="C3116" s="155"/>
      <c r="D3116" s="156" t="s">
        <v>130</v>
      </c>
      <c r="E3116" s="156" t="s">
        <v>4968</v>
      </c>
      <c r="F3116" s="155"/>
      <c r="G3116" s="157" t="n">
        <v>1</v>
      </c>
      <c r="H3116" s="158"/>
      <c r="I3116" s="155"/>
      <c r="J3116" s="155"/>
      <c r="K3116" s="146"/>
    </row>
    <row r="3117">
      <c r="A3117" s="9" t="s">
        <v>4969</v>
      </c>
      <c r="B3117" s="10" t="s">
        <v>93</v>
      </c>
      <c r="C3117" s="10" t="s">
        <v>4970</v>
      </c>
      <c r="D3117" s="14" t="s">
        <v>4971</v>
      </c>
      <c r="E3117" s="10"/>
      <c r="F3117" s="10" t="s">
        <v>133</v>
      </c>
      <c r="G3117" s="111" t="n">
        <v>7</v>
      </c>
      <c r="H3117" s="152" t="n">
        <v>0</v>
      </c>
      <c r="I3117" s="111">
        <f>G3117*H3117</f>
      </c>
      <c r="J3117" s="153" t="s">
        <v>134</v>
      </c>
      <c r="K3117" s="146"/>
      <c r="Z3117" s="111">
        <f>IF(AQ3117="5",BJ3117,0)</f>
      </c>
      <c r="AB3117" s="111">
        <f>IF(AQ3117="1",BH3117,0)</f>
      </c>
      <c r="AC3117" s="111">
        <f>IF(AQ3117="1",BI3117,0)</f>
      </c>
      <c r="AD3117" s="111">
        <f>IF(AQ3117="7",BH3117,0)</f>
      </c>
      <c r="AE3117" s="111">
        <f>IF(AQ3117="7",BI3117,0)</f>
      </c>
      <c r="AF3117" s="111">
        <f>IF(AQ3117="2",BH3117,0)</f>
      </c>
      <c r="AG3117" s="111">
        <f>IF(AQ3117="2",BI3117,0)</f>
      </c>
      <c r="AH3117" s="111">
        <f>IF(AQ3117="0",BJ3117,0)</f>
      </c>
      <c r="AI3117" s="132" t="s">
        <v>93</v>
      </c>
      <c r="AJ3117" s="111">
        <f>IF(AN3117=0,I3117,0)</f>
      </c>
      <c r="AK3117" s="111">
        <f>IF(AN3117=12,I3117,0)</f>
      </c>
      <c r="AL3117" s="111">
        <f>IF(AN3117=21,I3117,0)</f>
      </c>
      <c r="AN3117" s="111" t="n">
        <v>21</v>
      </c>
      <c r="AO3117" s="111">
        <f>H3117*0</f>
      </c>
      <c r="AP3117" s="111">
        <f>H3117*(1-0)</f>
      </c>
      <c r="AQ3117" s="153" t="s">
        <v>140</v>
      </c>
      <c r="AV3117" s="111">
        <f>AW3117+AX3117</f>
      </c>
      <c r="AW3117" s="111">
        <f>G3117*AO3117</f>
      </c>
      <c r="AX3117" s="111">
        <f>G3117*AP3117</f>
      </c>
      <c r="AY3117" s="153" t="s">
        <v>4923</v>
      </c>
      <c r="AZ3117" s="153" t="s">
        <v>4606</v>
      </c>
      <c r="BA3117" s="132" t="s">
        <v>4594</v>
      </c>
      <c r="BC3117" s="111">
        <f>AW3117+AX3117</f>
      </c>
      <c r="BD3117" s="111">
        <f>H3117/(100-BE3117)*100</f>
      </c>
      <c r="BE3117" s="111" t="n">
        <v>0</v>
      </c>
      <c r="BF3117" s="111">
        <f>3117</f>
      </c>
      <c r="BH3117" s="111">
        <f>G3117*AO3117</f>
      </c>
      <c r="BI3117" s="111">
        <f>G3117*AP3117</f>
      </c>
      <c r="BJ3117" s="111">
        <f>G3117*H3117</f>
      </c>
      <c r="BK3117" s="111"/>
      <c r="BL3117" s="111"/>
      <c r="BW3117" s="111" t="n">
        <v>21</v>
      </c>
      <c r="BX3117" s="14" t="s">
        <v>4971</v>
      </c>
    </row>
    <row r="3118" customHeight="true" ht="13.5">
      <c r="A3118" s="159"/>
      <c r="C3118" s="160" t="s">
        <v>146</v>
      </c>
      <c r="D3118" s="161" t="s">
        <v>4972</v>
      </c>
      <c r="E3118" s="156"/>
      <c r="F3118" s="156"/>
      <c r="G3118" s="156"/>
      <c r="H3118" s="162"/>
      <c r="I3118" s="156"/>
      <c r="J3118" s="156"/>
      <c r="K3118" s="163"/>
    </row>
    <row r="3119">
      <c r="A3119" s="9" t="s">
        <v>4973</v>
      </c>
      <c r="B3119" s="10" t="s">
        <v>93</v>
      </c>
      <c r="C3119" s="10" t="s">
        <v>4974</v>
      </c>
      <c r="D3119" s="14" t="s">
        <v>4975</v>
      </c>
      <c r="E3119" s="10"/>
      <c r="F3119" s="10" t="s">
        <v>133</v>
      </c>
      <c r="G3119" s="111" t="n">
        <v>8</v>
      </c>
      <c r="H3119" s="152" t="n">
        <v>0</v>
      </c>
      <c r="I3119" s="111">
        <f>G3119*H3119</f>
      </c>
      <c r="J3119" s="153" t="s">
        <v>134</v>
      </c>
      <c r="K3119" s="146"/>
      <c r="Z3119" s="111">
        <f>IF(AQ3119="5",BJ3119,0)</f>
      </c>
      <c r="AB3119" s="111">
        <f>IF(AQ3119="1",BH3119,0)</f>
      </c>
      <c r="AC3119" s="111">
        <f>IF(AQ3119="1",BI3119,0)</f>
      </c>
      <c r="AD3119" s="111">
        <f>IF(AQ3119="7",BH3119,0)</f>
      </c>
      <c r="AE3119" s="111">
        <f>IF(AQ3119="7",BI3119,0)</f>
      </c>
      <c r="AF3119" s="111">
        <f>IF(AQ3119="2",BH3119,0)</f>
      </c>
      <c r="AG3119" s="111">
        <f>IF(AQ3119="2",BI3119,0)</f>
      </c>
      <c r="AH3119" s="111">
        <f>IF(AQ3119="0",BJ3119,0)</f>
      </c>
      <c r="AI3119" s="132" t="s">
        <v>93</v>
      </c>
      <c r="AJ3119" s="111">
        <f>IF(AN3119=0,I3119,0)</f>
      </c>
      <c r="AK3119" s="111">
        <f>IF(AN3119=12,I3119,0)</f>
      </c>
      <c r="AL3119" s="111">
        <f>IF(AN3119=21,I3119,0)</f>
      </c>
      <c r="AN3119" s="111" t="n">
        <v>21</v>
      </c>
      <c r="AO3119" s="111">
        <f>H3119*0.474785201</f>
      </c>
      <c r="AP3119" s="111">
        <f>H3119*(1-0.474785201)</f>
      </c>
      <c r="AQ3119" s="153" t="s">
        <v>140</v>
      </c>
      <c r="AV3119" s="111">
        <f>AW3119+AX3119</f>
      </c>
      <c r="AW3119" s="111">
        <f>G3119*AO3119</f>
      </c>
      <c r="AX3119" s="111">
        <f>G3119*AP3119</f>
      </c>
      <c r="AY3119" s="153" t="s">
        <v>4923</v>
      </c>
      <c r="AZ3119" s="153" t="s">
        <v>4606</v>
      </c>
      <c r="BA3119" s="132" t="s">
        <v>4594</v>
      </c>
      <c r="BC3119" s="111">
        <f>AW3119+AX3119</f>
      </c>
      <c r="BD3119" s="111">
        <f>H3119/(100-BE3119)*100</f>
      </c>
      <c r="BE3119" s="111" t="n">
        <v>0</v>
      </c>
      <c r="BF3119" s="111">
        <f>3119</f>
      </c>
      <c r="BH3119" s="111">
        <f>G3119*AO3119</f>
      </c>
      <c r="BI3119" s="111">
        <f>G3119*AP3119</f>
      </c>
      <c r="BJ3119" s="111">
        <f>G3119*H3119</f>
      </c>
      <c r="BK3119" s="111"/>
      <c r="BL3119" s="111"/>
      <c r="BW3119" s="111" t="n">
        <v>21</v>
      </c>
      <c r="BX3119" s="14" t="s">
        <v>4975</v>
      </c>
    </row>
    <row r="3120" customHeight="true" ht="13.5">
      <c r="A3120" s="159"/>
      <c r="C3120" s="160" t="s">
        <v>146</v>
      </c>
      <c r="D3120" s="161" t="s">
        <v>4976</v>
      </c>
      <c r="E3120" s="156"/>
      <c r="F3120" s="156"/>
      <c r="G3120" s="156"/>
      <c r="H3120" s="162"/>
      <c r="I3120" s="156"/>
      <c r="J3120" s="156"/>
      <c r="K3120" s="163"/>
    </row>
    <row r="3121">
      <c r="A3121" s="9" t="s">
        <v>4977</v>
      </c>
      <c r="B3121" s="10" t="s">
        <v>93</v>
      </c>
      <c r="C3121" s="10" t="s">
        <v>4978</v>
      </c>
      <c r="D3121" s="14" t="s">
        <v>4979</v>
      </c>
      <c r="E3121" s="10"/>
      <c r="F3121" s="10" t="s">
        <v>133</v>
      </c>
      <c r="G3121" s="111" t="n">
        <v>4</v>
      </c>
      <c r="H3121" s="152" t="n">
        <v>0</v>
      </c>
      <c r="I3121" s="111">
        <f>G3121*H3121</f>
      </c>
      <c r="J3121" s="153" t="s">
        <v>134</v>
      </c>
      <c r="K3121" s="146"/>
      <c r="Z3121" s="111">
        <f>IF(AQ3121="5",BJ3121,0)</f>
      </c>
      <c r="AB3121" s="111">
        <f>IF(AQ3121="1",BH3121,0)</f>
      </c>
      <c r="AC3121" s="111">
        <f>IF(AQ3121="1",BI3121,0)</f>
      </c>
      <c r="AD3121" s="111">
        <f>IF(AQ3121="7",BH3121,0)</f>
      </c>
      <c r="AE3121" s="111">
        <f>IF(AQ3121="7",BI3121,0)</f>
      </c>
      <c r="AF3121" s="111">
        <f>IF(AQ3121="2",BH3121,0)</f>
      </c>
      <c r="AG3121" s="111">
        <f>IF(AQ3121="2",BI3121,0)</f>
      </c>
      <c r="AH3121" s="111">
        <f>IF(AQ3121="0",BJ3121,0)</f>
      </c>
      <c r="AI3121" s="132" t="s">
        <v>93</v>
      </c>
      <c r="AJ3121" s="111">
        <f>IF(AN3121=0,I3121,0)</f>
      </c>
      <c r="AK3121" s="111">
        <f>IF(AN3121=12,I3121,0)</f>
      </c>
      <c r="AL3121" s="111">
        <f>IF(AN3121=21,I3121,0)</f>
      </c>
      <c r="AN3121" s="111" t="n">
        <v>21</v>
      </c>
      <c r="AO3121" s="111">
        <f>H3121*0.089370044</f>
      </c>
      <c r="AP3121" s="111">
        <f>H3121*(1-0.089370044)</f>
      </c>
      <c r="AQ3121" s="153" t="s">
        <v>140</v>
      </c>
      <c r="AV3121" s="111">
        <f>AW3121+AX3121</f>
      </c>
      <c r="AW3121" s="111">
        <f>G3121*AO3121</f>
      </c>
      <c r="AX3121" s="111">
        <f>G3121*AP3121</f>
      </c>
      <c r="AY3121" s="153" t="s">
        <v>4923</v>
      </c>
      <c r="AZ3121" s="153" t="s">
        <v>4606</v>
      </c>
      <c r="BA3121" s="132" t="s">
        <v>4594</v>
      </c>
      <c r="BC3121" s="111">
        <f>AW3121+AX3121</f>
      </c>
      <c r="BD3121" s="111">
        <f>H3121/(100-BE3121)*100</f>
      </c>
      <c r="BE3121" s="111" t="n">
        <v>0</v>
      </c>
      <c r="BF3121" s="111">
        <f>3121</f>
      </c>
      <c r="BH3121" s="111">
        <f>G3121*AO3121</f>
      </c>
      <c r="BI3121" s="111">
        <f>G3121*AP3121</f>
      </c>
      <c r="BJ3121" s="111">
        <f>G3121*H3121</f>
      </c>
      <c r="BK3121" s="111"/>
      <c r="BL3121" s="111"/>
      <c r="BW3121" s="111" t="n">
        <v>21</v>
      </c>
      <c r="BX3121" s="14" t="s">
        <v>4979</v>
      </c>
    </row>
    <row r="3122" customHeight="true" ht="13.5">
      <c r="A3122" s="159"/>
      <c r="C3122" s="160" t="s">
        <v>146</v>
      </c>
      <c r="D3122" s="161" t="s">
        <v>4980</v>
      </c>
      <c r="E3122" s="156"/>
      <c r="F3122" s="156"/>
      <c r="G3122" s="156"/>
      <c r="H3122" s="162"/>
      <c r="I3122" s="156"/>
      <c r="J3122" s="156"/>
      <c r="K3122" s="163"/>
    </row>
    <row r="3123">
      <c r="A3123" s="9" t="s">
        <v>4981</v>
      </c>
      <c r="B3123" s="10" t="s">
        <v>93</v>
      </c>
      <c r="C3123" s="10" t="s">
        <v>4982</v>
      </c>
      <c r="D3123" s="14" t="s">
        <v>4983</v>
      </c>
      <c r="E3123" s="10"/>
      <c r="F3123" s="10" t="s">
        <v>133</v>
      </c>
      <c r="G3123" s="111" t="n">
        <v>12</v>
      </c>
      <c r="H3123" s="152" t="n">
        <v>0</v>
      </c>
      <c r="I3123" s="111">
        <f>G3123*H3123</f>
      </c>
      <c r="J3123" s="153" t="s">
        <v>134</v>
      </c>
      <c r="K3123" s="146"/>
      <c r="Z3123" s="111">
        <f>IF(AQ3123="5",BJ3123,0)</f>
      </c>
      <c r="AB3123" s="111">
        <f>IF(AQ3123="1",BH3123,0)</f>
      </c>
      <c r="AC3123" s="111">
        <f>IF(AQ3123="1",BI3123,0)</f>
      </c>
      <c r="AD3123" s="111">
        <f>IF(AQ3123="7",BH3123,0)</f>
      </c>
      <c r="AE3123" s="111">
        <f>IF(AQ3123="7",BI3123,0)</f>
      </c>
      <c r="AF3123" s="111">
        <f>IF(AQ3123="2",BH3123,0)</f>
      </c>
      <c r="AG3123" s="111">
        <f>IF(AQ3123="2",BI3123,0)</f>
      </c>
      <c r="AH3123" s="111">
        <f>IF(AQ3123="0",BJ3123,0)</f>
      </c>
      <c r="AI3123" s="132" t="s">
        <v>93</v>
      </c>
      <c r="AJ3123" s="111">
        <f>IF(AN3123=0,I3123,0)</f>
      </c>
      <c r="AK3123" s="111">
        <f>IF(AN3123=12,I3123,0)</f>
      </c>
      <c r="AL3123" s="111">
        <f>IF(AN3123=21,I3123,0)</f>
      </c>
      <c r="AN3123" s="111" t="n">
        <v>21</v>
      </c>
      <c r="AO3123" s="111">
        <f>H3123*0.164001827</f>
      </c>
      <c r="AP3123" s="111">
        <f>H3123*(1-0.164001827)</f>
      </c>
      <c r="AQ3123" s="153" t="s">
        <v>140</v>
      </c>
      <c r="AV3123" s="111">
        <f>AW3123+AX3123</f>
      </c>
      <c r="AW3123" s="111">
        <f>G3123*AO3123</f>
      </c>
      <c r="AX3123" s="111">
        <f>G3123*AP3123</f>
      </c>
      <c r="AY3123" s="153" t="s">
        <v>4923</v>
      </c>
      <c r="AZ3123" s="153" t="s">
        <v>4606</v>
      </c>
      <c r="BA3123" s="132" t="s">
        <v>4594</v>
      </c>
      <c r="BC3123" s="111">
        <f>AW3123+AX3123</f>
      </c>
      <c r="BD3123" s="111">
        <f>H3123/(100-BE3123)*100</f>
      </c>
      <c r="BE3123" s="111" t="n">
        <v>0</v>
      </c>
      <c r="BF3123" s="111">
        <f>3123</f>
      </c>
      <c r="BH3123" s="111">
        <f>G3123*AO3123</f>
      </c>
      <c r="BI3123" s="111">
        <f>G3123*AP3123</f>
      </c>
      <c r="BJ3123" s="111">
        <f>G3123*H3123</f>
      </c>
      <c r="BK3123" s="111"/>
      <c r="BL3123" s="111"/>
      <c r="BW3123" s="111" t="n">
        <v>21</v>
      </c>
      <c r="BX3123" s="14" t="s">
        <v>4983</v>
      </c>
    </row>
    <row r="3124" customHeight="true" ht="13.5">
      <c r="A3124" s="159"/>
      <c r="C3124" s="160" t="s">
        <v>146</v>
      </c>
      <c r="D3124" s="161" t="s">
        <v>4984</v>
      </c>
      <c r="E3124" s="156"/>
      <c r="F3124" s="156"/>
      <c r="G3124" s="156"/>
      <c r="H3124" s="162"/>
      <c r="I3124" s="156"/>
      <c r="J3124" s="156"/>
      <c r="K3124" s="163"/>
    </row>
    <row r="3125">
      <c r="A3125" s="9" t="s">
        <v>4985</v>
      </c>
      <c r="B3125" s="10" t="s">
        <v>93</v>
      </c>
      <c r="C3125" s="10" t="s">
        <v>4986</v>
      </c>
      <c r="D3125" s="14" t="s">
        <v>4983</v>
      </c>
      <c r="E3125" s="10"/>
      <c r="F3125" s="10" t="s">
        <v>133</v>
      </c>
      <c r="G3125" s="111" t="n">
        <v>2</v>
      </c>
      <c r="H3125" s="152" t="n">
        <v>0</v>
      </c>
      <c r="I3125" s="111">
        <f>G3125*H3125</f>
      </c>
      <c r="J3125" s="153" t="s">
        <v>134</v>
      </c>
      <c r="K3125" s="146"/>
      <c r="Z3125" s="111">
        <f>IF(AQ3125="5",BJ3125,0)</f>
      </c>
      <c r="AB3125" s="111">
        <f>IF(AQ3125="1",BH3125,0)</f>
      </c>
      <c r="AC3125" s="111">
        <f>IF(AQ3125="1",BI3125,0)</f>
      </c>
      <c r="AD3125" s="111">
        <f>IF(AQ3125="7",BH3125,0)</f>
      </c>
      <c r="AE3125" s="111">
        <f>IF(AQ3125="7",BI3125,0)</f>
      </c>
      <c r="AF3125" s="111">
        <f>IF(AQ3125="2",BH3125,0)</f>
      </c>
      <c r="AG3125" s="111">
        <f>IF(AQ3125="2",BI3125,0)</f>
      </c>
      <c r="AH3125" s="111">
        <f>IF(AQ3125="0",BJ3125,0)</f>
      </c>
      <c r="AI3125" s="132" t="s">
        <v>93</v>
      </c>
      <c r="AJ3125" s="111">
        <f>IF(AN3125=0,I3125,0)</f>
      </c>
      <c r="AK3125" s="111">
        <f>IF(AN3125=12,I3125,0)</f>
      </c>
      <c r="AL3125" s="111">
        <f>IF(AN3125=21,I3125,0)</f>
      </c>
      <c r="AN3125" s="111" t="n">
        <v>21</v>
      </c>
      <c r="AO3125" s="111">
        <f>H3125*0.098686828</f>
      </c>
      <c r="AP3125" s="111">
        <f>H3125*(1-0.098686828)</f>
      </c>
      <c r="AQ3125" s="153" t="s">
        <v>140</v>
      </c>
      <c r="AV3125" s="111">
        <f>AW3125+AX3125</f>
      </c>
      <c r="AW3125" s="111">
        <f>G3125*AO3125</f>
      </c>
      <c r="AX3125" s="111">
        <f>G3125*AP3125</f>
      </c>
      <c r="AY3125" s="153" t="s">
        <v>4923</v>
      </c>
      <c r="AZ3125" s="153" t="s">
        <v>4606</v>
      </c>
      <c r="BA3125" s="132" t="s">
        <v>4594</v>
      </c>
      <c r="BC3125" s="111">
        <f>AW3125+AX3125</f>
      </c>
      <c r="BD3125" s="111">
        <f>H3125/(100-BE3125)*100</f>
      </c>
      <c r="BE3125" s="111" t="n">
        <v>0</v>
      </c>
      <c r="BF3125" s="111">
        <f>3125</f>
      </c>
      <c r="BH3125" s="111">
        <f>G3125*AO3125</f>
      </c>
      <c r="BI3125" s="111">
        <f>G3125*AP3125</f>
      </c>
      <c r="BJ3125" s="111">
        <f>G3125*H3125</f>
      </c>
      <c r="BK3125" s="111"/>
      <c r="BL3125" s="111"/>
      <c r="BW3125" s="111" t="n">
        <v>21</v>
      </c>
      <c r="BX3125" s="14" t="s">
        <v>4983</v>
      </c>
    </row>
    <row r="3126" customHeight="true" ht="13.5">
      <c r="A3126" s="159"/>
      <c r="C3126" s="160" t="s">
        <v>146</v>
      </c>
      <c r="D3126" s="161" t="s">
        <v>4987</v>
      </c>
      <c r="E3126" s="156"/>
      <c r="F3126" s="156"/>
      <c r="G3126" s="156"/>
      <c r="H3126" s="162"/>
      <c r="I3126" s="156"/>
      <c r="J3126" s="156"/>
      <c r="K3126" s="163"/>
    </row>
    <row r="3127">
      <c r="A3127" s="9" t="s">
        <v>4988</v>
      </c>
      <c r="B3127" s="10" t="s">
        <v>93</v>
      </c>
      <c r="C3127" s="10" t="s">
        <v>4989</v>
      </c>
      <c r="D3127" s="14" t="s">
        <v>4983</v>
      </c>
      <c r="E3127" s="10"/>
      <c r="F3127" s="10" t="s">
        <v>133</v>
      </c>
      <c r="G3127" s="111" t="n">
        <v>10</v>
      </c>
      <c r="H3127" s="152" t="n">
        <v>0</v>
      </c>
      <c r="I3127" s="111">
        <f>G3127*H3127</f>
      </c>
      <c r="J3127" s="153" t="s">
        <v>134</v>
      </c>
      <c r="K3127" s="146"/>
      <c r="Z3127" s="111">
        <f>IF(AQ3127="5",BJ3127,0)</f>
      </c>
      <c r="AB3127" s="111">
        <f>IF(AQ3127="1",BH3127,0)</f>
      </c>
      <c r="AC3127" s="111">
        <f>IF(AQ3127="1",BI3127,0)</f>
      </c>
      <c r="AD3127" s="111">
        <f>IF(AQ3127="7",BH3127,0)</f>
      </c>
      <c r="AE3127" s="111">
        <f>IF(AQ3127="7",BI3127,0)</f>
      </c>
      <c r="AF3127" s="111">
        <f>IF(AQ3127="2",BH3127,0)</f>
      </c>
      <c r="AG3127" s="111">
        <f>IF(AQ3127="2",BI3127,0)</f>
      </c>
      <c r="AH3127" s="111">
        <f>IF(AQ3127="0",BJ3127,0)</f>
      </c>
      <c r="AI3127" s="132" t="s">
        <v>93</v>
      </c>
      <c r="AJ3127" s="111">
        <f>IF(AN3127=0,I3127,0)</f>
      </c>
      <c r="AK3127" s="111">
        <f>IF(AN3127=12,I3127,0)</f>
      </c>
      <c r="AL3127" s="111">
        <f>IF(AN3127=21,I3127,0)</f>
      </c>
      <c r="AN3127" s="111" t="n">
        <v>21</v>
      </c>
      <c r="AO3127" s="111">
        <f>H3127*0.248386105</f>
      </c>
      <c r="AP3127" s="111">
        <f>H3127*(1-0.248386105)</f>
      </c>
      <c r="AQ3127" s="153" t="s">
        <v>140</v>
      </c>
      <c r="AV3127" s="111">
        <f>AW3127+AX3127</f>
      </c>
      <c r="AW3127" s="111">
        <f>G3127*AO3127</f>
      </c>
      <c r="AX3127" s="111">
        <f>G3127*AP3127</f>
      </c>
      <c r="AY3127" s="153" t="s">
        <v>4923</v>
      </c>
      <c r="AZ3127" s="153" t="s">
        <v>4606</v>
      </c>
      <c r="BA3127" s="132" t="s">
        <v>4594</v>
      </c>
      <c r="BC3127" s="111">
        <f>AW3127+AX3127</f>
      </c>
      <c r="BD3127" s="111">
        <f>H3127/(100-BE3127)*100</f>
      </c>
      <c r="BE3127" s="111" t="n">
        <v>0</v>
      </c>
      <c r="BF3127" s="111">
        <f>3127</f>
      </c>
      <c r="BH3127" s="111">
        <f>G3127*AO3127</f>
      </c>
      <c r="BI3127" s="111">
        <f>G3127*AP3127</f>
      </c>
      <c r="BJ3127" s="111">
        <f>G3127*H3127</f>
      </c>
      <c r="BK3127" s="111"/>
      <c r="BL3127" s="111"/>
      <c r="BW3127" s="111" t="n">
        <v>21</v>
      </c>
      <c r="BX3127" s="14" t="s">
        <v>4983</v>
      </c>
    </row>
    <row r="3128" customHeight="true" ht="13.5">
      <c r="A3128" s="159"/>
      <c r="C3128" s="160" t="s">
        <v>146</v>
      </c>
      <c r="D3128" s="161" t="s">
        <v>4990</v>
      </c>
      <c r="E3128" s="156"/>
      <c r="F3128" s="156"/>
      <c r="G3128" s="156"/>
      <c r="H3128" s="162"/>
      <c r="I3128" s="156"/>
      <c r="J3128" s="156"/>
      <c r="K3128" s="163"/>
    </row>
    <row r="3129">
      <c r="A3129" s="9" t="s">
        <v>4991</v>
      </c>
      <c r="B3129" s="10" t="s">
        <v>93</v>
      </c>
      <c r="C3129" s="10" t="s">
        <v>4992</v>
      </c>
      <c r="D3129" s="14" t="s">
        <v>4983</v>
      </c>
      <c r="E3129" s="10"/>
      <c r="F3129" s="10" t="s">
        <v>133</v>
      </c>
      <c r="G3129" s="111" t="n">
        <v>14</v>
      </c>
      <c r="H3129" s="152" t="n">
        <v>0</v>
      </c>
      <c r="I3129" s="111">
        <f>G3129*H3129</f>
      </c>
      <c r="J3129" s="153" t="s">
        <v>134</v>
      </c>
      <c r="K3129" s="146"/>
      <c r="Z3129" s="111">
        <f>IF(AQ3129="5",BJ3129,0)</f>
      </c>
      <c r="AB3129" s="111">
        <f>IF(AQ3129="1",BH3129,0)</f>
      </c>
      <c r="AC3129" s="111">
        <f>IF(AQ3129="1",BI3129,0)</f>
      </c>
      <c r="AD3129" s="111">
        <f>IF(AQ3129="7",BH3129,0)</f>
      </c>
      <c r="AE3129" s="111">
        <f>IF(AQ3129="7",BI3129,0)</f>
      </c>
      <c r="AF3129" s="111">
        <f>IF(AQ3129="2",BH3129,0)</f>
      </c>
      <c r="AG3129" s="111">
        <f>IF(AQ3129="2",BI3129,0)</f>
      </c>
      <c r="AH3129" s="111">
        <f>IF(AQ3129="0",BJ3129,0)</f>
      </c>
      <c r="AI3129" s="132" t="s">
        <v>93</v>
      </c>
      <c r="AJ3129" s="111">
        <f>IF(AN3129=0,I3129,0)</f>
      </c>
      <c r="AK3129" s="111">
        <f>IF(AN3129=12,I3129,0)</f>
      </c>
      <c r="AL3129" s="111">
        <f>IF(AN3129=21,I3129,0)</f>
      </c>
      <c r="AN3129" s="111" t="n">
        <v>21</v>
      </c>
      <c r="AO3129" s="111">
        <f>H3129*0.154920163</f>
      </c>
      <c r="AP3129" s="111">
        <f>H3129*(1-0.154920163)</f>
      </c>
      <c r="AQ3129" s="153" t="s">
        <v>140</v>
      </c>
      <c r="AV3129" s="111">
        <f>AW3129+AX3129</f>
      </c>
      <c r="AW3129" s="111">
        <f>G3129*AO3129</f>
      </c>
      <c r="AX3129" s="111">
        <f>G3129*AP3129</f>
      </c>
      <c r="AY3129" s="153" t="s">
        <v>4923</v>
      </c>
      <c r="AZ3129" s="153" t="s">
        <v>4606</v>
      </c>
      <c r="BA3129" s="132" t="s">
        <v>4594</v>
      </c>
      <c r="BC3129" s="111">
        <f>AW3129+AX3129</f>
      </c>
      <c r="BD3129" s="111">
        <f>H3129/(100-BE3129)*100</f>
      </c>
      <c r="BE3129" s="111" t="n">
        <v>0</v>
      </c>
      <c r="BF3129" s="111">
        <f>3129</f>
      </c>
      <c r="BH3129" s="111">
        <f>G3129*AO3129</f>
      </c>
      <c r="BI3129" s="111">
        <f>G3129*AP3129</f>
      </c>
      <c r="BJ3129" s="111">
        <f>G3129*H3129</f>
      </c>
      <c r="BK3129" s="111"/>
      <c r="BL3129" s="111"/>
      <c r="BW3129" s="111" t="n">
        <v>21</v>
      </c>
      <c r="BX3129" s="14" t="s">
        <v>4983</v>
      </c>
    </row>
    <row r="3130" customHeight="true" ht="13.5">
      <c r="A3130" s="159"/>
      <c r="C3130" s="160" t="s">
        <v>146</v>
      </c>
      <c r="D3130" s="161" t="s">
        <v>4993</v>
      </c>
      <c r="E3130" s="156"/>
      <c r="F3130" s="156"/>
      <c r="G3130" s="156"/>
      <c r="H3130" s="162"/>
      <c r="I3130" s="156"/>
      <c r="J3130" s="156"/>
      <c r="K3130" s="163"/>
    </row>
    <row r="3131">
      <c r="A3131" s="9" t="s">
        <v>4994</v>
      </c>
      <c r="B3131" s="10" t="s">
        <v>93</v>
      </c>
      <c r="C3131" s="10" t="s">
        <v>4995</v>
      </c>
      <c r="D3131" s="14" t="s">
        <v>4983</v>
      </c>
      <c r="E3131" s="10"/>
      <c r="F3131" s="10" t="s">
        <v>133</v>
      </c>
      <c r="G3131" s="111" t="n">
        <v>20</v>
      </c>
      <c r="H3131" s="152" t="n">
        <v>0</v>
      </c>
      <c r="I3131" s="111">
        <f>G3131*H3131</f>
      </c>
      <c r="J3131" s="153" t="s">
        <v>134</v>
      </c>
      <c r="K3131" s="146"/>
      <c r="Z3131" s="111">
        <f>IF(AQ3131="5",BJ3131,0)</f>
      </c>
      <c r="AB3131" s="111">
        <f>IF(AQ3131="1",BH3131,0)</f>
      </c>
      <c r="AC3131" s="111">
        <f>IF(AQ3131="1",BI3131,0)</f>
      </c>
      <c r="AD3131" s="111">
        <f>IF(AQ3131="7",BH3131,0)</f>
      </c>
      <c r="AE3131" s="111">
        <f>IF(AQ3131="7",BI3131,0)</f>
      </c>
      <c r="AF3131" s="111">
        <f>IF(AQ3131="2",BH3131,0)</f>
      </c>
      <c r="AG3131" s="111">
        <f>IF(AQ3131="2",BI3131,0)</f>
      </c>
      <c r="AH3131" s="111">
        <f>IF(AQ3131="0",BJ3131,0)</f>
      </c>
      <c r="AI3131" s="132" t="s">
        <v>93</v>
      </c>
      <c r="AJ3131" s="111">
        <f>IF(AN3131=0,I3131,0)</f>
      </c>
      <c r="AK3131" s="111">
        <f>IF(AN3131=12,I3131,0)</f>
      </c>
      <c r="AL3131" s="111">
        <f>IF(AN3131=21,I3131,0)</f>
      </c>
      <c r="AN3131" s="111" t="n">
        <v>21</v>
      </c>
      <c r="AO3131" s="111">
        <f>H3131*0.152246565</f>
      </c>
      <c r="AP3131" s="111">
        <f>H3131*(1-0.152246565)</f>
      </c>
      <c r="AQ3131" s="153" t="s">
        <v>140</v>
      </c>
      <c r="AV3131" s="111">
        <f>AW3131+AX3131</f>
      </c>
      <c r="AW3131" s="111">
        <f>G3131*AO3131</f>
      </c>
      <c r="AX3131" s="111">
        <f>G3131*AP3131</f>
      </c>
      <c r="AY3131" s="153" t="s">
        <v>4923</v>
      </c>
      <c r="AZ3131" s="153" t="s">
        <v>4606</v>
      </c>
      <c r="BA3131" s="132" t="s">
        <v>4594</v>
      </c>
      <c r="BC3131" s="111">
        <f>AW3131+AX3131</f>
      </c>
      <c r="BD3131" s="111">
        <f>H3131/(100-BE3131)*100</f>
      </c>
      <c r="BE3131" s="111" t="n">
        <v>0</v>
      </c>
      <c r="BF3131" s="111">
        <f>3131</f>
      </c>
      <c r="BH3131" s="111">
        <f>G3131*AO3131</f>
      </c>
      <c r="BI3131" s="111">
        <f>G3131*AP3131</f>
      </c>
      <c r="BJ3131" s="111">
        <f>G3131*H3131</f>
      </c>
      <c r="BK3131" s="111"/>
      <c r="BL3131" s="111"/>
      <c r="BW3131" s="111" t="n">
        <v>21</v>
      </c>
      <c r="BX3131" s="14" t="s">
        <v>4983</v>
      </c>
    </row>
    <row r="3132" customHeight="true" ht="13.5">
      <c r="A3132" s="159"/>
      <c r="C3132" s="160" t="s">
        <v>146</v>
      </c>
      <c r="D3132" s="161" t="s">
        <v>4996</v>
      </c>
      <c r="E3132" s="156"/>
      <c r="F3132" s="156"/>
      <c r="G3132" s="156"/>
      <c r="H3132" s="162"/>
      <c r="I3132" s="156"/>
      <c r="J3132" s="156"/>
      <c r="K3132" s="163"/>
    </row>
    <row r="3133">
      <c r="A3133" s="9" t="s">
        <v>4997</v>
      </c>
      <c r="B3133" s="10" t="s">
        <v>93</v>
      </c>
      <c r="C3133" s="10" t="s">
        <v>4998</v>
      </c>
      <c r="D3133" s="14" t="s">
        <v>4999</v>
      </c>
      <c r="E3133" s="10"/>
      <c r="F3133" s="10" t="s">
        <v>133</v>
      </c>
      <c r="G3133" s="111" t="n">
        <v>156</v>
      </c>
      <c r="H3133" s="152" t="n">
        <v>0</v>
      </c>
      <c r="I3133" s="111">
        <f>G3133*H3133</f>
      </c>
      <c r="J3133" s="153" t="s">
        <v>134</v>
      </c>
      <c r="K3133" s="146"/>
      <c r="Z3133" s="111">
        <f>IF(AQ3133="5",BJ3133,0)</f>
      </c>
      <c r="AB3133" s="111">
        <f>IF(AQ3133="1",BH3133,0)</f>
      </c>
      <c r="AC3133" s="111">
        <f>IF(AQ3133="1",BI3133,0)</f>
      </c>
      <c r="AD3133" s="111">
        <f>IF(AQ3133="7",BH3133,0)</f>
      </c>
      <c r="AE3133" s="111">
        <f>IF(AQ3133="7",BI3133,0)</f>
      </c>
      <c r="AF3133" s="111">
        <f>IF(AQ3133="2",BH3133,0)</f>
      </c>
      <c r="AG3133" s="111">
        <f>IF(AQ3133="2",BI3133,0)</f>
      </c>
      <c r="AH3133" s="111">
        <f>IF(AQ3133="0",BJ3133,0)</f>
      </c>
      <c r="AI3133" s="132" t="s">
        <v>93</v>
      </c>
      <c r="AJ3133" s="111">
        <f>IF(AN3133=0,I3133,0)</f>
      </c>
      <c r="AK3133" s="111">
        <f>IF(AN3133=12,I3133,0)</f>
      </c>
      <c r="AL3133" s="111">
        <f>IF(AN3133=21,I3133,0)</f>
      </c>
      <c r="AN3133" s="111" t="n">
        <v>21</v>
      </c>
      <c r="AO3133" s="111">
        <f>H3133*0.147154795</f>
      </c>
      <c r="AP3133" s="111">
        <f>H3133*(1-0.147154795)</f>
      </c>
      <c r="AQ3133" s="153" t="s">
        <v>140</v>
      </c>
      <c r="AV3133" s="111">
        <f>AW3133+AX3133</f>
      </c>
      <c r="AW3133" s="111">
        <f>G3133*AO3133</f>
      </c>
      <c r="AX3133" s="111">
        <f>G3133*AP3133</f>
      </c>
      <c r="AY3133" s="153" t="s">
        <v>4923</v>
      </c>
      <c r="AZ3133" s="153" t="s">
        <v>4606</v>
      </c>
      <c r="BA3133" s="132" t="s">
        <v>4594</v>
      </c>
      <c r="BC3133" s="111">
        <f>AW3133+AX3133</f>
      </c>
      <c r="BD3133" s="111">
        <f>H3133/(100-BE3133)*100</f>
      </c>
      <c r="BE3133" s="111" t="n">
        <v>0</v>
      </c>
      <c r="BF3133" s="111">
        <f>3133</f>
      </c>
      <c r="BH3133" s="111">
        <f>G3133*AO3133</f>
      </c>
      <c r="BI3133" s="111">
        <f>G3133*AP3133</f>
      </c>
      <c r="BJ3133" s="111">
        <f>G3133*H3133</f>
      </c>
      <c r="BK3133" s="111"/>
      <c r="BL3133" s="111"/>
      <c r="BW3133" s="111" t="n">
        <v>21</v>
      </c>
      <c r="BX3133" s="14" t="s">
        <v>4999</v>
      </c>
    </row>
    <row r="3134" customHeight="true" ht="13.5">
      <c r="A3134" s="159"/>
      <c r="C3134" s="160" t="s">
        <v>146</v>
      </c>
      <c r="D3134" s="161" t="s">
        <v>5000</v>
      </c>
      <c r="E3134" s="156"/>
      <c r="F3134" s="156"/>
      <c r="G3134" s="156"/>
      <c r="H3134" s="162"/>
      <c r="I3134" s="156"/>
      <c r="J3134" s="156"/>
      <c r="K3134" s="163"/>
    </row>
    <row r="3135">
      <c r="A3135" s="9" t="s">
        <v>5001</v>
      </c>
      <c r="B3135" s="10" t="s">
        <v>93</v>
      </c>
      <c r="C3135" s="10" t="s">
        <v>5002</v>
      </c>
      <c r="D3135" s="14" t="s">
        <v>4999</v>
      </c>
      <c r="E3135" s="10"/>
      <c r="F3135" s="10" t="s">
        <v>133</v>
      </c>
      <c r="G3135" s="111" t="n">
        <v>12</v>
      </c>
      <c r="H3135" s="152" t="n">
        <v>0</v>
      </c>
      <c r="I3135" s="111">
        <f>G3135*H3135</f>
      </c>
      <c r="J3135" s="153" t="s">
        <v>134</v>
      </c>
      <c r="K3135" s="146"/>
      <c r="Z3135" s="111">
        <f>IF(AQ3135="5",BJ3135,0)</f>
      </c>
      <c r="AB3135" s="111">
        <f>IF(AQ3135="1",BH3135,0)</f>
      </c>
      <c r="AC3135" s="111">
        <f>IF(AQ3135="1",BI3135,0)</f>
      </c>
      <c r="AD3135" s="111">
        <f>IF(AQ3135="7",BH3135,0)</f>
      </c>
      <c r="AE3135" s="111">
        <f>IF(AQ3135="7",BI3135,0)</f>
      </c>
      <c r="AF3135" s="111">
        <f>IF(AQ3135="2",BH3135,0)</f>
      </c>
      <c r="AG3135" s="111">
        <f>IF(AQ3135="2",BI3135,0)</f>
      </c>
      <c r="AH3135" s="111">
        <f>IF(AQ3135="0",BJ3135,0)</f>
      </c>
      <c r="AI3135" s="132" t="s">
        <v>93</v>
      </c>
      <c r="AJ3135" s="111">
        <f>IF(AN3135=0,I3135,0)</f>
      </c>
      <c r="AK3135" s="111">
        <f>IF(AN3135=12,I3135,0)</f>
      </c>
      <c r="AL3135" s="111">
        <f>IF(AN3135=21,I3135,0)</f>
      </c>
      <c r="AN3135" s="111" t="n">
        <v>21</v>
      </c>
      <c r="AO3135" s="111">
        <f>H3135*0.287867266</f>
      </c>
      <c r="AP3135" s="111">
        <f>H3135*(1-0.287867266)</f>
      </c>
      <c r="AQ3135" s="153" t="s">
        <v>140</v>
      </c>
      <c r="AV3135" s="111">
        <f>AW3135+AX3135</f>
      </c>
      <c r="AW3135" s="111">
        <f>G3135*AO3135</f>
      </c>
      <c r="AX3135" s="111">
        <f>G3135*AP3135</f>
      </c>
      <c r="AY3135" s="153" t="s">
        <v>4923</v>
      </c>
      <c r="AZ3135" s="153" t="s">
        <v>4606</v>
      </c>
      <c r="BA3135" s="132" t="s">
        <v>4594</v>
      </c>
      <c r="BC3135" s="111">
        <f>AW3135+AX3135</f>
      </c>
      <c r="BD3135" s="111">
        <f>H3135/(100-BE3135)*100</f>
      </c>
      <c r="BE3135" s="111" t="n">
        <v>0</v>
      </c>
      <c r="BF3135" s="111">
        <f>3135</f>
      </c>
      <c r="BH3135" s="111">
        <f>G3135*AO3135</f>
      </c>
      <c r="BI3135" s="111">
        <f>G3135*AP3135</f>
      </c>
      <c r="BJ3135" s="111">
        <f>G3135*H3135</f>
      </c>
      <c r="BK3135" s="111"/>
      <c r="BL3135" s="111"/>
      <c r="BW3135" s="111" t="n">
        <v>21</v>
      </c>
      <c r="BX3135" s="14" t="s">
        <v>4999</v>
      </c>
    </row>
    <row r="3136" customHeight="true" ht="13.5">
      <c r="A3136" s="159"/>
      <c r="C3136" s="160" t="s">
        <v>146</v>
      </c>
      <c r="D3136" s="161" t="s">
        <v>5003</v>
      </c>
      <c r="E3136" s="156"/>
      <c r="F3136" s="156"/>
      <c r="G3136" s="156"/>
      <c r="H3136" s="162"/>
      <c r="I3136" s="156"/>
      <c r="J3136" s="156"/>
      <c r="K3136" s="163"/>
    </row>
    <row r="3137">
      <c r="A3137" s="9" t="s">
        <v>5004</v>
      </c>
      <c r="B3137" s="10" t="s">
        <v>93</v>
      </c>
      <c r="C3137" s="10" t="s">
        <v>5005</v>
      </c>
      <c r="D3137" s="14" t="s">
        <v>4999</v>
      </c>
      <c r="E3137" s="10"/>
      <c r="F3137" s="10" t="s">
        <v>133</v>
      </c>
      <c r="G3137" s="111" t="n">
        <v>12</v>
      </c>
      <c r="H3137" s="152" t="n">
        <v>0</v>
      </c>
      <c r="I3137" s="111">
        <f>G3137*H3137</f>
      </c>
      <c r="J3137" s="153" t="s">
        <v>134</v>
      </c>
      <c r="K3137" s="146"/>
      <c r="Z3137" s="111">
        <f>IF(AQ3137="5",BJ3137,0)</f>
      </c>
      <c r="AB3137" s="111">
        <f>IF(AQ3137="1",BH3137,0)</f>
      </c>
      <c r="AC3137" s="111">
        <f>IF(AQ3137="1",BI3137,0)</f>
      </c>
      <c r="AD3137" s="111">
        <f>IF(AQ3137="7",BH3137,0)</f>
      </c>
      <c r="AE3137" s="111">
        <f>IF(AQ3137="7",BI3137,0)</f>
      </c>
      <c r="AF3137" s="111">
        <f>IF(AQ3137="2",BH3137,0)</f>
      </c>
      <c r="AG3137" s="111">
        <f>IF(AQ3137="2",BI3137,0)</f>
      </c>
      <c r="AH3137" s="111">
        <f>IF(AQ3137="0",BJ3137,0)</f>
      </c>
      <c r="AI3137" s="132" t="s">
        <v>93</v>
      </c>
      <c r="AJ3137" s="111">
        <f>IF(AN3137=0,I3137,0)</f>
      </c>
      <c r="AK3137" s="111">
        <f>IF(AN3137=12,I3137,0)</f>
      </c>
      <c r="AL3137" s="111">
        <f>IF(AN3137=21,I3137,0)</f>
      </c>
      <c r="AN3137" s="111" t="n">
        <v>21</v>
      </c>
      <c r="AO3137" s="111">
        <f>H3137*0.26868483</f>
      </c>
      <c r="AP3137" s="111">
        <f>H3137*(1-0.26868483)</f>
      </c>
      <c r="AQ3137" s="153" t="s">
        <v>140</v>
      </c>
      <c r="AV3137" s="111">
        <f>AW3137+AX3137</f>
      </c>
      <c r="AW3137" s="111">
        <f>G3137*AO3137</f>
      </c>
      <c r="AX3137" s="111">
        <f>G3137*AP3137</f>
      </c>
      <c r="AY3137" s="153" t="s">
        <v>4923</v>
      </c>
      <c r="AZ3137" s="153" t="s">
        <v>4606</v>
      </c>
      <c r="BA3137" s="132" t="s">
        <v>4594</v>
      </c>
      <c r="BC3137" s="111">
        <f>AW3137+AX3137</f>
      </c>
      <c r="BD3137" s="111">
        <f>H3137/(100-BE3137)*100</f>
      </c>
      <c r="BE3137" s="111" t="n">
        <v>0</v>
      </c>
      <c r="BF3137" s="111">
        <f>3137</f>
      </c>
      <c r="BH3137" s="111">
        <f>G3137*AO3137</f>
      </c>
      <c r="BI3137" s="111">
        <f>G3137*AP3137</f>
      </c>
      <c r="BJ3137" s="111">
        <f>G3137*H3137</f>
      </c>
      <c r="BK3137" s="111"/>
      <c r="BL3137" s="111"/>
      <c r="BW3137" s="111" t="n">
        <v>21</v>
      </c>
      <c r="BX3137" s="14" t="s">
        <v>4999</v>
      </c>
    </row>
    <row r="3138" customHeight="true" ht="13.5">
      <c r="A3138" s="159"/>
      <c r="C3138" s="160" t="s">
        <v>146</v>
      </c>
      <c r="D3138" s="161" t="s">
        <v>5006</v>
      </c>
      <c r="E3138" s="156"/>
      <c r="F3138" s="156"/>
      <c r="G3138" s="156"/>
      <c r="H3138" s="162"/>
      <c r="I3138" s="156"/>
      <c r="J3138" s="156"/>
      <c r="K3138" s="163"/>
    </row>
    <row r="3139">
      <c r="A3139" s="9" t="s">
        <v>5007</v>
      </c>
      <c r="B3139" s="10" t="s">
        <v>93</v>
      </c>
      <c r="C3139" s="10" t="s">
        <v>5008</v>
      </c>
      <c r="D3139" s="14" t="s">
        <v>5009</v>
      </c>
      <c r="E3139" s="10"/>
      <c r="F3139" s="10" t="s">
        <v>282</v>
      </c>
      <c r="G3139" s="111" t="n">
        <v>170</v>
      </c>
      <c r="H3139" s="152" t="n">
        <v>0</v>
      </c>
      <c r="I3139" s="111">
        <f>G3139*H3139</f>
      </c>
      <c r="J3139" s="153" t="s">
        <v>134</v>
      </c>
      <c r="K3139" s="146"/>
      <c r="Z3139" s="111">
        <f>IF(AQ3139="5",BJ3139,0)</f>
      </c>
      <c r="AB3139" s="111">
        <f>IF(AQ3139="1",BH3139,0)</f>
      </c>
      <c r="AC3139" s="111">
        <f>IF(AQ3139="1",BI3139,0)</f>
      </c>
      <c r="AD3139" s="111">
        <f>IF(AQ3139="7",BH3139,0)</f>
      </c>
      <c r="AE3139" s="111">
        <f>IF(AQ3139="7",BI3139,0)</f>
      </c>
      <c r="AF3139" s="111">
        <f>IF(AQ3139="2",BH3139,0)</f>
      </c>
      <c r="AG3139" s="111">
        <f>IF(AQ3139="2",BI3139,0)</f>
      </c>
      <c r="AH3139" s="111">
        <f>IF(AQ3139="0",BJ3139,0)</f>
      </c>
      <c r="AI3139" s="132" t="s">
        <v>93</v>
      </c>
      <c r="AJ3139" s="111">
        <f>IF(AN3139=0,I3139,0)</f>
      </c>
      <c r="AK3139" s="111">
        <f>IF(AN3139=12,I3139,0)</f>
      </c>
      <c r="AL3139" s="111">
        <f>IF(AN3139=21,I3139,0)</f>
      </c>
      <c r="AN3139" s="111" t="n">
        <v>21</v>
      </c>
      <c r="AO3139" s="111">
        <f>H3139*0</f>
      </c>
      <c r="AP3139" s="111">
        <f>H3139*(1-0)</f>
      </c>
      <c r="AQ3139" s="153" t="s">
        <v>140</v>
      </c>
      <c r="AV3139" s="111">
        <f>AW3139+AX3139</f>
      </c>
      <c r="AW3139" s="111">
        <f>G3139*AO3139</f>
      </c>
      <c r="AX3139" s="111">
        <f>G3139*AP3139</f>
      </c>
      <c r="AY3139" s="153" t="s">
        <v>4923</v>
      </c>
      <c r="AZ3139" s="153" t="s">
        <v>4606</v>
      </c>
      <c r="BA3139" s="132" t="s">
        <v>4594</v>
      </c>
      <c r="BC3139" s="111">
        <f>AW3139+AX3139</f>
      </c>
      <c r="BD3139" s="111">
        <f>H3139/(100-BE3139)*100</f>
      </c>
      <c r="BE3139" s="111" t="n">
        <v>0</v>
      </c>
      <c r="BF3139" s="111">
        <f>3139</f>
      </c>
      <c r="BH3139" s="111">
        <f>G3139*AO3139</f>
      </c>
      <c r="BI3139" s="111">
        <f>G3139*AP3139</f>
      </c>
      <c r="BJ3139" s="111">
        <f>G3139*H3139</f>
      </c>
      <c r="BK3139" s="111"/>
      <c r="BL3139" s="111"/>
      <c r="BW3139" s="111" t="n">
        <v>21</v>
      </c>
      <c r="BX3139" s="14" t="s">
        <v>5009</v>
      </c>
    </row>
    <row r="3140" customHeight="true" ht="13.5">
      <c r="A3140" s="159"/>
      <c r="C3140" s="160" t="s">
        <v>146</v>
      </c>
      <c r="D3140" s="161" t="s">
        <v>5010</v>
      </c>
      <c r="E3140" s="156"/>
      <c r="F3140" s="156"/>
      <c r="G3140" s="156"/>
      <c r="H3140" s="162"/>
      <c r="I3140" s="156"/>
      <c r="J3140" s="156"/>
      <c r="K3140" s="163"/>
    </row>
    <row r="3141">
      <c r="A3141" s="9" t="s">
        <v>5011</v>
      </c>
      <c r="B3141" s="10" t="s">
        <v>93</v>
      </c>
      <c r="C3141" s="10" t="s">
        <v>5012</v>
      </c>
      <c r="D3141" s="14" t="s">
        <v>5013</v>
      </c>
      <c r="E3141" s="10"/>
      <c r="F3141" s="10" t="s">
        <v>282</v>
      </c>
      <c r="G3141" s="111" t="n">
        <v>125</v>
      </c>
      <c r="H3141" s="152" t="n">
        <v>0</v>
      </c>
      <c r="I3141" s="111">
        <f>G3141*H3141</f>
      </c>
      <c r="J3141" s="153" t="s">
        <v>134</v>
      </c>
      <c r="K3141" s="146"/>
      <c r="Z3141" s="111">
        <f>IF(AQ3141="5",BJ3141,0)</f>
      </c>
      <c r="AB3141" s="111">
        <f>IF(AQ3141="1",BH3141,0)</f>
      </c>
      <c r="AC3141" s="111">
        <f>IF(AQ3141="1",BI3141,0)</f>
      </c>
      <c r="AD3141" s="111">
        <f>IF(AQ3141="7",BH3141,0)</f>
      </c>
      <c r="AE3141" s="111">
        <f>IF(AQ3141="7",BI3141,0)</f>
      </c>
      <c r="AF3141" s="111">
        <f>IF(AQ3141="2",BH3141,0)</f>
      </c>
      <c r="AG3141" s="111">
        <f>IF(AQ3141="2",BI3141,0)</f>
      </c>
      <c r="AH3141" s="111">
        <f>IF(AQ3141="0",BJ3141,0)</f>
      </c>
      <c r="AI3141" s="132" t="s">
        <v>93</v>
      </c>
      <c r="AJ3141" s="111">
        <f>IF(AN3141=0,I3141,0)</f>
      </c>
      <c r="AK3141" s="111">
        <f>IF(AN3141=12,I3141,0)</f>
      </c>
      <c r="AL3141" s="111">
        <f>IF(AN3141=21,I3141,0)</f>
      </c>
      <c r="AN3141" s="111" t="n">
        <v>21</v>
      </c>
      <c r="AO3141" s="111">
        <f>H3141*0</f>
      </c>
      <c r="AP3141" s="111">
        <f>H3141*(1-0)</f>
      </c>
      <c r="AQ3141" s="153" t="s">
        <v>140</v>
      </c>
      <c r="AV3141" s="111">
        <f>AW3141+AX3141</f>
      </c>
      <c r="AW3141" s="111">
        <f>G3141*AO3141</f>
      </c>
      <c r="AX3141" s="111">
        <f>G3141*AP3141</f>
      </c>
      <c r="AY3141" s="153" t="s">
        <v>4923</v>
      </c>
      <c r="AZ3141" s="153" t="s">
        <v>4606</v>
      </c>
      <c r="BA3141" s="132" t="s">
        <v>4594</v>
      </c>
      <c r="BC3141" s="111">
        <f>AW3141+AX3141</f>
      </c>
      <c r="BD3141" s="111">
        <f>H3141/(100-BE3141)*100</f>
      </c>
      <c r="BE3141" s="111" t="n">
        <v>0</v>
      </c>
      <c r="BF3141" s="111">
        <f>3141</f>
      </c>
      <c r="BH3141" s="111">
        <f>G3141*AO3141</f>
      </c>
      <c r="BI3141" s="111">
        <f>G3141*AP3141</f>
      </c>
      <c r="BJ3141" s="111">
        <f>G3141*H3141</f>
      </c>
      <c r="BK3141" s="111"/>
      <c r="BL3141" s="111"/>
      <c r="BW3141" s="111" t="n">
        <v>21</v>
      </c>
      <c r="BX3141" s="14" t="s">
        <v>5013</v>
      </c>
    </row>
    <row r="3142" customHeight="true" ht="13.5">
      <c r="A3142" s="159"/>
      <c r="C3142" s="160" t="s">
        <v>146</v>
      </c>
      <c r="D3142" s="161" t="s">
        <v>5014</v>
      </c>
      <c r="E3142" s="156"/>
      <c r="F3142" s="156"/>
      <c r="G3142" s="156"/>
      <c r="H3142" s="162"/>
      <c r="I3142" s="156"/>
      <c r="J3142" s="156"/>
      <c r="K3142" s="163"/>
    </row>
    <row r="3143">
      <c r="A3143" s="9" t="s">
        <v>5015</v>
      </c>
      <c r="B3143" s="10" t="s">
        <v>93</v>
      </c>
      <c r="C3143" s="10" t="s">
        <v>5016</v>
      </c>
      <c r="D3143" s="14" t="s">
        <v>5017</v>
      </c>
      <c r="E3143" s="10"/>
      <c r="F3143" s="10" t="s">
        <v>282</v>
      </c>
      <c r="G3143" s="111" t="n">
        <v>290</v>
      </c>
      <c r="H3143" s="152" t="n">
        <v>0</v>
      </c>
      <c r="I3143" s="111">
        <f>G3143*H3143</f>
      </c>
      <c r="J3143" s="153" t="s">
        <v>134</v>
      </c>
      <c r="K3143" s="146"/>
      <c r="Z3143" s="111">
        <f>IF(AQ3143="5",BJ3143,0)</f>
      </c>
      <c r="AB3143" s="111">
        <f>IF(AQ3143="1",BH3143,0)</f>
      </c>
      <c r="AC3143" s="111">
        <f>IF(AQ3143="1",BI3143,0)</f>
      </c>
      <c r="AD3143" s="111">
        <f>IF(AQ3143="7",BH3143,0)</f>
      </c>
      <c r="AE3143" s="111">
        <f>IF(AQ3143="7",BI3143,0)</f>
      </c>
      <c r="AF3143" s="111">
        <f>IF(AQ3143="2",BH3143,0)</f>
      </c>
      <c r="AG3143" s="111">
        <f>IF(AQ3143="2",BI3143,0)</f>
      </c>
      <c r="AH3143" s="111">
        <f>IF(AQ3143="0",BJ3143,0)</f>
      </c>
      <c r="AI3143" s="132" t="s">
        <v>93</v>
      </c>
      <c r="AJ3143" s="111">
        <f>IF(AN3143=0,I3143,0)</f>
      </c>
      <c r="AK3143" s="111">
        <f>IF(AN3143=12,I3143,0)</f>
      </c>
      <c r="AL3143" s="111">
        <f>IF(AN3143=21,I3143,0)</f>
      </c>
      <c r="AN3143" s="111" t="n">
        <v>21</v>
      </c>
      <c r="AO3143" s="111">
        <f>H3143*0.071283582</f>
      </c>
      <c r="AP3143" s="111">
        <f>H3143*(1-0.071283582)</f>
      </c>
      <c r="AQ3143" s="153" t="s">
        <v>140</v>
      </c>
      <c r="AV3143" s="111">
        <f>AW3143+AX3143</f>
      </c>
      <c r="AW3143" s="111">
        <f>G3143*AO3143</f>
      </c>
      <c r="AX3143" s="111">
        <f>G3143*AP3143</f>
      </c>
      <c r="AY3143" s="153" t="s">
        <v>4923</v>
      </c>
      <c r="AZ3143" s="153" t="s">
        <v>4606</v>
      </c>
      <c r="BA3143" s="132" t="s">
        <v>4594</v>
      </c>
      <c r="BC3143" s="111">
        <f>AW3143+AX3143</f>
      </c>
      <c r="BD3143" s="111">
        <f>H3143/(100-BE3143)*100</f>
      </c>
      <c r="BE3143" s="111" t="n">
        <v>0</v>
      </c>
      <c r="BF3143" s="111">
        <f>3143</f>
      </c>
      <c r="BH3143" s="111">
        <f>G3143*AO3143</f>
      </c>
      <c r="BI3143" s="111">
        <f>G3143*AP3143</f>
      </c>
      <c r="BJ3143" s="111">
        <f>G3143*H3143</f>
      </c>
      <c r="BK3143" s="111"/>
      <c r="BL3143" s="111"/>
      <c r="BW3143" s="111" t="n">
        <v>21</v>
      </c>
      <c r="BX3143" s="14" t="s">
        <v>5017</v>
      </c>
    </row>
    <row r="3144" customHeight="true" ht="13.5">
      <c r="A3144" s="159"/>
      <c r="C3144" s="160" t="s">
        <v>146</v>
      </c>
      <c r="D3144" s="161" t="s">
        <v>5018</v>
      </c>
      <c r="E3144" s="156"/>
      <c r="F3144" s="156"/>
      <c r="G3144" s="156"/>
      <c r="H3144" s="162"/>
      <c r="I3144" s="156"/>
      <c r="J3144" s="156"/>
      <c r="K3144" s="163"/>
    </row>
    <row r="3145">
      <c r="A3145" s="9" t="s">
        <v>5019</v>
      </c>
      <c r="B3145" s="10" t="s">
        <v>93</v>
      </c>
      <c r="C3145" s="10" t="s">
        <v>5020</v>
      </c>
      <c r="D3145" s="14" t="s">
        <v>5021</v>
      </c>
      <c r="E3145" s="10"/>
      <c r="F3145" s="10" t="s">
        <v>133</v>
      </c>
      <c r="G3145" s="111" t="n">
        <v>4</v>
      </c>
      <c r="H3145" s="152" t="n">
        <v>0</v>
      </c>
      <c r="I3145" s="111">
        <f>G3145*H3145</f>
      </c>
      <c r="J3145" s="153" t="s">
        <v>134</v>
      </c>
      <c r="K3145" s="146"/>
      <c r="Z3145" s="111">
        <f>IF(AQ3145="5",BJ3145,0)</f>
      </c>
      <c r="AB3145" s="111">
        <f>IF(AQ3145="1",BH3145,0)</f>
      </c>
      <c r="AC3145" s="111">
        <f>IF(AQ3145="1",BI3145,0)</f>
      </c>
      <c r="AD3145" s="111">
        <f>IF(AQ3145="7",BH3145,0)</f>
      </c>
      <c r="AE3145" s="111">
        <f>IF(AQ3145="7",BI3145,0)</f>
      </c>
      <c r="AF3145" s="111">
        <f>IF(AQ3145="2",BH3145,0)</f>
      </c>
      <c r="AG3145" s="111">
        <f>IF(AQ3145="2",BI3145,0)</f>
      </c>
      <c r="AH3145" s="111">
        <f>IF(AQ3145="0",BJ3145,0)</f>
      </c>
      <c r="AI3145" s="132" t="s">
        <v>93</v>
      </c>
      <c r="AJ3145" s="111">
        <f>IF(AN3145=0,I3145,0)</f>
      </c>
      <c r="AK3145" s="111">
        <f>IF(AN3145=12,I3145,0)</f>
      </c>
      <c r="AL3145" s="111">
        <f>IF(AN3145=21,I3145,0)</f>
      </c>
      <c r="AN3145" s="111" t="n">
        <v>21</v>
      </c>
      <c r="AO3145" s="111">
        <f>H3145*0</f>
      </c>
      <c r="AP3145" s="111">
        <f>H3145*(1-0)</f>
      </c>
      <c r="AQ3145" s="153" t="s">
        <v>140</v>
      </c>
      <c r="AV3145" s="111">
        <f>AW3145+AX3145</f>
      </c>
      <c r="AW3145" s="111">
        <f>G3145*AO3145</f>
      </c>
      <c r="AX3145" s="111">
        <f>G3145*AP3145</f>
      </c>
      <c r="AY3145" s="153" t="s">
        <v>4923</v>
      </c>
      <c r="AZ3145" s="153" t="s">
        <v>4606</v>
      </c>
      <c r="BA3145" s="132" t="s">
        <v>4594</v>
      </c>
      <c r="BC3145" s="111">
        <f>AW3145+AX3145</f>
      </c>
      <c r="BD3145" s="111">
        <f>H3145/(100-BE3145)*100</f>
      </c>
      <c r="BE3145" s="111" t="n">
        <v>0</v>
      </c>
      <c r="BF3145" s="111">
        <f>3145</f>
      </c>
      <c r="BH3145" s="111">
        <f>G3145*AO3145</f>
      </c>
      <c r="BI3145" s="111">
        <f>G3145*AP3145</f>
      </c>
      <c r="BJ3145" s="111">
        <f>G3145*H3145</f>
      </c>
      <c r="BK3145" s="111"/>
      <c r="BL3145" s="111"/>
      <c r="BW3145" s="111" t="n">
        <v>21</v>
      </c>
      <c r="BX3145" s="14" t="s">
        <v>5021</v>
      </c>
    </row>
    <row r="3146" customHeight="true" ht="13.5">
      <c r="A3146" s="159"/>
      <c r="C3146" s="160" t="s">
        <v>146</v>
      </c>
      <c r="D3146" s="161" t="s">
        <v>5022</v>
      </c>
      <c r="E3146" s="156"/>
      <c r="F3146" s="156"/>
      <c r="G3146" s="156"/>
      <c r="H3146" s="162"/>
      <c r="I3146" s="156"/>
      <c r="J3146" s="156"/>
      <c r="K3146" s="163"/>
    </row>
    <row r="3147">
      <c r="A3147" s="154"/>
      <c r="B3147" s="155"/>
      <c r="C3147" s="155"/>
      <c r="D3147" s="156" t="s">
        <v>149</v>
      </c>
      <c r="E3147" s="156" t="s">
        <v>5023</v>
      </c>
      <c r="F3147" s="155"/>
      <c r="G3147" s="157" t="n">
        <v>4</v>
      </c>
      <c r="H3147" s="158"/>
      <c r="I3147" s="155"/>
      <c r="J3147" s="155"/>
      <c r="K3147" s="146"/>
    </row>
    <row r="3148">
      <c r="A3148" s="9" t="s">
        <v>5024</v>
      </c>
      <c r="B3148" s="10" t="s">
        <v>93</v>
      </c>
      <c r="C3148" s="10" t="s">
        <v>5025</v>
      </c>
      <c r="D3148" s="14" t="s">
        <v>5026</v>
      </c>
      <c r="E3148" s="10"/>
      <c r="F3148" s="10" t="s">
        <v>133</v>
      </c>
      <c r="G3148" s="111" t="n">
        <v>4</v>
      </c>
      <c r="H3148" s="152" t="n">
        <v>0</v>
      </c>
      <c r="I3148" s="111">
        <f>G3148*H3148</f>
      </c>
      <c r="J3148" s="153" t="s">
        <v>134</v>
      </c>
      <c r="K3148" s="146"/>
      <c r="Z3148" s="111">
        <f>IF(AQ3148="5",BJ3148,0)</f>
      </c>
      <c r="AB3148" s="111">
        <f>IF(AQ3148="1",BH3148,0)</f>
      </c>
      <c r="AC3148" s="111">
        <f>IF(AQ3148="1",BI3148,0)</f>
      </c>
      <c r="AD3148" s="111">
        <f>IF(AQ3148="7",BH3148,0)</f>
      </c>
      <c r="AE3148" s="111">
        <f>IF(AQ3148="7",BI3148,0)</f>
      </c>
      <c r="AF3148" s="111">
        <f>IF(AQ3148="2",BH3148,0)</f>
      </c>
      <c r="AG3148" s="111">
        <f>IF(AQ3148="2",BI3148,0)</f>
      </c>
      <c r="AH3148" s="111">
        <f>IF(AQ3148="0",BJ3148,0)</f>
      </c>
      <c r="AI3148" s="132" t="s">
        <v>93</v>
      </c>
      <c r="AJ3148" s="111">
        <f>IF(AN3148=0,I3148,0)</f>
      </c>
      <c r="AK3148" s="111">
        <f>IF(AN3148=12,I3148,0)</f>
      </c>
      <c r="AL3148" s="111">
        <f>IF(AN3148=21,I3148,0)</f>
      </c>
      <c r="AN3148" s="111" t="n">
        <v>21</v>
      </c>
      <c r="AO3148" s="111">
        <f>H3148*0</f>
      </c>
      <c r="AP3148" s="111">
        <f>H3148*(1-0)</f>
      </c>
      <c r="AQ3148" s="153" t="s">
        <v>140</v>
      </c>
      <c r="AV3148" s="111">
        <f>AW3148+AX3148</f>
      </c>
      <c r="AW3148" s="111">
        <f>G3148*AO3148</f>
      </c>
      <c r="AX3148" s="111">
        <f>G3148*AP3148</f>
      </c>
      <c r="AY3148" s="153" t="s">
        <v>4923</v>
      </c>
      <c r="AZ3148" s="153" t="s">
        <v>4606</v>
      </c>
      <c r="BA3148" s="132" t="s">
        <v>4594</v>
      </c>
      <c r="BC3148" s="111">
        <f>AW3148+AX3148</f>
      </c>
      <c r="BD3148" s="111">
        <f>H3148/(100-BE3148)*100</f>
      </c>
      <c r="BE3148" s="111" t="n">
        <v>0</v>
      </c>
      <c r="BF3148" s="111">
        <f>3148</f>
      </c>
      <c r="BH3148" s="111">
        <f>G3148*AO3148</f>
      </c>
      <c r="BI3148" s="111">
        <f>G3148*AP3148</f>
      </c>
      <c r="BJ3148" s="111">
        <f>G3148*H3148</f>
      </c>
      <c r="BK3148" s="111"/>
      <c r="BL3148" s="111"/>
      <c r="BW3148" s="111" t="n">
        <v>21</v>
      </c>
      <c r="BX3148" s="14" t="s">
        <v>5026</v>
      </c>
    </row>
    <row r="3149" customHeight="true" ht="13.5">
      <c r="A3149" s="159"/>
      <c r="C3149" s="160" t="s">
        <v>146</v>
      </c>
      <c r="D3149" s="161" t="s">
        <v>5027</v>
      </c>
      <c r="E3149" s="156"/>
      <c r="F3149" s="156"/>
      <c r="G3149" s="156"/>
      <c r="H3149" s="162"/>
      <c r="I3149" s="156"/>
      <c r="J3149" s="156"/>
      <c r="K3149" s="163"/>
    </row>
    <row r="3150">
      <c r="A3150" s="9" t="s">
        <v>5028</v>
      </c>
      <c r="B3150" s="10" t="s">
        <v>93</v>
      </c>
      <c r="C3150" s="10" t="s">
        <v>5029</v>
      </c>
      <c r="D3150" s="14" t="s">
        <v>5030</v>
      </c>
      <c r="E3150" s="10"/>
      <c r="F3150" s="10" t="s">
        <v>282</v>
      </c>
      <c r="G3150" s="111" t="n">
        <v>60</v>
      </c>
      <c r="H3150" s="152" t="n">
        <v>0</v>
      </c>
      <c r="I3150" s="111">
        <f>G3150*H3150</f>
      </c>
      <c r="J3150" s="153" t="s">
        <v>134</v>
      </c>
      <c r="K3150" s="146"/>
      <c r="Z3150" s="111">
        <f>IF(AQ3150="5",BJ3150,0)</f>
      </c>
      <c r="AB3150" s="111">
        <f>IF(AQ3150="1",BH3150,0)</f>
      </c>
      <c r="AC3150" s="111">
        <f>IF(AQ3150="1",BI3150,0)</f>
      </c>
      <c r="AD3150" s="111">
        <f>IF(AQ3150="7",BH3150,0)</f>
      </c>
      <c r="AE3150" s="111">
        <f>IF(AQ3150="7",BI3150,0)</f>
      </c>
      <c r="AF3150" s="111">
        <f>IF(AQ3150="2",BH3150,0)</f>
      </c>
      <c r="AG3150" s="111">
        <f>IF(AQ3150="2",BI3150,0)</f>
      </c>
      <c r="AH3150" s="111">
        <f>IF(AQ3150="0",BJ3150,0)</f>
      </c>
      <c r="AI3150" s="132" t="s">
        <v>93</v>
      </c>
      <c r="AJ3150" s="111">
        <f>IF(AN3150=0,I3150,0)</f>
      </c>
      <c r="AK3150" s="111">
        <f>IF(AN3150=12,I3150,0)</f>
      </c>
      <c r="AL3150" s="111">
        <f>IF(AN3150=21,I3150,0)</f>
      </c>
      <c r="AN3150" s="111" t="n">
        <v>21</v>
      </c>
      <c r="AO3150" s="111">
        <f>H3150*0.370713441</f>
      </c>
      <c r="AP3150" s="111">
        <f>H3150*(1-0.370713441)</f>
      </c>
      <c r="AQ3150" s="153" t="s">
        <v>140</v>
      </c>
      <c r="AV3150" s="111">
        <f>AW3150+AX3150</f>
      </c>
      <c r="AW3150" s="111">
        <f>G3150*AO3150</f>
      </c>
      <c r="AX3150" s="111">
        <f>G3150*AP3150</f>
      </c>
      <c r="AY3150" s="153" t="s">
        <v>4923</v>
      </c>
      <c r="AZ3150" s="153" t="s">
        <v>4606</v>
      </c>
      <c r="BA3150" s="132" t="s">
        <v>4594</v>
      </c>
      <c r="BC3150" s="111">
        <f>AW3150+AX3150</f>
      </c>
      <c r="BD3150" s="111">
        <f>H3150/(100-BE3150)*100</f>
      </c>
      <c r="BE3150" s="111" t="n">
        <v>0</v>
      </c>
      <c r="BF3150" s="111">
        <f>3150</f>
      </c>
      <c r="BH3150" s="111">
        <f>G3150*AO3150</f>
      </c>
      <c r="BI3150" s="111">
        <f>G3150*AP3150</f>
      </c>
      <c r="BJ3150" s="111">
        <f>G3150*H3150</f>
      </c>
      <c r="BK3150" s="111"/>
      <c r="BL3150" s="111"/>
      <c r="BW3150" s="111" t="n">
        <v>21</v>
      </c>
      <c r="BX3150" s="14" t="s">
        <v>5030</v>
      </c>
    </row>
    <row r="3151" customHeight="true" ht="13.5">
      <c r="A3151" s="159"/>
      <c r="C3151" s="160" t="s">
        <v>146</v>
      </c>
      <c r="D3151" s="161" t="s">
        <v>5031</v>
      </c>
      <c r="E3151" s="156"/>
      <c r="F3151" s="156"/>
      <c r="G3151" s="156"/>
      <c r="H3151" s="162"/>
      <c r="I3151" s="156"/>
      <c r="J3151" s="156"/>
      <c r="K3151" s="163"/>
    </row>
    <row r="3152">
      <c r="A3152" s="9" t="s">
        <v>5032</v>
      </c>
      <c r="B3152" s="10" t="s">
        <v>93</v>
      </c>
      <c r="C3152" s="10" t="s">
        <v>5033</v>
      </c>
      <c r="D3152" s="14" t="s">
        <v>5034</v>
      </c>
      <c r="E3152" s="10"/>
      <c r="F3152" s="10" t="s">
        <v>282</v>
      </c>
      <c r="G3152" s="111" t="n">
        <v>140</v>
      </c>
      <c r="H3152" s="152" t="n">
        <v>0</v>
      </c>
      <c r="I3152" s="111">
        <f>G3152*H3152</f>
      </c>
      <c r="J3152" s="153" t="s">
        <v>134</v>
      </c>
      <c r="K3152" s="146"/>
      <c r="Z3152" s="111">
        <f>IF(AQ3152="5",BJ3152,0)</f>
      </c>
      <c r="AB3152" s="111">
        <f>IF(AQ3152="1",BH3152,0)</f>
      </c>
      <c r="AC3152" s="111">
        <f>IF(AQ3152="1",BI3152,0)</f>
      </c>
      <c r="AD3152" s="111">
        <f>IF(AQ3152="7",BH3152,0)</f>
      </c>
      <c r="AE3152" s="111">
        <f>IF(AQ3152="7",BI3152,0)</f>
      </c>
      <c r="AF3152" s="111">
        <f>IF(AQ3152="2",BH3152,0)</f>
      </c>
      <c r="AG3152" s="111">
        <f>IF(AQ3152="2",BI3152,0)</f>
      </c>
      <c r="AH3152" s="111">
        <f>IF(AQ3152="0",BJ3152,0)</f>
      </c>
      <c r="AI3152" s="132" t="s">
        <v>93</v>
      </c>
      <c r="AJ3152" s="111">
        <f>IF(AN3152=0,I3152,0)</f>
      </c>
      <c r="AK3152" s="111">
        <f>IF(AN3152=12,I3152,0)</f>
      </c>
      <c r="AL3152" s="111">
        <f>IF(AN3152=21,I3152,0)</f>
      </c>
      <c r="AN3152" s="111" t="n">
        <v>21</v>
      </c>
      <c r="AO3152" s="111">
        <f>H3152*0.27097526</f>
      </c>
      <c r="AP3152" s="111">
        <f>H3152*(1-0.27097526)</f>
      </c>
      <c r="AQ3152" s="153" t="s">
        <v>140</v>
      </c>
      <c r="AV3152" s="111">
        <f>AW3152+AX3152</f>
      </c>
      <c r="AW3152" s="111">
        <f>G3152*AO3152</f>
      </c>
      <c r="AX3152" s="111">
        <f>G3152*AP3152</f>
      </c>
      <c r="AY3152" s="153" t="s">
        <v>4923</v>
      </c>
      <c r="AZ3152" s="153" t="s">
        <v>4606</v>
      </c>
      <c r="BA3152" s="132" t="s">
        <v>4594</v>
      </c>
      <c r="BC3152" s="111">
        <f>AW3152+AX3152</f>
      </c>
      <c r="BD3152" s="111">
        <f>H3152/(100-BE3152)*100</f>
      </c>
      <c r="BE3152" s="111" t="n">
        <v>0</v>
      </c>
      <c r="BF3152" s="111">
        <f>3152</f>
      </c>
      <c r="BH3152" s="111">
        <f>G3152*AO3152</f>
      </c>
      <c r="BI3152" s="111">
        <f>G3152*AP3152</f>
      </c>
      <c r="BJ3152" s="111">
        <f>G3152*H3152</f>
      </c>
      <c r="BK3152" s="111"/>
      <c r="BL3152" s="111"/>
      <c r="BW3152" s="111" t="n">
        <v>21</v>
      </c>
      <c r="BX3152" s="14" t="s">
        <v>5034</v>
      </c>
    </row>
    <row r="3153" customHeight="true" ht="13.5">
      <c r="A3153" s="159"/>
      <c r="C3153" s="160" t="s">
        <v>146</v>
      </c>
      <c r="D3153" s="161" t="s">
        <v>5035</v>
      </c>
      <c r="E3153" s="156"/>
      <c r="F3153" s="156"/>
      <c r="G3153" s="156"/>
      <c r="H3153" s="162"/>
      <c r="I3153" s="156"/>
      <c r="J3153" s="156"/>
      <c r="K3153" s="163"/>
    </row>
    <row r="3154">
      <c r="A3154" s="9" t="s">
        <v>5036</v>
      </c>
      <c r="B3154" s="10" t="s">
        <v>93</v>
      </c>
      <c r="C3154" s="10" t="s">
        <v>5037</v>
      </c>
      <c r="D3154" s="14" t="s">
        <v>5038</v>
      </c>
      <c r="E3154" s="10"/>
      <c r="F3154" s="10" t="s">
        <v>133</v>
      </c>
      <c r="G3154" s="111" t="n">
        <v>4</v>
      </c>
      <c r="H3154" s="152" t="n">
        <v>0</v>
      </c>
      <c r="I3154" s="111">
        <f>G3154*H3154</f>
      </c>
      <c r="J3154" s="153" t="s">
        <v>134</v>
      </c>
      <c r="K3154" s="146"/>
      <c r="Z3154" s="111">
        <f>IF(AQ3154="5",BJ3154,0)</f>
      </c>
      <c r="AB3154" s="111">
        <f>IF(AQ3154="1",BH3154,0)</f>
      </c>
      <c r="AC3154" s="111">
        <f>IF(AQ3154="1",BI3154,0)</f>
      </c>
      <c r="AD3154" s="111">
        <f>IF(AQ3154="7",BH3154,0)</f>
      </c>
      <c r="AE3154" s="111">
        <f>IF(AQ3154="7",BI3154,0)</f>
      </c>
      <c r="AF3154" s="111">
        <f>IF(AQ3154="2",BH3154,0)</f>
      </c>
      <c r="AG3154" s="111">
        <f>IF(AQ3154="2",BI3154,0)</f>
      </c>
      <c r="AH3154" s="111">
        <f>IF(AQ3154="0",BJ3154,0)</f>
      </c>
      <c r="AI3154" s="132" t="s">
        <v>93</v>
      </c>
      <c r="AJ3154" s="111">
        <f>IF(AN3154=0,I3154,0)</f>
      </c>
      <c r="AK3154" s="111">
        <f>IF(AN3154=12,I3154,0)</f>
      </c>
      <c r="AL3154" s="111">
        <f>IF(AN3154=21,I3154,0)</f>
      </c>
      <c r="AN3154" s="111" t="n">
        <v>21</v>
      </c>
      <c r="AO3154" s="111">
        <f>H3154*0</f>
      </c>
      <c r="AP3154" s="111">
        <f>H3154*(1-0)</f>
      </c>
      <c r="AQ3154" s="153" t="s">
        <v>140</v>
      </c>
      <c r="AV3154" s="111">
        <f>AW3154+AX3154</f>
      </c>
      <c r="AW3154" s="111">
        <f>G3154*AO3154</f>
      </c>
      <c r="AX3154" s="111">
        <f>G3154*AP3154</f>
      </c>
      <c r="AY3154" s="153" t="s">
        <v>4923</v>
      </c>
      <c r="AZ3154" s="153" t="s">
        <v>4606</v>
      </c>
      <c r="BA3154" s="132" t="s">
        <v>4594</v>
      </c>
      <c r="BC3154" s="111">
        <f>AW3154+AX3154</f>
      </c>
      <c r="BD3154" s="111">
        <f>H3154/(100-BE3154)*100</f>
      </c>
      <c r="BE3154" s="111" t="n">
        <v>0</v>
      </c>
      <c r="BF3154" s="111">
        <f>3154</f>
      </c>
      <c r="BH3154" s="111">
        <f>G3154*AO3154</f>
      </c>
      <c r="BI3154" s="111">
        <f>G3154*AP3154</f>
      </c>
      <c r="BJ3154" s="111">
        <f>G3154*H3154</f>
      </c>
      <c r="BK3154" s="111"/>
      <c r="BL3154" s="111"/>
      <c r="BW3154" s="111" t="n">
        <v>21</v>
      </c>
      <c r="BX3154" s="14" t="s">
        <v>5038</v>
      </c>
    </row>
    <row r="3155" customHeight="true" ht="13.5">
      <c r="A3155" s="159"/>
      <c r="C3155" s="160" t="s">
        <v>146</v>
      </c>
      <c r="D3155" s="161" t="s">
        <v>5039</v>
      </c>
      <c r="E3155" s="156"/>
      <c r="F3155" s="156"/>
      <c r="G3155" s="156"/>
      <c r="H3155" s="162"/>
      <c r="I3155" s="156"/>
      <c r="J3155" s="156"/>
      <c r="K3155" s="163"/>
    </row>
    <row r="3156">
      <c r="A3156" s="154"/>
      <c r="B3156" s="155"/>
      <c r="C3156" s="155"/>
      <c r="D3156" s="156" t="s">
        <v>149</v>
      </c>
      <c r="E3156" s="156" t="s">
        <v>4726</v>
      </c>
      <c r="F3156" s="155"/>
      <c r="G3156" s="157" t="n">
        <v>4</v>
      </c>
      <c r="H3156" s="158"/>
      <c r="I3156" s="155"/>
      <c r="J3156" s="155"/>
      <c r="K3156" s="146"/>
    </row>
    <row r="3157">
      <c r="A3157" s="9" t="s">
        <v>5040</v>
      </c>
      <c r="B3157" s="10" t="s">
        <v>93</v>
      </c>
      <c r="C3157" s="10" t="s">
        <v>5041</v>
      </c>
      <c r="D3157" s="14" t="s">
        <v>5042</v>
      </c>
      <c r="E3157" s="10"/>
      <c r="F3157" s="10" t="s">
        <v>133</v>
      </c>
      <c r="G3157" s="111" t="n">
        <v>10</v>
      </c>
      <c r="H3157" s="152" t="n">
        <v>0</v>
      </c>
      <c r="I3157" s="111">
        <f>G3157*H3157</f>
      </c>
      <c r="J3157" s="153" t="s">
        <v>134</v>
      </c>
      <c r="K3157" s="146"/>
      <c r="Z3157" s="111">
        <f>IF(AQ3157="5",BJ3157,0)</f>
      </c>
      <c r="AB3157" s="111">
        <f>IF(AQ3157="1",BH3157,0)</f>
      </c>
      <c r="AC3157" s="111">
        <f>IF(AQ3157="1",BI3157,0)</f>
      </c>
      <c r="AD3157" s="111">
        <f>IF(AQ3157="7",BH3157,0)</f>
      </c>
      <c r="AE3157" s="111">
        <f>IF(AQ3157="7",BI3157,0)</f>
      </c>
      <c r="AF3157" s="111">
        <f>IF(AQ3157="2",BH3157,0)</f>
      </c>
      <c r="AG3157" s="111">
        <f>IF(AQ3157="2",BI3157,0)</f>
      </c>
      <c r="AH3157" s="111">
        <f>IF(AQ3157="0",BJ3157,0)</f>
      </c>
      <c r="AI3157" s="132" t="s">
        <v>93</v>
      </c>
      <c r="AJ3157" s="111">
        <f>IF(AN3157=0,I3157,0)</f>
      </c>
      <c r="AK3157" s="111">
        <f>IF(AN3157=12,I3157,0)</f>
      </c>
      <c r="AL3157" s="111">
        <f>IF(AN3157=21,I3157,0)</f>
      </c>
      <c r="AN3157" s="111" t="n">
        <v>21</v>
      </c>
      <c r="AO3157" s="111">
        <f>H3157*0</f>
      </c>
      <c r="AP3157" s="111">
        <f>H3157*(1-0)</f>
      </c>
      <c r="AQ3157" s="153" t="s">
        <v>140</v>
      </c>
      <c r="AV3157" s="111">
        <f>AW3157+AX3157</f>
      </c>
      <c r="AW3157" s="111">
        <f>G3157*AO3157</f>
      </c>
      <c r="AX3157" s="111">
        <f>G3157*AP3157</f>
      </c>
      <c r="AY3157" s="153" t="s">
        <v>4923</v>
      </c>
      <c r="AZ3157" s="153" t="s">
        <v>4606</v>
      </c>
      <c r="BA3157" s="132" t="s">
        <v>4594</v>
      </c>
      <c r="BC3157" s="111">
        <f>AW3157+AX3157</f>
      </c>
      <c r="BD3157" s="111">
        <f>H3157/(100-BE3157)*100</f>
      </c>
      <c r="BE3157" s="111" t="n">
        <v>0</v>
      </c>
      <c r="BF3157" s="111">
        <f>3157</f>
      </c>
      <c r="BH3157" s="111">
        <f>G3157*AO3157</f>
      </c>
      <c r="BI3157" s="111">
        <f>G3157*AP3157</f>
      </c>
      <c r="BJ3157" s="111">
        <f>G3157*H3157</f>
      </c>
      <c r="BK3157" s="111"/>
      <c r="BL3157" s="111"/>
      <c r="BW3157" s="111" t="n">
        <v>21</v>
      </c>
      <c r="BX3157" s="14" t="s">
        <v>5042</v>
      </c>
    </row>
    <row r="3158" customHeight="true" ht="13.5">
      <c r="A3158" s="159"/>
      <c r="C3158" s="160" t="s">
        <v>146</v>
      </c>
      <c r="D3158" s="161" t="s">
        <v>5043</v>
      </c>
      <c r="E3158" s="156"/>
      <c r="F3158" s="156"/>
      <c r="G3158" s="156"/>
      <c r="H3158" s="162"/>
      <c r="I3158" s="156"/>
      <c r="J3158" s="156"/>
      <c r="K3158" s="163"/>
    </row>
    <row r="3159">
      <c r="A3159" s="154"/>
      <c r="B3159" s="155"/>
      <c r="C3159" s="155"/>
      <c r="D3159" s="156" t="s">
        <v>186</v>
      </c>
      <c r="E3159" s="156" t="s">
        <v>4726</v>
      </c>
      <c r="F3159" s="155"/>
      <c r="G3159" s="157" t="n">
        <v>10</v>
      </c>
      <c r="H3159" s="158"/>
      <c r="I3159" s="155"/>
      <c r="J3159" s="155"/>
      <c r="K3159" s="146"/>
    </row>
    <row r="3160">
      <c r="A3160" s="9" t="s">
        <v>5044</v>
      </c>
      <c r="B3160" s="10" t="s">
        <v>93</v>
      </c>
      <c r="C3160" s="10" t="s">
        <v>5045</v>
      </c>
      <c r="D3160" s="14" t="s">
        <v>5046</v>
      </c>
      <c r="E3160" s="10"/>
      <c r="F3160" s="10" t="s">
        <v>133</v>
      </c>
      <c r="G3160" s="111" t="n">
        <v>4</v>
      </c>
      <c r="H3160" s="152" t="n">
        <v>0</v>
      </c>
      <c r="I3160" s="111">
        <f>G3160*H3160</f>
      </c>
      <c r="J3160" s="153" t="s">
        <v>134</v>
      </c>
      <c r="K3160" s="146"/>
      <c r="Z3160" s="111">
        <f>IF(AQ3160="5",BJ3160,0)</f>
      </c>
      <c r="AB3160" s="111">
        <f>IF(AQ3160="1",BH3160,0)</f>
      </c>
      <c r="AC3160" s="111">
        <f>IF(AQ3160="1",BI3160,0)</f>
      </c>
      <c r="AD3160" s="111">
        <f>IF(AQ3160="7",BH3160,0)</f>
      </c>
      <c r="AE3160" s="111">
        <f>IF(AQ3160="7",BI3160,0)</f>
      </c>
      <c r="AF3160" s="111">
        <f>IF(AQ3160="2",BH3160,0)</f>
      </c>
      <c r="AG3160" s="111">
        <f>IF(AQ3160="2",BI3160,0)</f>
      </c>
      <c r="AH3160" s="111">
        <f>IF(AQ3160="0",BJ3160,0)</f>
      </c>
      <c r="AI3160" s="132" t="s">
        <v>93</v>
      </c>
      <c r="AJ3160" s="111">
        <f>IF(AN3160=0,I3160,0)</f>
      </c>
      <c r="AK3160" s="111">
        <f>IF(AN3160=12,I3160,0)</f>
      </c>
      <c r="AL3160" s="111">
        <f>IF(AN3160=21,I3160,0)</f>
      </c>
      <c r="AN3160" s="111" t="n">
        <v>21</v>
      </c>
      <c r="AO3160" s="111">
        <f>H3160*0</f>
      </c>
      <c r="AP3160" s="111">
        <f>H3160*(1-0)</f>
      </c>
      <c r="AQ3160" s="153" t="s">
        <v>140</v>
      </c>
      <c r="AV3160" s="111">
        <f>AW3160+AX3160</f>
      </c>
      <c r="AW3160" s="111">
        <f>G3160*AO3160</f>
      </c>
      <c r="AX3160" s="111">
        <f>G3160*AP3160</f>
      </c>
      <c r="AY3160" s="153" t="s">
        <v>4923</v>
      </c>
      <c r="AZ3160" s="153" t="s">
        <v>4606</v>
      </c>
      <c r="BA3160" s="132" t="s">
        <v>4594</v>
      </c>
      <c r="BC3160" s="111">
        <f>AW3160+AX3160</f>
      </c>
      <c r="BD3160" s="111">
        <f>H3160/(100-BE3160)*100</f>
      </c>
      <c r="BE3160" s="111" t="n">
        <v>0</v>
      </c>
      <c r="BF3160" s="111">
        <f>3160</f>
      </c>
      <c r="BH3160" s="111">
        <f>G3160*AO3160</f>
      </c>
      <c r="BI3160" s="111">
        <f>G3160*AP3160</f>
      </c>
      <c r="BJ3160" s="111">
        <f>G3160*H3160</f>
      </c>
      <c r="BK3160" s="111"/>
      <c r="BL3160" s="111"/>
      <c r="BW3160" s="111" t="n">
        <v>21</v>
      </c>
      <c r="BX3160" s="14" t="s">
        <v>5046</v>
      </c>
    </row>
    <row r="3161" customHeight="true" ht="13.5">
      <c r="A3161" s="159"/>
      <c r="C3161" s="160" t="s">
        <v>146</v>
      </c>
      <c r="D3161" s="161" t="s">
        <v>5047</v>
      </c>
      <c r="E3161" s="156"/>
      <c r="F3161" s="156"/>
      <c r="G3161" s="156"/>
      <c r="H3161" s="162"/>
      <c r="I3161" s="156"/>
      <c r="J3161" s="156"/>
      <c r="K3161" s="163"/>
    </row>
    <row r="3162">
      <c r="A3162" s="154"/>
      <c r="B3162" s="155"/>
      <c r="C3162" s="155"/>
      <c r="D3162" s="156" t="s">
        <v>149</v>
      </c>
      <c r="E3162" s="156" t="s">
        <v>4726</v>
      </c>
      <c r="F3162" s="155"/>
      <c r="G3162" s="157" t="n">
        <v>4</v>
      </c>
      <c r="H3162" s="158"/>
      <c r="I3162" s="155"/>
      <c r="J3162" s="155"/>
      <c r="K3162" s="146"/>
    </row>
    <row r="3163">
      <c r="A3163" s="9" t="s">
        <v>5048</v>
      </c>
      <c r="B3163" s="10" t="s">
        <v>93</v>
      </c>
      <c r="C3163" s="10" t="s">
        <v>5049</v>
      </c>
      <c r="D3163" s="14" t="s">
        <v>5050</v>
      </c>
      <c r="E3163" s="10"/>
      <c r="F3163" s="10" t="s">
        <v>133</v>
      </c>
      <c r="G3163" s="111" t="n">
        <v>13</v>
      </c>
      <c r="H3163" s="152" t="n">
        <v>0</v>
      </c>
      <c r="I3163" s="111">
        <f>G3163*H3163</f>
      </c>
      <c r="J3163" s="153" t="s">
        <v>134</v>
      </c>
      <c r="K3163" s="146"/>
      <c r="Z3163" s="111">
        <f>IF(AQ3163="5",BJ3163,0)</f>
      </c>
      <c r="AB3163" s="111">
        <f>IF(AQ3163="1",BH3163,0)</f>
      </c>
      <c r="AC3163" s="111">
        <f>IF(AQ3163="1",BI3163,0)</f>
      </c>
      <c r="AD3163" s="111">
        <f>IF(AQ3163="7",BH3163,0)</f>
      </c>
      <c r="AE3163" s="111">
        <f>IF(AQ3163="7",BI3163,0)</f>
      </c>
      <c r="AF3163" s="111">
        <f>IF(AQ3163="2",BH3163,0)</f>
      </c>
      <c r="AG3163" s="111">
        <f>IF(AQ3163="2",BI3163,0)</f>
      </c>
      <c r="AH3163" s="111">
        <f>IF(AQ3163="0",BJ3163,0)</f>
      </c>
      <c r="AI3163" s="132" t="s">
        <v>93</v>
      </c>
      <c r="AJ3163" s="111">
        <f>IF(AN3163=0,I3163,0)</f>
      </c>
      <c r="AK3163" s="111">
        <f>IF(AN3163=12,I3163,0)</f>
      </c>
      <c r="AL3163" s="111">
        <f>IF(AN3163=21,I3163,0)</f>
      </c>
      <c r="AN3163" s="111" t="n">
        <v>21</v>
      </c>
      <c r="AO3163" s="111">
        <f>H3163*0</f>
      </c>
      <c r="AP3163" s="111">
        <f>H3163*(1-0)</f>
      </c>
      <c r="AQ3163" s="153" t="s">
        <v>140</v>
      </c>
      <c r="AV3163" s="111">
        <f>AW3163+AX3163</f>
      </c>
      <c r="AW3163" s="111">
        <f>G3163*AO3163</f>
      </c>
      <c r="AX3163" s="111">
        <f>G3163*AP3163</f>
      </c>
      <c r="AY3163" s="153" t="s">
        <v>4923</v>
      </c>
      <c r="AZ3163" s="153" t="s">
        <v>4606</v>
      </c>
      <c r="BA3163" s="132" t="s">
        <v>4594</v>
      </c>
      <c r="BC3163" s="111">
        <f>AW3163+AX3163</f>
      </c>
      <c r="BD3163" s="111">
        <f>H3163/(100-BE3163)*100</f>
      </c>
      <c r="BE3163" s="111" t="n">
        <v>0</v>
      </c>
      <c r="BF3163" s="111">
        <f>3163</f>
      </c>
      <c r="BH3163" s="111">
        <f>G3163*AO3163</f>
      </c>
      <c r="BI3163" s="111">
        <f>G3163*AP3163</f>
      </c>
      <c r="BJ3163" s="111">
        <f>G3163*H3163</f>
      </c>
      <c r="BK3163" s="111"/>
      <c r="BL3163" s="111"/>
      <c r="BW3163" s="111" t="n">
        <v>21</v>
      </c>
      <c r="BX3163" s="14" t="s">
        <v>5050</v>
      </c>
    </row>
    <row r="3164" customHeight="true" ht="13.5">
      <c r="A3164" s="159"/>
      <c r="C3164" s="160" t="s">
        <v>146</v>
      </c>
      <c r="D3164" s="161" t="s">
        <v>5051</v>
      </c>
      <c r="E3164" s="156"/>
      <c r="F3164" s="156"/>
      <c r="G3164" s="156"/>
      <c r="H3164" s="162"/>
      <c r="I3164" s="156"/>
      <c r="J3164" s="156"/>
      <c r="K3164" s="163"/>
    </row>
    <row r="3165">
      <c r="A3165" s="154"/>
      <c r="B3165" s="155"/>
      <c r="C3165" s="155"/>
      <c r="D3165" s="156" t="s">
        <v>163</v>
      </c>
      <c r="E3165" s="156" t="s">
        <v>4726</v>
      </c>
      <c r="F3165" s="155"/>
      <c r="G3165" s="157" t="n">
        <v>13</v>
      </c>
      <c r="H3165" s="158"/>
      <c r="I3165" s="155"/>
      <c r="J3165" s="155"/>
      <c r="K3165" s="146"/>
    </row>
    <row r="3166">
      <c r="A3166" s="9" t="s">
        <v>5052</v>
      </c>
      <c r="B3166" s="10" t="s">
        <v>93</v>
      </c>
      <c r="C3166" s="10" t="s">
        <v>5053</v>
      </c>
      <c r="D3166" s="14" t="s">
        <v>5054</v>
      </c>
      <c r="E3166" s="10"/>
      <c r="F3166" s="10" t="s">
        <v>133</v>
      </c>
      <c r="G3166" s="111" t="n">
        <v>8</v>
      </c>
      <c r="H3166" s="152" t="n">
        <v>0</v>
      </c>
      <c r="I3166" s="111">
        <f>G3166*H3166</f>
      </c>
      <c r="J3166" s="153" t="s">
        <v>134</v>
      </c>
      <c r="K3166" s="146"/>
      <c r="Z3166" s="111">
        <f>IF(AQ3166="5",BJ3166,0)</f>
      </c>
      <c r="AB3166" s="111">
        <f>IF(AQ3166="1",BH3166,0)</f>
      </c>
      <c r="AC3166" s="111">
        <f>IF(AQ3166="1",BI3166,0)</f>
      </c>
      <c r="AD3166" s="111">
        <f>IF(AQ3166="7",BH3166,0)</f>
      </c>
      <c r="AE3166" s="111">
        <f>IF(AQ3166="7",BI3166,0)</f>
      </c>
      <c r="AF3166" s="111">
        <f>IF(AQ3166="2",BH3166,0)</f>
      </c>
      <c r="AG3166" s="111">
        <f>IF(AQ3166="2",BI3166,0)</f>
      </c>
      <c r="AH3166" s="111">
        <f>IF(AQ3166="0",BJ3166,0)</f>
      </c>
      <c r="AI3166" s="132" t="s">
        <v>93</v>
      </c>
      <c r="AJ3166" s="111">
        <f>IF(AN3166=0,I3166,0)</f>
      </c>
      <c r="AK3166" s="111">
        <f>IF(AN3166=12,I3166,0)</f>
      </c>
      <c r="AL3166" s="111">
        <f>IF(AN3166=21,I3166,0)</f>
      </c>
      <c r="AN3166" s="111" t="n">
        <v>21</v>
      </c>
      <c r="AO3166" s="111">
        <f>H3166*0</f>
      </c>
      <c r="AP3166" s="111">
        <f>H3166*(1-0)</f>
      </c>
      <c r="AQ3166" s="153" t="s">
        <v>140</v>
      </c>
      <c r="AV3166" s="111">
        <f>AW3166+AX3166</f>
      </c>
      <c r="AW3166" s="111">
        <f>G3166*AO3166</f>
      </c>
      <c r="AX3166" s="111">
        <f>G3166*AP3166</f>
      </c>
      <c r="AY3166" s="153" t="s">
        <v>4923</v>
      </c>
      <c r="AZ3166" s="153" t="s">
        <v>4606</v>
      </c>
      <c r="BA3166" s="132" t="s">
        <v>4594</v>
      </c>
      <c r="BC3166" s="111">
        <f>AW3166+AX3166</f>
      </c>
      <c r="BD3166" s="111">
        <f>H3166/(100-BE3166)*100</f>
      </c>
      <c r="BE3166" s="111" t="n">
        <v>0</v>
      </c>
      <c r="BF3166" s="111">
        <f>3166</f>
      </c>
      <c r="BH3166" s="111">
        <f>G3166*AO3166</f>
      </c>
      <c r="BI3166" s="111">
        <f>G3166*AP3166</f>
      </c>
      <c r="BJ3166" s="111">
        <f>G3166*H3166</f>
      </c>
      <c r="BK3166" s="111"/>
      <c r="BL3166" s="111"/>
      <c r="BW3166" s="111" t="n">
        <v>21</v>
      </c>
      <c r="BX3166" s="14" t="s">
        <v>5054</v>
      </c>
    </row>
    <row r="3167" customHeight="true" ht="13.5">
      <c r="A3167" s="159"/>
      <c r="C3167" s="160" t="s">
        <v>146</v>
      </c>
      <c r="D3167" s="161" t="s">
        <v>5055</v>
      </c>
      <c r="E3167" s="156"/>
      <c r="F3167" s="156"/>
      <c r="G3167" s="156"/>
      <c r="H3167" s="162"/>
      <c r="I3167" s="156"/>
      <c r="J3167" s="156"/>
      <c r="K3167" s="163"/>
    </row>
    <row r="3168">
      <c r="A3168" s="9" t="s">
        <v>5056</v>
      </c>
      <c r="B3168" s="10" t="s">
        <v>93</v>
      </c>
      <c r="C3168" s="10" t="s">
        <v>5057</v>
      </c>
      <c r="D3168" s="14" t="s">
        <v>5058</v>
      </c>
      <c r="E3168" s="10"/>
      <c r="F3168" s="10" t="s">
        <v>133</v>
      </c>
      <c r="G3168" s="111" t="n">
        <v>8</v>
      </c>
      <c r="H3168" s="152" t="n">
        <v>0</v>
      </c>
      <c r="I3168" s="111">
        <f>G3168*H3168</f>
      </c>
      <c r="J3168" s="153" t="s">
        <v>134</v>
      </c>
      <c r="K3168" s="146"/>
      <c r="Z3168" s="111">
        <f>IF(AQ3168="5",BJ3168,0)</f>
      </c>
      <c r="AB3168" s="111">
        <f>IF(AQ3168="1",BH3168,0)</f>
      </c>
      <c r="AC3168" s="111">
        <f>IF(AQ3168="1",BI3168,0)</f>
      </c>
      <c r="AD3168" s="111">
        <f>IF(AQ3168="7",BH3168,0)</f>
      </c>
      <c r="AE3168" s="111">
        <f>IF(AQ3168="7",BI3168,0)</f>
      </c>
      <c r="AF3168" s="111">
        <f>IF(AQ3168="2",BH3168,0)</f>
      </c>
      <c r="AG3168" s="111">
        <f>IF(AQ3168="2",BI3168,0)</f>
      </c>
      <c r="AH3168" s="111">
        <f>IF(AQ3168="0",BJ3168,0)</f>
      </c>
      <c r="AI3168" s="132" t="s">
        <v>93</v>
      </c>
      <c r="AJ3168" s="111">
        <f>IF(AN3168=0,I3168,0)</f>
      </c>
      <c r="AK3168" s="111">
        <f>IF(AN3168=12,I3168,0)</f>
      </c>
      <c r="AL3168" s="111">
        <f>IF(AN3168=21,I3168,0)</f>
      </c>
      <c r="AN3168" s="111" t="n">
        <v>21</v>
      </c>
      <c r="AO3168" s="111">
        <f>H3168*0</f>
      </c>
      <c r="AP3168" s="111">
        <f>H3168*(1-0)</f>
      </c>
      <c r="AQ3168" s="153" t="s">
        <v>140</v>
      </c>
      <c r="AV3168" s="111">
        <f>AW3168+AX3168</f>
      </c>
      <c r="AW3168" s="111">
        <f>G3168*AO3168</f>
      </c>
      <c r="AX3168" s="111">
        <f>G3168*AP3168</f>
      </c>
      <c r="AY3168" s="153" t="s">
        <v>4923</v>
      </c>
      <c r="AZ3168" s="153" t="s">
        <v>4606</v>
      </c>
      <c r="BA3168" s="132" t="s">
        <v>4594</v>
      </c>
      <c r="BC3168" s="111">
        <f>AW3168+AX3168</f>
      </c>
      <c r="BD3168" s="111">
        <f>H3168/(100-BE3168)*100</f>
      </c>
      <c r="BE3168" s="111" t="n">
        <v>0</v>
      </c>
      <c r="BF3168" s="111">
        <f>3168</f>
      </c>
      <c r="BH3168" s="111">
        <f>G3168*AO3168</f>
      </c>
      <c r="BI3168" s="111">
        <f>G3168*AP3168</f>
      </c>
      <c r="BJ3168" s="111">
        <f>G3168*H3168</f>
      </c>
      <c r="BK3168" s="111"/>
      <c r="BL3168" s="111"/>
      <c r="BW3168" s="111" t="n">
        <v>21</v>
      </c>
      <c r="BX3168" s="14" t="s">
        <v>5058</v>
      </c>
    </row>
    <row r="3169" customHeight="true" ht="13.5">
      <c r="A3169" s="159"/>
      <c r="C3169" s="160" t="s">
        <v>146</v>
      </c>
      <c r="D3169" s="161" t="s">
        <v>5059</v>
      </c>
      <c r="E3169" s="156"/>
      <c r="F3169" s="156"/>
      <c r="G3169" s="156"/>
      <c r="H3169" s="162"/>
      <c r="I3169" s="156"/>
      <c r="J3169" s="156"/>
      <c r="K3169" s="163"/>
    </row>
    <row r="3170">
      <c r="A3170" s="9" t="s">
        <v>5060</v>
      </c>
      <c r="B3170" s="10" t="s">
        <v>93</v>
      </c>
      <c r="C3170" s="10" t="s">
        <v>5061</v>
      </c>
      <c r="D3170" s="14" t="s">
        <v>5062</v>
      </c>
      <c r="E3170" s="10"/>
      <c r="F3170" s="10" t="s">
        <v>133</v>
      </c>
      <c r="G3170" s="111" t="n">
        <v>12</v>
      </c>
      <c r="H3170" s="152" t="n">
        <v>0</v>
      </c>
      <c r="I3170" s="111">
        <f>G3170*H3170</f>
      </c>
      <c r="J3170" s="153" t="s">
        <v>134</v>
      </c>
      <c r="K3170" s="146"/>
      <c r="Z3170" s="111">
        <f>IF(AQ3170="5",BJ3170,0)</f>
      </c>
      <c r="AB3170" s="111">
        <f>IF(AQ3170="1",BH3170,0)</f>
      </c>
      <c r="AC3170" s="111">
        <f>IF(AQ3170="1",BI3170,0)</f>
      </c>
      <c r="AD3170" s="111">
        <f>IF(AQ3170="7",BH3170,0)</f>
      </c>
      <c r="AE3170" s="111">
        <f>IF(AQ3170="7",BI3170,0)</f>
      </c>
      <c r="AF3170" s="111">
        <f>IF(AQ3170="2",BH3170,0)</f>
      </c>
      <c r="AG3170" s="111">
        <f>IF(AQ3170="2",BI3170,0)</f>
      </c>
      <c r="AH3170" s="111">
        <f>IF(AQ3170="0",BJ3170,0)</f>
      </c>
      <c r="AI3170" s="132" t="s">
        <v>93</v>
      </c>
      <c r="AJ3170" s="111">
        <f>IF(AN3170=0,I3170,0)</f>
      </c>
      <c r="AK3170" s="111">
        <f>IF(AN3170=12,I3170,0)</f>
      </c>
      <c r="AL3170" s="111">
        <f>IF(AN3170=21,I3170,0)</f>
      </c>
      <c r="AN3170" s="111" t="n">
        <v>21</v>
      </c>
      <c r="AO3170" s="111">
        <f>H3170*0</f>
      </c>
      <c r="AP3170" s="111">
        <f>H3170*(1-0)</f>
      </c>
      <c r="AQ3170" s="153" t="s">
        <v>140</v>
      </c>
      <c r="AV3170" s="111">
        <f>AW3170+AX3170</f>
      </c>
      <c r="AW3170" s="111">
        <f>G3170*AO3170</f>
      </c>
      <c r="AX3170" s="111">
        <f>G3170*AP3170</f>
      </c>
      <c r="AY3170" s="153" t="s">
        <v>4923</v>
      </c>
      <c r="AZ3170" s="153" t="s">
        <v>4606</v>
      </c>
      <c r="BA3170" s="132" t="s">
        <v>4594</v>
      </c>
      <c r="BC3170" s="111">
        <f>AW3170+AX3170</f>
      </c>
      <c r="BD3170" s="111">
        <f>H3170/(100-BE3170)*100</f>
      </c>
      <c r="BE3170" s="111" t="n">
        <v>0</v>
      </c>
      <c r="BF3170" s="111">
        <f>3170</f>
      </c>
      <c r="BH3170" s="111">
        <f>G3170*AO3170</f>
      </c>
      <c r="BI3170" s="111">
        <f>G3170*AP3170</f>
      </c>
      <c r="BJ3170" s="111">
        <f>G3170*H3170</f>
      </c>
      <c r="BK3170" s="111"/>
      <c r="BL3170" s="111"/>
      <c r="BW3170" s="111" t="n">
        <v>21</v>
      </c>
      <c r="BX3170" s="14" t="s">
        <v>5062</v>
      </c>
    </row>
    <row r="3171" customHeight="true" ht="13.5">
      <c r="A3171" s="159"/>
      <c r="C3171" s="160" t="s">
        <v>146</v>
      </c>
      <c r="D3171" s="161" t="s">
        <v>5063</v>
      </c>
      <c r="E3171" s="156"/>
      <c r="F3171" s="156"/>
      <c r="G3171" s="156"/>
      <c r="H3171" s="162"/>
      <c r="I3171" s="156"/>
      <c r="J3171" s="156"/>
      <c r="K3171" s="163"/>
    </row>
    <row r="3172">
      <c r="A3172" s="9" t="s">
        <v>5064</v>
      </c>
      <c r="B3172" s="10" t="s">
        <v>93</v>
      </c>
      <c r="C3172" s="10" t="s">
        <v>5065</v>
      </c>
      <c r="D3172" s="14" t="s">
        <v>5066</v>
      </c>
      <c r="E3172" s="10"/>
      <c r="F3172" s="10" t="s">
        <v>145</v>
      </c>
      <c r="G3172" s="111" t="n">
        <v>3.2</v>
      </c>
      <c r="H3172" s="152" t="n">
        <v>0</v>
      </c>
      <c r="I3172" s="111">
        <f>G3172*H3172</f>
      </c>
      <c r="J3172" s="153" t="s">
        <v>134</v>
      </c>
      <c r="K3172" s="146"/>
      <c r="Z3172" s="111">
        <f>IF(AQ3172="5",BJ3172,0)</f>
      </c>
      <c r="AB3172" s="111">
        <f>IF(AQ3172="1",BH3172,0)</f>
      </c>
      <c r="AC3172" s="111">
        <f>IF(AQ3172="1",BI3172,0)</f>
      </c>
      <c r="AD3172" s="111">
        <f>IF(AQ3172="7",BH3172,0)</f>
      </c>
      <c r="AE3172" s="111">
        <f>IF(AQ3172="7",BI3172,0)</f>
      </c>
      <c r="AF3172" s="111">
        <f>IF(AQ3172="2",BH3172,0)</f>
      </c>
      <c r="AG3172" s="111">
        <f>IF(AQ3172="2",BI3172,0)</f>
      </c>
      <c r="AH3172" s="111">
        <f>IF(AQ3172="0",BJ3172,0)</f>
      </c>
      <c r="AI3172" s="132" t="s">
        <v>93</v>
      </c>
      <c r="AJ3172" s="111">
        <f>IF(AN3172=0,I3172,0)</f>
      </c>
      <c r="AK3172" s="111">
        <f>IF(AN3172=12,I3172,0)</f>
      </c>
      <c r="AL3172" s="111">
        <f>IF(AN3172=21,I3172,0)</f>
      </c>
      <c r="AN3172" s="111" t="n">
        <v>21</v>
      </c>
      <c r="AO3172" s="111">
        <f>H3172*0</f>
      </c>
      <c r="AP3172" s="111">
        <f>H3172*(1-0)</f>
      </c>
      <c r="AQ3172" s="153" t="s">
        <v>140</v>
      </c>
      <c r="AV3172" s="111">
        <f>AW3172+AX3172</f>
      </c>
      <c r="AW3172" s="111">
        <f>G3172*AO3172</f>
      </c>
      <c r="AX3172" s="111">
        <f>G3172*AP3172</f>
      </c>
      <c r="AY3172" s="153" t="s">
        <v>4923</v>
      </c>
      <c r="AZ3172" s="153" t="s">
        <v>4606</v>
      </c>
      <c r="BA3172" s="132" t="s">
        <v>4594</v>
      </c>
      <c r="BC3172" s="111">
        <f>AW3172+AX3172</f>
      </c>
      <c r="BD3172" s="111">
        <f>H3172/(100-BE3172)*100</f>
      </c>
      <c r="BE3172" s="111" t="n">
        <v>0</v>
      </c>
      <c r="BF3172" s="111">
        <f>3172</f>
      </c>
      <c r="BH3172" s="111">
        <f>G3172*AO3172</f>
      </c>
      <c r="BI3172" s="111">
        <f>G3172*AP3172</f>
      </c>
      <c r="BJ3172" s="111">
        <f>G3172*H3172</f>
      </c>
      <c r="BK3172" s="111"/>
      <c r="BL3172" s="111"/>
      <c r="BW3172" s="111" t="n">
        <v>21</v>
      </c>
      <c r="BX3172" s="14" t="s">
        <v>5066</v>
      </c>
    </row>
    <row r="3173" customHeight="true" ht="13.5">
      <c r="A3173" s="159"/>
      <c r="C3173" s="160" t="s">
        <v>146</v>
      </c>
      <c r="D3173" s="161" t="s">
        <v>5067</v>
      </c>
      <c r="E3173" s="156"/>
      <c r="F3173" s="156"/>
      <c r="G3173" s="156"/>
      <c r="H3173" s="162"/>
      <c r="I3173" s="156"/>
      <c r="J3173" s="156"/>
      <c r="K3173" s="163"/>
    </row>
    <row r="3174">
      <c r="A3174" s="9" t="s">
        <v>5068</v>
      </c>
      <c r="B3174" s="10" t="s">
        <v>93</v>
      </c>
      <c r="C3174" s="10" t="s">
        <v>5069</v>
      </c>
      <c r="D3174" s="14" t="s">
        <v>5070</v>
      </c>
      <c r="E3174" s="10"/>
      <c r="F3174" s="10" t="s">
        <v>133</v>
      </c>
      <c r="G3174" s="111" t="n">
        <v>400</v>
      </c>
      <c r="H3174" s="152" t="n">
        <v>0</v>
      </c>
      <c r="I3174" s="111">
        <f>G3174*H3174</f>
      </c>
      <c r="J3174" s="153" t="s">
        <v>134</v>
      </c>
      <c r="K3174" s="146"/>
      <c r="Z3174" s="111">
        <f>IF(AQ3174="5",BJ3174,0)</f>
      </c>
      <c r="AB3174" s="111">
        <f>IF(AQ3174="1",BH3174,0)</f>
      </c>
      <c r="AC3174" s="111">
        <f>IF(AQ3174="1",BI3174,0)</f>
      </c>
      <c r="AD3174" s="111">
        <f>IF(AQ3174="7",BH3174,0)</f>
      </c>
      <c r="AE3174" s="111">
        <f>IF(AQ3174="7",BI3174,0)</f>
      </c>
      <c r="AF3174" s="111">
        <f>IF(AQ3174="2",BH3174,0)</f>
      </c>
      <c r="AG3174" s="111">
        <f>IF(AQ3174="2",BI3174,0)</f>
      </c>
      <c r="AH3174" s="111">
        <f>IF(AQ3174="0",BJ3174,0)</f>
      </c>
      <c r="AI3174" s="132" t="s">
        <v>93</v>
      </c>
      <c r="AJ3174" s="111">
        <f>IF(AN3174=0,I3174,0)</f>
      </c>
      <c r="AK3174" s="111">
        <f>IF(AN3174=12,I3174,0)</f>
      </c>
      <c r="AL3174" s="111">
        <f>IF(AN3174=21,I3174,0)</f>
      </c>
      <c r="AN3174" s="111" t="n">
        <v>21</v>
      </c>
      <c r="AO3174" s="111">
        <f>H3174*0</f>
      </c>
      <c r="AP3174" s="111">
        <f>H3174*(1-0)</f>
      </c>
      <c r="AQ3174" s="153" t="s">
        <v>140</v>
      </c>
      <c r="AV3174" s="111">
        <f>AW3174+AX3174</f>
      </c>
      <c r="AW3174" s="111">
        <f>G3174*AO3174</f>
      </c>
      <c r="AX3174" s="111">
        <f>G3174*AP3174</f>
      </c>
      <c r="AY3174" s="153" t="s">
        <v>4923</v>
      </c>
      <c r="AZ3174" s="153" t="s">
        <v>4606</v>
      </c>
      <c r="BA3174" s="132" t="s">
        <v>4594</v>
      </c>
      <c r="BC3174" s="111">
        <f>AW3174+AX3174</f>
      </c>
      <c r="BD3174" s="111">
        <f>H3174/(100-BE3174)*100</f>
      </c>
      <c r="BE3174" s="111" t="n">
        <v>0</v>
      </c>
      <c r="BF3174" s="111">
        <f>3174</f>
      </c>
      <c r="BH3174" s="111">
        <f>G3174*AO3174</f>
      </c>
      <c r="BI3174" s="111">
        <f>G3174*AP3174</f>
      </c>
      <c r="BJ3174" s="111">
        <f>G3174*H3174</f>
      </c>
      <c r="BK3174" s="111"/>
      <c r="BL3174" s="111"/>
      <c r="BW3174" s="111" t="n">
        <v>21</v>
      </c>
      <c r="BX3174" s="14" t="s">
        <v>5070</v>
      </c>
    </row>
    <row r="3175" customHeight="true" ht="13.5">
      <c r="A3175" s="159"/>
      <c r="C3175" s="160" t="s">
        <v>146</v>
      </c>
      <c r="D3175" s="161" t="s">
        <v>5071</v>
      </c>
      <c r="E3175" s="156"/>
      <c r="F3175" s="156"/>
      <c r="G3175" s="156"/>
      <c r="H3175" s="162"/>
      <c r="I3175" s="156"/>
      <c r="J3175" s="156"/>
      <c r="K3175" s="163"/>
    </row>
    <row r="3176">
      <c r="A3176" s="9" t="s">
        <v>5072</v>
      </c>
      <c r="B3176" s="10" t="s">
        <v>93</v>
      </c>
      <c r="C3176" s="10" t="s">
        <v>5069</v>
      </c>
      <c r="D3176" s="14" t="s">
        <v>5070</v>
      </c>
      <c r="E3176" s="10"/>
      <c r="F3176" s="10" t="s">
        <v>133</v>
      </c>
      <c r="G3176" s="111" t="n">
        <v>710</v>
      </c>
      <c r="H3176" s="152" t="n">
        <v>0</v>
      </c>
      <c r="I3176" s="111">
        <f>G3176*H3176</f>
      </c>
      <c r="J3176" s="153" t="s">
        <v>134</v>
      </c>
      <c r="K3176" s="146"/>
      <c r="Z3176" s="111">
        <f>IF(AQ3176="5",BJ3176,0)</f>
      </c>
      <c r="AB3176" s="111">
        <f>IF(AQ3176="1",BH3176,0)</f>
      </c>
      <c r="AC3176" s="111">
        <f>IF(AQ3176="1",BI3176,0)</f>
      </c>
      <c r="AD3176" s="111">
        <f>IF(AQ3176="7",BH3176,0)</f>
      </c>
      <c r="AE3176" s="111">
        <f>IF(AQ3176="7",BI3176,0)</f>
      </c>
      <c r="AF3176" s="111">
        <f>IF(AQ3176="2",BH3176,0)</f>
      </c>
      <c r="AG3176" s="111">
        <f>IF(AQ3176="2",BI3176,0)</f>
      </c>
      <c r="AH3176" s="111">
        <f>IF(AQ3176="0",BJ3176,0)</f>
      </c>
      <c r="AI3176" s="132" t="s">
        <v>93</v>
      </c>
      <c r="AJ3176" s="111">
        <f>IF(AN3176=0,I3176,0)</f>
      </c>
      <c r="AK3176" s="111">
        <f>IF(AN3176=12,I3176,0)</f>
      </c>
      <c r="AL3176" s="111">
        <f>IF(AN3176=21,I3176,0)</f>
      </c>
      <c r="AN3176" s="111" t="n">
        <v>21</v>
      </c>
      <c r="AO3176" s="111">
        <f>H3176*0</f>
      </c>
      <c r="AP3176" s="111">
        <f>H3176*(1-0)</f>
      </c>
      <c r="AQ3176" s="153" t="s">
        <v>140</v>
      </c>
      <c r="AV3176" s="111">
        <f>AW3176+AX3176</f>
      </c>
      <c r="AW3176" s="111">
        <f>G3176*AO3176</f>
      </c>
      <c r="AX3176" s="111">
        <f>G3176*AP3176</f>
      </c>
      <c r="AY3176" s="153" t="s">
        <v>4923</v>
      </c>
      <c r="AZ3176" s="153" t="s">
        <v>4606</v>
      </c>
      <c r="BA3176" s="132" t="s">
        <v>4594</v>
      </c>
      <c r="BC3176" s="111">
        <f>AW3176+AX3176</f>
      </c>
      <c r="BD3176" s="111">
        <f>H3176/(100-BE3176)*100</f>
      </c>
      <c r="BE3176" s="111" t="n">
        <v>0</v>
      </c>
      <c r="BF3176" s="111">
        <f>3176</f>
      </c>
      <c r="BH3176" s="111">
        <f>G3176*AO3176</f>
      </c>
      <c r="BI3176" s="111">
        <f>G3176*AP3176</f>
      </c>
      <c r="BJ3176" s="111">
        <f>G3176*H3176</f>
      </c>
      <c r="BK3176" s="111"/>
      <c r="BL3176" s="111"/>
      <c r="BW3176" s="111" t="n">
        <v>21</v>
      </c>
      <c r="BX3176" s="14" t="s">
        <v>5070</v>
      </c>
    </row>
    <row r="3177" customHeight="true" ht="13.5">
      <c r="A3177" s="159"/>
      <c r="C3177" s="160" t="s">
        <v>146</v>
      </c>
      <c r="D3177" s="161" t="s">
        <v>5073</v>
      </c>
      <c r="E3177" s="156"/>
      <c r="F3177" s="156"/>
      <c r="G3177" s="156"/>
      <c r="H3177" s="162"/>
      <c r="I3177" s="156"/>
      <c r="J3177" s="156"/>
      <c r="K3177" s="163"/>
    </row>
    <row r="3178">
      <c r="A3178" s="9" t="s">
        <v>5074</v>
      </c>
      <c r="B3178" s="10" t="s">
        <v>93</v>
      </c>
      <c r="C3178" s="10" t="s">
        <v>5075</v>
      </c>
      <c r="D3178" s="14" t="s">
        <v>5076</v>
      </c>
      <c r="E3178" s="10"/>
      <c r="F3178" s="10" t="s">
        <v>133</v>
      </c>
      <c r="G3178" s="111" t="n">
        <v>200</v>
      </c>
      <c r="H3178" s="152" t="n">
        <v>0</v>
      </c>
      <c r="I3178" s="111">
        <f>G3178*H3178</f>
      </c>
      <c r="J3178" s="153" t="s">
        <v>134</v>
      </c>
      <c r="K3178" s="146"/>
      <c r="Z3178" s="111">
        <f>IF(AQ3178="5",BJ3178,0)</f>
      </c>
      <c r="AB3178" s="111">
        <f>IF(AQ3178="1",BH3178,0)</f>
      </c>
      <c r="AC3178" s="111">
        <f>IF(AQ3178="1",BI3178,0)</f>
      </c>
      <c r="AD3178" s="111">
        <f>IF(AQ3178="7",BH3178,0)</f>
      </c>
      <c r="AE3178" s="111">
        <f>IF(AQ3178="7",BI3178,0)</f>
      </c>
      <c r="AF3178" s="111">
        <f>IF(AQ3178="2",BH3178,0)</f>
      </c>
      <c r="AG3178" s="111">
        <f>IF(AQ3178="2",BI3178,0)</f>
      </c>
      <c r="AH3178" s="111">
        <f>IF(AQ3178="0",BJ3178,0)</f>
      </c>
      <c r="AI3178" s="132" t="s">
        <v>93</v>
      </c>
      <c r="AJ3178" s="111">
        <f>IF(AN3178=0,I3178,0)</f>
      </c>
      <c r="AK3178" s="111">
        <f>IF(AN3178=12,I3178,0)</f>
      </c>
      <c r="AL3178" s="111">
        <f>IF(AN3178=21,I3178,0)</f>
      </c>
      <c r="AN3178" s="111" t="n">
        <v>21</v>
      </c>
      <c r="AO3178" s="111">
        <f>H3178*0</f>
      </c>
      <c r="AP3178" s="111">
        <f>H3178*(1-0)</f>
      </c>
      <c r="AQ3178" s="153" t="s">
        <v>140</v>
      </c>
      <c r="AV3178" s="111">
        <f>AW3178+AX3178</f>
      </c>
      <c r="AW3178" s="111">
        <f>G3178*AO3178</f>
      </c>
      <c r="AX3178" s="111">
        <f>G3178*AP3178</f>
      </c>
      <c r="AY3178" s="153" t="s">
        <v>4923</v>
      </c>
      <c r="AZ3178" s="153" t="s">
        <v>4606</v>
      </c>
      <c r="BA3178" s="132" t="s">
        <v>4594</v>
      </c>
      <c r="BC3178" s="111">
        <f>AW3178+AX3178</f>
      </c>
      <c r="BD3178" s="111">
        <f>H3178/(100-BE3178)*100</f>
      </c>
      <c r="BE3178" s="111" t="n">
        <v>0</v>
      </c>
      <c r="BF3178" s="111">
        <f>3178</f>
      </c>
      <c r="BH3178" s="111">
        <f>G3178*AO3178</f>
      </c>
      <c r="BI3178" s="111">
        <f>G3178*AP3178</f>
      </c>
      <c r="BJ3178" s="111">
        <f>G3178*H3178</f>
      </c>
      <c r="BK3178" s="111"/>
      <c r="BL3178" s="111"/>
      <c r="BW3178" s="111" t="n">
        <v>21</v>
      </c>
      <c r="BX3178" s="14" t="s">
        <v>5076</v>
      </c>
    </row>
    <row r="3179" customHeight="true" ht="13.5">
      <c r="A3179" s="159"/>
      <c r="C3179" s="160" t="s">
        <v>146</v>
      </c>
      <c r="D3179" s="161" t="s">
        <v>5077</v>
      </c>
      <c r="E3179" s="156"/>
      <c r="F3179" s="156"/>
      <c r="G3179" s="156"/>
      <c r="H3179" s="162"/>
      <c r="I3179" s="156"/>
      <c r="J3179" s="156"/>
      <c r="K3179" s="163"/>
    </row>
    <row r="3180">
      <c r="A3180" s="9" t="s">
        <v>5078</v>
      </c>
      <c r="B3180" s="10" t="s">
        <v>93</v>
      </c>
      <c r="C3180" s="10" t="s">
        <v>5079</v>
      </c>
      <c r="D3180" s="14" t="s">
        <v>5080</v>
      </c>
      <c r="E3180" s="10"/>
      <c r="F3180" s="10" t="s">
        <v>133</v>
      </c>
      <c r="G3180" s="111" t="n">
        <v>630</v>
      </c>
      <c r="H3180" s="152" t="n">
        <v>0</v>
      </c>
      <c r="I3180" s="111">
        <f>G3180*H3180</f>
      </c>
      <c r="J3180" s="153" t="s">
        <v>134</v>
      </c>
      <c r="K3180" s="146"/>
      <c r="Z3180" s="111">
        <f>IF(AQ3180="5",BJ3180,0)</f>
      </c>
      <c r="AB3180" s="111">
        <f>IF(AQ3180="1",BH3180,0)</f>
      </c>
      <c r="AC3180" s="111">
        <f>IF(AQ3180="1",BI3180,0)</f>
      </c>
      <c r="AD3180" s="111">
        <f>IF(AQ3180="7",BH3180,0)</f>
      </c>
      <c r="AE3180" s="111">
        <f>IF(AQ3180="7",BI3180,0)</f>
      </c>
      <c r="AF3180" s="111">
        <f>IF(AQ3180="2",BH3180,0)</f>
      </c>
      <c r="AG3180" s="111">
        <f>IF(AQ3180="2",BI3180,0)</f>
      </c>
      <c r="AH3180" s="111">
        <f>IF(AQ3180="0",BJ3180,0)</f>
      </c>
      <c r="AI3180" s="132" t="s">
        <v>93</v>
      </c>
      <c r="AJ3180" s="111">
        <f>IF(AN3180=0,I3180,0)</f>
      </c>
      <c r="AK3180" s="111">
        <f>IF(AN3180=12,I3180,0)</f>
      </c>
      <c r="AL3180" s="111">
        <f>IF(AN3180=21,I3180,0)</f>
      </c>
      <c r="AN3180" s="111" t="n">
        <v>21</v>
      </c>
      <c r="AO3180" s="111">
        <f>H3180*0</f>
      </c>
      <c r="AP3180" s="111">
        <f>H3180*(1-0)</f>
      </c>
      <c r="AQ3180" s="153" t="s">
        <v>140</v>
      </c>
      <c r="AV3180" s="111">
        <f>AW3180+AX3180</f>
      </c>
      <c r="AW3180" s="111">
        <f>G3180*AO3180</f>
      </c>
      <c r="AX3180" s="111">
        <f>G3180*AP3180</f>
      </c>
      <c r="AY3180" s="153" t="s">
        <v>4923</v>
      </c>
      <c r="AZ3180" s="153" t="s">
        <v>4606</v>
      </c>
      <c r="BA3180" s="132" t="s">
        <v>4594</v>
      </c>
      <c r="BC3180" s="111">
        <f>AW3180+AX3180</f>
      </c>
      <c r="BD3180" s="111">
        <f>H3180/(100-BE3180)*100</f>
      </c>
      <c r="BE3180" s="111" t="n">
        <v>0</v>
      </c>
      <c r="BF3180" s="111">
        <f>3180</f>
      </c>
      <c r="BH3180" s="111">
        <f>G3180*AO3180</f>
      </c>
      <c r="BI3180" s="111">
        <f>G3180*AP3180</f>
      </c>
      <c r="BJ3180" s="111">
        <f>G3180*H3180</f>
      </c>
      <c r="BK3180" s="111"/>
      <c r="BL3180" s="111"/>
      <c r="BW3180" s="111" t="n">
        <v>21</v>
      </c>
      <c r="BX3180" s="14" t="s">
        <v>5080</v>
      </c>
    </row>
    <row r="3181" customHeight="true" ht="13.5">
      <c r="A3181" s="159"/>
      <c r="C3181" s="160" t="s">
        <v>146</v>
      </c>
      <c r="D3181" s="161" t="s">
        <v>5081</v>
      </c>
      <c r="E3181" s="156"/>
      <c r="F3181" s="156"/>
      <c r="G3181" s="156"/>
      <c r="H3181" s="162"/>
      <c r="I3181" s="156"/>
      <c r="J3181" s="156"/>
      <c r="K3181" s="163"/>
    </row>
    <row r="3182">
      <c r="A3182" s="9" t="s">
        <v>5082</v>
      </c>
      <c r="B3182" s="10" t="s">
        <v>93</v>
      </c>
      <c r="C3182" s="10" t="s">
        <v>5083</v>
      </c>
      <c r="D3182" s="14" t="s">
        <v>5084</v>
      </c>
      <c r="E3182" s="10"/>
      <c r="F3182" s="10" t="s">
        <v>2277</v>
      </c>
      <c r="G3182" s="111" t="n">
        <v>1230</v>
      </c>
      <c r="H3182" s="152" t="n">
        <v>0</v>
      </c>
      <c r="I3182" s="111">
        <f>G3182*H3182</f>
      </c>
      <c r="J3182" s="153" t="s">
        <v>2936</v>
      </c>
      <c r="K3182" s="146"/>
      <c r="Z3182" s="111">
        <f>IF(AQ3182="5",BJ3182,0)</f>
      </c>
      <c r="AB3182" s="111">
        <f>IF(AQ3182="1",BH3182,0)</f>
      </c>
      <c r="AC3182" s="111">
        <f>IF(AQ3182="1",BI3182,0)</f>
      </c>
      <c r="AD3182" s="111">
        <f>IF(AQ3182="7",BH3182,0)</f>
      </c>
      <c r="AE3182" s="111">
        <f>IF(AQ3182="7",BI3182,0)</f>
      </c>
      <c r="AF3182" s="111">
        <f>IF(AQ3182="2",BH3182,0)</f>
      </c>
      <c r="AG3182" s="111">
        <f>IF(AQ3182="2",BI3182,0)</f>
      </c>
      <c r="AH3182" s="111">
        <f>IF(AQ3182="0",BJ3182,0)</f>
      </c>
      <c r="AI3182" s="132" t="s">
        <v>93</v>
      </c>
      <c r="AJ3182" s="111">
        <f>IF(AN3182=0,I3182,0)</f>
      </c>
      <c r="AK3182" s="111">
        <f>IF(AN3182=12,I3182,0)</f>
      </c>
      <c r="AL3182" s="111">
        <f>IF(AN3182=21,I3182,0)</f>
      </c>
      <c r="AN3182" s="111" t="n">
        <v>21</v>
      </c>
      <c r="AO3182" s="111">
        <f>H3182*0</f>
      </c>
      <c r="AP3182" s="111">
        <f>H3182*(1-0)</f>
      </c>
      <c r="AQ3182" s="153" t="s">
        <v>130</v>
      </c>
      <c r="AV3182" s="111">
        <f>AW3182+AX3182</f>
      </c>
      <c r="AW3182" s="111">
        <f>G3182*AO3182</f>
      </c>
      <c r="AX3182" s="111">
        <f>G3182*AP3182</f>
      </c>
      <c r="AY3182" s="153" t="s">
        <v>4923</v>
      </c>
      <c r="AZ3182" s="153" t="s">
        <v>4606</v>
      </c>
      <c r="BA3182" s="132" t="s">
        <v>4594</v>
      </c>
      <c r="BC3182" s="111">
        <f>AW3182+AX3182</f>
      </c>
      <c r="BD3182" s="111">
        <f>H3182/(100-BE3182)*100</f>
      </c>
      <c r="BE3182" s="111" t="n">
        <v>0</v>
      </c>
      <c r="BF3182" s="111">
        <f>3182</f>
      </c>
      <c r="BH3182" s="111">
        <f>G3182*AO3182</f>
      </c>
      <c r="BI3182" s="111">
        <f>G3182*AP3182</f>
      </c>
      <c r="BJ3182" s="111">
        <f>G3182*H3182</f>
      </c>
      <c r="BK3182" s="111"/>
      <c r="BL3182" s="111"/>
      <c r="BW3182" s="111" t="n">
        <v>21</v>
      </c>
      <c r="BX3182" s="14" t="s">
        <v>5084</v>
      </c>
    </row>
    <row r="3183" customHeight="true" ht="13.5">
      <c r="A3183" s="159"/>
      <c r="C3183" s="160" t="s">
        <v>146</v>
      </c>
      <c r="D3183" s="161" t="s">
        <v>4700</v>
      </c>
      <c r="E3183" s="156"/>
      <c r="F3183" s="156"/>
      <c r="G3183" s="156"/>
      <c r="H3183" s="162"/>
      <c r="I3183" s="156"/>
      <c r="J3183" s="156"/>
      <c r="K3183" s="163"/>
    </row>
    <row r="3184">
      <c r="A3184" s="17" t="s">
        <v>5085</v>
      </c>
      <c r="B3184" s="18" t="s">
        <v>93</v>
      </c>
      <c r="C3184" s="18" t="s">
        <v>5086</v>
      </c>
      <c r="D3184" s="164" t="s">
        <v>5087</v>
      </c>
      <c r="E3184" s="18"/>
      <c r="F3184" s="18" t="s">
        <v>2277</v>
      </c>
      <c r="G3184" s="165" t="n">
        <v>500</v>
      </c>
      <c r="H3184" s="166" t="n">
        <v>0</v>
      </c>
      <c r="I3184" s="165">
        <f>G3184*H3184</f>
      </c>
      <c r="J3184" s="167" t="s">
        <v>134</v>
      </c>
      <c r="K3184" s="168"/>
      <c r="Z3184" s="111">
        <f>IF(AQ3184="5",BJ3184,0)</f>
      </c>
      <c r="AB3184" s="111">
        <f>IF(AQ3184="1",BH3184,0)</f>
      </c>
      <c r="AC3184" s="111">
        <f>IF(AQ3184="1",BI3184,0)</f>
      </c>
      <c r="AD3184" s="111">
        <f>IF(AQ3184="7",BH3184,0)</f>
      </c>
      <c r="AE3184" s="111">
        <f>IF(AQ3184="7",BI3184,0)</f>
      </c>
      <c r="AF3184" s="111">
        <f>IF(AQ3184="2",BH3184,0)</f>
      </c>
      <c r="AG3184" s="111">
        <f>IF(AQ3184="2",BI3184,0)</f>
      </c>
      <c r="AH3184" s="111">
        <f>IF(AQ3184="0",BJ3184,0)</f>
      </c>
      <c r="AI3184" s="132" t="s">
        <v>93</v>
      </c>
      <c r="AJ3184" s="111">
        <f>IF(AN3184=0,I3184,0)</f>
      </c>
      <c r="AK3184" s="111">
        <f>IF(AN3184=12,I3184,0)</f>
      </c>
      <c r="AL3184" s="111">
        <f>IF(AN3184=21,I3184,0)</f>
      </c>
      <c r="AN3184" s="111" t="n">
        <v>21</v>
      </c>
      <c r="AO3184" s="111">
        <f>H3184*1</f>
      </c>
      <c r="AP3184" s="111">
        <f>H3184*(1-1)</f>
      </c>
      <c r="AQ3184" s="153" t="s">
        <v>130</v>
      </c>
      <c r="AV3184" s="111">
        <f>AW3184+AX3184</f>
      </c>
      <c r="AW3184" s="111">
        <f>G3184*AO3184</f>
      </c>
      <c r="AX3184" s="111">
        <f>G3184*AP3184</f>
      </c>
      <c r="AY3184" s="153" t="s">
        <v>4923</v>
      </c>
      <c r="AZ3184" s="153" t="s">
        <v>4606</v>
      </c>
      <c r="BA3184" s="132" t="s">
        <v>4594</v>
      </c>
      <c r="BC3184" s="111">
        <f>AW3184+AX3184</f>
      </c>
      <c r="BD3184" s="111">
        <f>H3184/(100-BE3184)*100</f>
      </c>
      <c r="BE3184" s="111" t="n">
        <v>0</v>
      </c>
      <c r="BF3184" s="111">
        <f>3184</f>
      </c>
      <c r="BH3184" s="111">
        <f>G3184*AO3184</f>
      </c>
      <c r="BI3184" s="111">
        <f>G3184*AP3184</f>
      </c>
      <c r="BJ3184" s="111">
        <f>G3184*H3184</f>
      </c>
      <c r="BK3184" s="111"/>
      <c r="BL3184" s="111"/>
      <c r="BW3184" s="111" t="n">
        <v>21</v>
      </c>
      <c r="BX3184" s="14" t="s">
        <v>5087</v>
      </c>
    </row>
    <row r="3185">
      <c r="I3185" s="115">
        <f>I13+I23+I26+I49+I69+I81+I93+I97+I170+I246+I262+I362+I518+I522+I551+I605+I705+I756+I771+I779+I788+I795+I834+I855+I885+I900+I908+I930+I972+I1111+I1188+I1198+I1213+I1221+I1242+I1307+I1388+I1523+I1608+I1663+I1756+I1885+I1911+I1925+I1932+I1935+I1946+I1948+I1953+I1958+I1966+I1970+I1974+I1988+I2024+I2036+I2048+I2051+I2056+I2061+I2068+I2092+I2095+I2110+I2150+I2153+I2156+I2163+I2166+I2175+I2180+I2257+I2422+I2425+I2454+I2457+I2460+I2463+I2466+I2469+I2534+I2538+I2541+I2563+I2631+I2635+I2638+I2641+I2643+I2653+I2656+I2664+I2691+I2728+I2747+I2779+I2830+I2837+I2847+I2852+I2860+I2898+I2901+I2917+I2921+I2951+I2954+I3075+I3092</f>
      </c>
    </row>
    <row r="3186">
      <c r="A3186" s="116" t="s">
        <v>56</v>
      </c>
    </row>
    <row r="3187" customHeight="true" ht="12.75">
      <c r="A3187" s="14" t="s">
        <v>4</v>
      </c>
      <c r="B3187" s="10"/>
      <c r="C3187" s="10"/>
      <c r="D3187" s="10"/>
      <c r="E3187" s="10"/>
      <c r="F3187" s="10"/>
      <c r="G3187" s="10"/>
      <c r="H3187" s="10"/>
      <c r="I3187" s="10"/>
      <c r="J3187" s="10"/>
      <c r="K3187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H8:H9"/>
    <mergeCell ref="J2:K3"/>
    <mergeCell ref="J4:K5"/>
    <mergeCell ref="J6:K7"/>
    <mergeCell ref="J8:K9"/>
    <mergeCell ref="D10:E10"/>
    <mergeCell ref="D11:E11"/>
    <mergeCell ref="D12:E12"/>
    <mergeCell ref="D13:E13"/>
    <mergeCell ref="D14:E14"/>
    <mergeCell ref="D16:E16"/>
    <mergeCell ref="D18:E18"/>
    <mergeCell ref="D19:K19"/>
    <mergeCell ref="D21:E21"/>
    <mergeCell ref="D23:E23"/>
    <mergeCell ref="D24:E24"/>
    <mergeCell ref="D26:E26"/>
    <mergeCell ref="D27:E27"/>
    <mergeCell ref="D30:E30"/>
    <mergeCell ref="D33:E33"/>
    <mergeCell ref="D36:E36"/>
    <mergeCell ref="D37:E37"/>
    <mergeCell ref="D38:K38"/>
    <mergeCell ref="D48:E48"/>
    <mergeCell ref="D49:E49"/>
    <mergeCell ref="D50:E50"/>
    <mergeCell ref="D52:E52"/>
    <mergeCell ref="D54:E54"/>
    <mergeCell ref="D60:E60"/>
    <mergeCell ref="D61:E61"/>
    <mergeCell ref="D63:E63"/>
    <mergeCell ref="D65:E65"/>
    <mergeCell ref="D69:E69"/>
    <mergeCell ref="D70:E70"/>
    <mergeCell ref="D71:K71"/>
    <mergeCell ref="D79:E79"/>
    <mergeCell ref="D81:E81"/>
    <mergeCell ref="D82:E82"/>
    <mergeCell ref="D83:K83"/>
    <mergeCell ref="D85:E85"/>
    <mergeCell ref="D86:K86"/>
    <mergeCell ref="D89:E89"/>
    <mergeCell ref="D90:K90"/>
    <mergeCell ref="D93:E93"/>
    <mergeCell ref="D94:E94"/>
    <mergeCell ref="D95:K95"/>
    <mergeCell ref="D97:E97"/>
    <mergeCell ref="D98:E98"/>
    <mergeCell ref="D99:K99"/>
    <mergeCell ref="D109:E109"/>
    <mergeCell ref="D118:E118"/>
    <mergeCell ref="D127:E127"/>
    <mergeCell ref="D136:E136"/>
    <mergeCell ref="D137:K137"/>
    <mergeCell ref="D141:E141"/>
    <mergeCell ref="D142:K142"/>
    <mergeCell ref="D144:E144"/>
    <mergeCell ref="D145:K145"/>
    <mergeCell ref="D147:E147"/>
    <mergeCell ref="D148:K148"/>
    <mergeCell ref="D150:E150"/>
    <mergeCell ref="D151:K151"/>
    <mergeCell ref="D153:E153"/>
    <mergeCell ref="D154:K154"/>
    <mergeCell ref="D157:E157"/>
    <mergeCell ref="D159:E159"/>
    <mergeCell ref="D161:E161"/>
    <mergeCell ref="D162:K162"/>
    <mergeCell ref="D164:E164"/>
    <mergeCell ref="D165:K165"/>
    <mergeCell ref="D167:E167"/>
    <mergeCell ref="D168:K168"/>
    <mergeCell ref="D170:E170"/>
    <mergeCell ref="D171:E171"/>
    <mergeCell ref="D172:K172"/>
    <mergeCell ref="D176:E176"/>
    <mergeCell ref="D177:K177"/>
    <mergeCell ref="D181:E181"/>
    <mergeCell ref="D182:K182"/>
    <mergeCell ref="D184:E184"/>
    <mergeCell ref="D185:K185"/>
    <mergeCell ref="D201:E201"/>
    <mergeCell ref="D202:K202"/>
    <mergeCell ref="D205:E205"/>
    <mergeCell ref="D208:E208"/>
    <mergeCell ref="D211:E211"/>
    <mergeCell ref="D214:E214"/>
    <mergeCell ref="D217:E217"/>
    <mergeCell ref="D219:E219"/>
    <mergeCell ref="D222:E222"/>
    <mergeCell ref="D224:E224"/>
    <mergeCell ref="D226:E226"/>
    <mergeCell ref="D227:K227"/>
    <mergeCell ref="D229:E229"/>
    <mergeCell ref="D231:E231"/>
    <mergeCell ref="D232:K232"/>
    <mergeCell ref="D235:E235"/>
    <mergeCell ref="D238:E238"/>
    <mergeCell ref="D239:K239"/>
    <mergeCell ref="D241:E241"/>
    <mergeCell ref="D242:K242"/>
    <mergeCell ref="D246:E246"/>
    <mergeCell ref="D247:E247"/>
    <mergeCell ref="D249:E249"/>
    <mergeCell ref="D251:E251"/>
    <mergeCell ref="D253:E253"/>
    <mergeCell ref="D255:E255"/>
    <mergeCell ref="D257:E257"/>
    <mergeCell ref="D259:E259"/>
    <mergeCell ref="D260:K260"/>
    <mergeCell ref="D262:E262"/>
    <mergeCell ref="D263:E263"/>
    <mergeCell ref="D264:K264"/>
    <mergeCell ref="D269:E269"/>
    <mergeCell ref="D273:E273"/>
    <mergeCell ref="D277:E277"/>
    <mergeCell ref="D278:K278"/>
    <mergeCell ref="D281:E281"/>
    <mergeCell ref="D282:K282"/>
    <mergeCell ref="D285:E285"/>
    <mergeCell ref="D286:K286"/>
    <mergeCell ref="D290:E290"/>
    <mergeCell ref="D291:K291"/>
    <mergeCell ref="D293:E293"/>
    <mergeCell ref="D294:K294"/>
    <mergeCell ref="D298:E298"/>
    <mergeCell ref="D299:K299"/>
    <mergeCell ref="D305:E305"/>
    <mergeCell ref="D306:K306"/>
    <mergeCell ref="D311:E311"/>
    <mergeCell ref="D312:K312"/>
    <mergeCell ref="D314:E314"/>
    <mergeCell ref="D316:E316"/>
    <mergeCell ref="D317:K317"/>
    <mergeCell ref="D319:E319"/>
    <mergeCell ref="D324:E324"/>
    <mergeCell ref="D325:K325"/>
    <mergeCell ref="D328:E328"/>
    <mergeCell ref="D329:K329"/>
    <mergeCell ref="D331:E331"/>
    <mergeCell ref="D338:E338"/>
    <mergeCell ref="D339:K339"/>
    <mergeCell ref="D345:E345"/>
    <mergeCell ref="D346:K346"/>
    <mergeCell ref="D353:E353"/>
    <mergeCell ref="D354:K354"/>
    <mergeCell ref="D356:E356"/>
    <mergeCell ref="D357:K357"/>
    <mergeCell ref="D359:E359"/>
    <mergeCell ref="D360:K360"/>
    <mergeCell ref="D362:E362"/>
    <mergeCell ref="D363:E363"/>
    <mergeCell ref="D368:E368"/>
    <mergeCell ref="D372:E372"/>
    <mergeCell ref="D377:E377"/>
    <mergeCell ref="D382:E382"/>
    <mergeCell ref="D383:K383"/>
    <mergeCell ref="D388:E388"/>
    <mergeCell ref="D393:E393"/>
    <mergeCell ref="D394:K394"/>
    <mergeCell ref="D396:E396"/>
    <mergeCell ref="D397:K397"/>
    <mergeCell ref="D399:E399"/>
    <mergeCell ref="D406:E406"/>
    <mergeCell ref="D411:E411"/>
    <mergeCell ref="D418:E418"/>
    <mergeCell ref="D425:E425"/>
    <mergeCell ref="D430:E430"/>
    <mergeCell ref="D435:E435"/>
    <mergeCell ref="D438:E438"/>
    <mergeCell ref="D441:E441"/>
    <mergeCell ref="D442:K442"/>
    <mergeCell ref="D445:E445"/>
    <mergeCell ref="D446:K446"/>
    <mergeCell ref="D448:E448"/>
    <mergeCell ref="D449:K449"/>
    <mergeCell ref="D452:E452"/>
    <mergeCell ref="D454:E454"/>
    <mergeCell ref="D457:E457"/>
    <mergeCell ref="D459:E459"/>
    <mergeCell ref="D461:E461"/>
    <mergeCell ref="D475:E475"/>
    <mergeCell ref="D482:E482"/>
    <mergeCell ref="D487:E487"/>
    <mergeCell ref="D491:E491"/>
    <mergeCell ref="D492:K492"/>
    <mergeCell ref="D495:E495"/>
    <mergeCell ref="D496:K496"/>
    <mergeCell ref="D498:E498"/>
    <mergeCell ref="D499:K499"/>
    <mergeCell ref="D506:E506"/>
    <mergeCell ref="D508:E508"/>
    <mergeCell ref="D509:K509"/>
    <mergeCell ref="D511:E511"/>
    <mergeCell ref="D513:E513"/>
    <mergeCell ref="D515:E515"/>
    <mergeCell ref="D516:K516"/>
    <mergeCell ref="D518:E518"/>
    <mergeCell ref="D519:E519"/>
    <mergeCell ref="D520:K520"/>
    <mergeCell ref="D522:E522"/>
    <mergeCell ref="D523:E523"/>
    <mergeCell ref="D524:K524"/>
    <mergeCell ref="D530:E530"/>
    <mergeCell ref="D536:E536"/>
    <mergeCell ref="D540:E540"/>
    <mergeCell ref="D547:E547"/>
    <mergeCell ref="D548:K548"/>
    <mergeCell ref="D550:E550"/>
    <mergeCell ref="D551:E551"/>
    <mergeCell ref="D552:E552"/>
    <mergeCell ref="D576:E576"/>
    <mergeCell ref="D577:K577"/>
    <mergeCell ref="D580:E580"/>
    <mergeCell ref="D581:K581"/>
    <mergeCell ref="D583:E583"/>
    <mergeCell ref="D584:K584"/>
    <mergeCell ref="D593:E593"/>
    <mergeCell ref="D594:K594"/>
    <mergeCell ref="D596:E596"/>
    <mergeCell ref="D597:K597"/>
    <mergeCell ref="D605:E605"/>
    <mergeCell ref="D606:E606"/>
    <mergeCell ref="D607:K607"/>
    <mergeCell ref="D609:E609"/>
    <mergeCell ref="D615:E615"/>
    <mergeCell ref="D616:K616"/>
    <mergeCell ref="D626:E626"/>
    <mergeCell ref="D627:K627"/>
    <mergeCell ref="D629:E629"/>
    <mergeCell ref="D630:K630"/>
    <mergeCell ref="D636:E636"/>
    <mergeCell ref="D637:K637"/>
    <mergeCell ref="D645:E645"/>
    <mergeCell ref="D646:K646"/>
    <mergeCell ref="D657:E657"/>
    <mergeCell ref="D659:E659"/>
    <mergeCell ref="D660:K660"/>
    <mergeCell ref="D662:E662"/>
    <mergeCell ref="D663:K663"/>
    <mergeCell ref="D672:E672"/>
    <mergeCell ref="D673:K673"/>
    <mergeCell ref="D680:E680"/>
    <mergeCell ref="D681:K681"/>
    <mergeCell ref="D687:E687"/>
    <mergeCell ref="D688:K688"/>
    <mergeCell ref="D690:E690"/>
    <mergeCell ref="D698:E698"/>
    <mergeCell ref="D705:E705"/>
    <mergeCell ref="D706:E706"/>
    <mergeCell ref="D707:K707"/>
    <mergeCell ref="D709:E709"/>
    <mergeCell ref="D711:E711"/>
    <mergeCell ref="D712:K712"/>
    <mergeCell ref="D714:E714"/>
    <mergeCell ref="D715:K715"/>
    <mergeCell ref="D720:E720"/>
    <mergeCell ref="D725:E725"/>
    <mergeCell ref="D730:E730"/>
    <mergeCell ref="D735:E735"/>
    <mergeCell ref="D736:K736"/>
    <mergeCell ref="D738:E738"/>
    <mergeCell ref="D739:K739"/>
    <mergeCell ref="D742:E742"/>
    <mergeCell ref="D743:K743"/>
    <mergeCell ref="D746:E746"/>
    <mergeCell ref="D747:K747"/>
    <mergeCell ref="D749:E749"/>
    <mergeCell ref="D756:E756"/>
    <mergeCell ref="D757:E757"/>
    <mergeCell ref="D759:E759"/>
    <mergeCell ref="D761:E761"/>
    <mergeCell ref="D763:E763"/>
    <mergeCell ref="D765:E765"/>
    <mergeCell ref="D767:E767"/>
    <mergeCell ref="D769:E769"/>
    <mergeCell ref="D771:E771"/>
    <mergeCell ref="D772:E772"/>
    <mergeCell ref="D775:E775"/>
    <mergeCell ref="D777:E777"/>
    <mergeCell ref="D779:E779"/>
    <mergeCell ref="D780:E780"/>
    <mergeCell ref="D781:K781"/>
    <mergeCell ref="D788:E788"/>
    <mergeCell ref="D789:E789"/>
    <mergeCell ref="D790:K790"/>
    <mergeCell ref="D792:E792"/>
    <mergeCell ref="D793:K793"/>
    <mergeCell ref="D795:E795"/>
    <mergeCell ref="D796:E796"/>
    <mergeCell ref="D802:E802"/>
    <mergeCell ref="D803:E803"/>
    <mergeCell ref="D804:E804"/>
    <mergeCell ref="D811:E811"/>
    <mergeCell ref="D813:E813"/>
    <mergeCell ref="D815:E815"/>
    <mergeCell ref="D817:E817"/>
    <mergeCell ref="D819:E819"/>
    <mergeCell ref="D821:E821"/>
    <mergeCell ref="D823:E823"/>
    <mergeCell ref="D825:E825"/>
    <mergeCell ref="D826:K826"/>
    <mergeCell ref="D828:E828"/>
    <mergeCell ref="D829:K829"/>
    <mergeCell ref="D831:E831"/>
    <mergeCell ref="D832:K832"/>
    <mergeCell ref="D834:E834"/>
    <mergeCell ref="D835:E835"/>
    <mergeCell ref="D836:K836"/>
    <mergeCell ref="D838:E838"/>
    <mergeCell ref="D840:E840"/>
    <mergeCell ref="D842:E842"/>
    <mergeCell ref="D844:E844"/>
    <mergeCell ref="D845:K845"/>
    <mergeCell ref="D847:E847"/>
    <mergeCell ref="D852:E852"/>
    <mergeCell ref="D854:E854"/>
    <mergeCell ref="D855:E855"/>
    <mergeCell ref="D856:E856"/>
    <mergeCell ref="D858:E858"/>
    <mergeCell ref="D859:K859"/>
    <mergeCell ref="D861:E861"/>
    <mergeCell ref="D862:K862"/>
    <mergeCell ref="D867:E867"/>
    <mergeCell ref="D868:K868"/>
    <mergeCell ref="D871:E871"/>
    <mergeCell ref="D873:E873"/>
    <mergeCell ref="D875:E875"/>
    <mergeCell ref="D877:E877"/>
    <mergeCell ref="D880:E880"/>
    <mergeCell ref="D882:E882"/>
    <mergeCell ref="D885:E885"/>
    <mergeCell ref="D886:E886"/>
    <mergeCell ref="D888:E888"/>
    <mergeCell ref="D890:E890"/>
    <mergeCell ref="D894:E894"/>
    <mergeCell ref="D897:E897"/>
    <mergeCell ref="D898:K898"/>
    <mergeCell ref="D900:E900"/>
    <mergeCell ref="D901:E901"/>
    <mergeCell ref="D902:K902"/>
    <mergeCell ref="D908:E908"/>
    <mergeCell ref="D909:E909"/>
    <mergeCell ref="D911:E911"/>
    <mergeCell ref="D913:E913"/>
    <mergeCell ref="D914:E914"/>
    <mergeCell ref="D916:E916"/>
    <mergeCell ref="D917:E917"/>
    <mergeCell ref="D918:E918"/>
    <mergeCell ref="D920:E920"/>
    <mergeCell ref="D922:E922"/>
    <mergeCell ref="D923:E923"/>
    <mergeCell ref="D925:E925"/>
    <mergeCell ref="D926:E926"/>
    <mergeCell ref="D928:E928"/>
    <mergeCell ref="D930:E930"/>
    <mergeCell ref="D931:E931"/>
    <mergeCell ref="D932:K932"/>
    <mergeCell ref="D934:E934"/>
    <mergeCell ref="D935:K935"/>
    <mergeCell ref="D937:E937"/>
    <mergeCell ref="D940:E940"/>
    <mergeCell ref="D941:K941"/>
    <mergeCell ref="D949:E949"/>
    <mergeCell ref="D950:K950"/>
    <mergeCell ref="D958:E958"/>
    <mergeCell ref="D961:E961"/>
    <mergeCell ref="D962:K962"/>
    <mergeCell ref="D970:E970"/>
    <mergeCell ref="D971:E971"/>
    <mergeCell ref="D972:E972"/>
    <mergeCell ref="D973:E973"/>
    <mergeCell ref="D974:K974"/>
    <mergeCell ref="D976:E976"/>
    <mergeCell ref="D977:K977"/>
    <mergeCell ref="D979:E979"/>
    <mergeCell ref="D982:E982"/>
    <mergeCell ref="D983:K983"/>
    <mergeCell ref="D992:E992"/>
    <mergeCell ref="D1002:E1002"/>
    <mergeCell ref="D1003:K1003"/>
    <mergeCell ref="D1005:E1005"/>
    <mergeCell ref="D1008:E1008"/>
    <mergeCell ref="D1009:K1009"/>
    <mergeCell ref="D1012:E1012"/>
    <mergeCell ref="D1016:E1016"/>
    <mergeCell ref="D1017:K1017"/>
    <mergeCell ref="D1019:E1019"/>
    <mergeCell ref="D1020:K1020"/>
    <mergeCell ref="D1022:E1022"/>
    <mergeCell ref="D1023:K1023"/>
    <mergeCell ref="D1025:E1025"/>
    <mergeCell ref="D1026:K1026"/>
    <mergeCell ref="D1029:E1029"/>
    <mergeCell ref="D1030:K1030"/>
    <mergeCell ref="D1032:E1032"/>
    <mergeCell ref="D1034:E1034"/>
    <mergeCell ref="D1035:K1035"/>
    <mergeCell ref="D1037:E1037"/>
    <mergeCell ref="D1038:K1038"/>
    <mergeCell ref="D1040:E1040"/>
    <mergeCell ref="D1041:K1041"/>
    <mergeCell ref="D1043:E1043"/>
    <mergeCell ref="D1044:K1044"/>
    <mergeCell ref="D1046:E1046"/>
    <mergeCell ref="D1047:K1047"/>
    <mergeCell ref="D1049:E1049"/>
    <mergeCell ref="D1050:K1050"/>
    <mergeCell ref="D1052:E1052"/>
    <mergeCell ref="D1053:K1053"/>
    <mergeCell ref="D1055:E1055"/>
    <mergeCell ref="D1056:K1056"/>
    <mergeCell ref="D1058:E1058"/>
    <mergeCell ref="D1059:K1059"/>
    <mergeCell ref="D1061:E1061"/>
    <mergeCell ref="D1062:K1062"/>
    <mergeCell ref="D1064:E1064"/>
    <mergeCell ref="D1065:K1065"/>
    <mergeCell ref="D1067:E1067"/>
    <mergeCell ref="D1068:K1068"/>
    <mergeCell ref="D1071:E1071"/>
    <mergeCell ref="D1072:K1072"/>
    <mergeCell ref="D1075:E1075"/>
    <mergeCell ref="D1076:K1076"/>
    <mergeCell ref="D1080:E1080"/>
    <mergeCell ref="D1081:K1081"/>
    <mergeCell ref="D1086:E1086"/>
    <mergeCell ref="D1087:K1087"/>
    <mergeCell ref="D1089:E1089"/>
    <mergeCell ref="D1090:K1090"/>
    <mergeCell ref="D1092:E1092"/>
    <mergeCell ref="D1093:K1093"/>
    <mergeCell ref="D1103:E1103"/>
    <mergeCell ref="D1104:K1104"/>
    <mergeCell ref="D1106:E1106"/>
    <mergeCell ref="D1109:E1109"/>
    <mergeCell ref="D1110:E1110"/>
    <mergeCell ref="D1111:E1111"/>
    <mergeCell ref="D1112:E1112"/>
    <mergeCell ref="D1113:K1113"/>
    <mergeCell ref="D1117:E1117"/>
    <mergeCell ref="D1124:E1124"/>
    <mergeCell ref="D1125:K1125"/>
    <mergeCell ref="D1132:E1132"/>
    <mergeCell ref="D1133:K1133"/>
    <mergeCell ref="D1161:E1161"/>
    <mergeCell ref="D1165:E1165"/>
    <mergeCell ref="D1166:K1166"/>
    <mergeCell ref="D1169:E1169"/>
    <mergeCell ref="D1173:E1173"/>
    <mergeCell ref="D1176:E1176"/>
    <mergeCell ref="D1177:K1177"/>
    <mergeCell ref="D1179:E1179"/>
    <mergeCell ref="D1180:K1180"/>
    <mergeCell ref="D1183:E1183"/>
    <mergeCell ref="D1184:K1184"/>
    <mergeCell ref="D1186:E1186"/>
    <mergeCell ref="D1187:E1187"/>
    <mergeCell ref="D1188:E1188"/>
    <mergeCell ref="D1189:E1189"/>
    <mergeCell ref="D1190:K1190"/>
    <mergeCell ref="D1192:E1192"/>
    <mergeCell ref="D1193:K1193"/>
    <mergeCell ref="D1195:E1195"/>
    <mergeCell ref="D1196:K1196"/>
    <mergeCell ref="D1198:E1198"/>
    <mergeCell ref="D1199:E1199"/>
    <mergeCell ref="D1200:K1200"/>
    <mergeCell ref="D1202:E1202"/>
    <mergeCell ref="D1203:K1203"/>
    <mergeCell ref="D1205:E1205"/>
    <mergeCell ref="D1206:K1206"/>
    <mergeCell ref="D1208:E1208"/>
    <mergeCell ref="D1209:K1209"/>
    <mergeCell ref="D1211:E1211"/>
    <mergeCell ref="D1212:E1212"/>
    <mergeCell ref="D1213:E1213"/>
    <mergeCell ref="D1214:E1214"/>
    <mergeCell ref="D1215:K1215"/>
    <mergeCell ref="D1220:E1220"/>
    <mergeCell ref="D1221:E1221"/>
    <mergeCell ref="D1222:E1222"/>
    <mergeCell ref="D1228:E1228"/>
    <mergeCell ref="D1236:E1236"/>
    <mergeCell ref="D1239:E1239"/>
    <mergeCell ref="D1240:K1240"/>
    <mergeCell ref="D1241:E1241"/>
    <mergeCell ref="D1242:E1242"/>
    <mergeCell ref="D1243:E1243"/>
    <mergeCell ref="D1244:K1244"/>
    <mergeCell ref="D1246:E1246"/>
    <mergeCell ref="D1247:K1247"/>
    <mergeCell ref="D1252:E1252"/>
    <mergeCell ref="D1253:K1253"/>
    <mergeCell ref="D1255:E1255"/>
    <mergeCell ref="D1256:K1256"/>
    <mergeCell ref="D1258:E1258"/>
    <mergeCell ref="D1259:K1259"/>
    <mergeCell ref="D1261:E1261"/>
    <mergeCell ref="D1262:K1262"/>
    <mergeCell ref="D1264:E1264"/>
    <mergeCell ref="D1265:K1265"/>
    <mergeCell ref="D1267:E1267"/>
    <mergeCell ref="D1269:E1269"/>
    <mergeCell ref="D1271:E1271"/>
    <mergeCell ref="D1273:E1273"/>
    <mergeCell ref="D1274:K1274"/>
    <mergeCell ref="D1276:E1276"/>
    <mergeCell ref="D1277:K1277"/>
    <mergeCell ref="D1279:E1279"/>
    <mergeCell ref="D1280:K1280"/>
    <mergeCell ref="D1285:E1285"/>
    <mergeCell ref="D1286:K1286"/>
    <mergeCell ref="D1289:E1289"/>
    <mergeCell ref="D1290:K1290"/>
    <mergeCell ref="D1292:E1292"/>
    <mergeCell ref="D1293:K1293"/>
    <mergeCell ref="D1295:E1295"/>
    <mergeCell ref="D1297:E1297"/>
    <mergeCell ref="D1299:E1299"/>
    <mergeCell ref="D1301:E1301"/>
    <mergeCell ref="D1303:E1303"/>
    <mergeCell ref="D1305:E1305"/>
    <mergeCell ref="D1306:E1306"/>
    <mergeCell ref="D1307:E1307"/>
    <mergeCell ref="D1308:E1308"/>
    <mergeCell ref="D1309:E1309"/>
    <mergeCell ref="D1311:E1311"/>
    <mergeCell ref="D1314:E1314"/>
    <mergeCell ref="D1316:E1316"/>
    <mergeCell ref="D1318:E1318"/>
    <mergeCell ref="D1321:E1321"/>
    <mergeCell ref="D1324:E1324"/>
    <mergeCell ref="D1327:E1327"/>
    <mergeCell ref="D1329:E1329"/>
    <mergeCell ref="D1332:E1332"/>
    <mergeCell ref="D1334:E1334"/>
    <mergeCell ref="D1337:E1337"/>
    <mergeCell ref="D1338:K1338"/>
    <mergeCell ref="D1340:E1340"/>
    <mergeCell ref="D1342:E1342"/>
    <mergeCell ref="D1343:K1343"/>
    <mergeCell ref="D1345:E1345"/>
    <mergeCell ref="D1346:K1346"/>
    <mergeCell ref="D1348:E1348"/>
    <mergeCell ref="D1349:K1349"/>
    <mergeCell ref="D1351:E1351"/>
    <mergeCell ref="D1352:K1352"/>
    <mergeCell ref="D1354:E1354"/>
    <mergeCell ref="D1355:K1355"/>
    <mergeCell ref="D1357:E1357"/>
    <mergeCell ref="D1358:K1358"/>
    <mergeCell ref="D1360:E1360"/>
    <mergeCell ref="D1361:K1361"/>
    <mergeCell ref="D1363:E1363"/>
    <mergeCell ref="D1366:E1366"/>
    <mergeCell ref="D1368:E1368"/>
    <mergeCell ref="D1369:K1369"/>
    <mergeCell ref="D1372:E1372"/>
    <mergeCell ref="D1373:K1373"/>
    <mergeCell ref="D1375:E1375"/>
    <mergeCell ref="D1376:K1376"/>
    <mergeCell ref="D1378:E1378"/>
    <mergeCell ref="D1380:E1380"/>
    <mergeCell ref="D1381:K1381"/>
    <mergeCell ref="D1383:E1383"/>
    <mergeCell ref="D1384:K1384"/>
    <mergeCell ref="D1386:E1386"/>
    <mergeCell ref="D1387:E1387"/>
    <mergeCell ref="D1388:E1388"/>
    <mergeCell ref="D1389:E1389"/>
    <mergeCell ref="D1390:K1390"/>
    <mergeCell ref="D1392:E1392"/>
    <mergeCell ref="D1393:K1393"/>
    <mergeCell ref="D1395:E1395"/>
    <mergeCell ref="D1396:K1396"/>
    <mergeCell ref="D1398:E1398"/>
    <mergeCell ref="D1399:K1399"/>
    <mergeCell ref="D1401:E1401"/>
    <mergeCell ref="D1402:K1402"/>
    <mergeCell ref="D1404:E1404"/>
    <mergeCell ref="D1405:K1405"/>
    <mergeCell ref="D1407:E1407"/>
    <mergeCell ref="D1408:K1408"/>
    <mergeCell ref="D1410:E1410"/>
    <mergeCell ref="D1411:K1411"/>
    <mergeCell ref="D1413:E1413"/>
    <mergeCell ref="D1414:K1414"/>
    <mergeCell ref="D1416:E1416"/>
    <mergeCell ref="D1417:K1417"/>
    <mergeCell ref="D1419:E1419"/>
    <mergeCell ref="D1420:K1420"/>
    <mergeCell ref="D1422:E1422"/>
    <mergeCell ref="D1423:K1423"/>
    <mergeCell ref="D1425:E1425"/>
    <mergeCell ref="D1426:K1426"/>
    <mergeCell ref="D1428:E1428"/>
    <mergeCell ref="D1429:K1429"/>
    <mergeCell ref="D1431:E1431"/>
    <mergeCell ref="D1432:K1432"/>
    <mergeCell ref="D1434:E1434"/>
    <mergeCell ref="D1435:K1435"/>
    <mergeCell ref="D1437:E1437"/>
    <mergeCell ref="D1438:K1438"/>
    <mergeCell ref="D1440:E1440"/>
    <mergeCell ref="D1441:K1441"/>
    <mergeCell ref="D1443:E1443"/>
    <mergeCell ref="D1444:K1444"/>
    <mergeCell ref="D1446:E1446"/>
    <mergeCell ref="D1447:K1447"/>
    <mergeCell ref="D1449:E1449"/>
    <mergeCell ref="D1450:K1450"/>
    <mergeCell ref="D1452:E1452"/>
    <mergeCell ref="D1453:K1453"/>
    <mergeCell ref="D1455:E1455"/>
    <mergeCell ref="D1456:K1456"/>
    <mergeCell ref="D1458:E1458"/>
    <mergeCell ref="D1462:E1462"/>
    <mergeCell ref="D1463:K1463"/>
    <mergeCell ref="D1465:E1465"/>
    <mergeCell ref="D1467:E1467"/>
    <mergeCell ref="D1469:E1469"/>
    <mergeCell ref="D1470:K1470"/>
    <mergeCell ref="D1472:E1472"/>
    <mergeCell ref="D1473:K1473"/>
    <mergeCell ref="D1475:E1475"/>
    <mergeCell ref="D1477:E1477"/>
    <mergeCell ref="D1479:E1479"/>
    <mergeCell ref="D1480:K1480"/>
    <mergeCell ref="D1482:E1482"/>
    <mergeCell ref="D1484:E1484"/>
    <mergeCell ref="D1486:E1486"/>
    <mergeCell ref="D1487:K1487"/>
    <mergeCell ref="D1489:E1489"/>
    <mergeCell ref="D1490:K1490"/>
    <mergeCell ref="D1494:E1494"/>
    <mergeCell ref="D1498:E1498"/>
    <mergeCell ref="D1499:K1499"/>
    <mergeCell ref="D1501:E1501"/>
    <mergeCell ref="D1503:E1503"/>
    <mergeCell ref="D1504:K1504"/>
    <mergeCell ref="D1506:E1506"/>
    <mergeCell ref="D1508:E1508"/>
    <mergeCell ref="D1509:K1509"/>
    <mergeCell ref="D1511:E1511"/>
    <mergeCell ref="D1512:K1512"/>
    <mergeCell ref="D1514:E1514"/>
    <mergeCell ref="D1515:K1515"/>
    <mergeCell ref="D1517:E1517"/>
    <mergeCell ref="D1518:K1518"/>
    <mergeCell ref="D1521:E1521"/>
    <mergeCell ref="D1522:E1522"/>
    <mergeCell ref="D1523:E1523"/>
    <mergeCell ref="D1524:E1524"/>
    <mergeCell ref="D1527:E1527"/>
    <mergeCell ref="D1528:K1528"/>
    <mergeCell ref="D1531:E1531"/>
    <mergeCell ref="D1532:K1532"/>
    <mergeCell ref="D1535:E1535"/>
    <mergeCell ref="D1540:E1540"/>
    <mergeCell ref="D1541:K1541"/>
    <mergeCell ref="D1544:E1544"/>
    <mergeCell ref="D1548:E1548"/>
    <mergeCell ref="D1549:K1549"/>
    <mergeCell ref="D1552:E1552"/>
    <mergeCell ref="D1555:E1555"/>
    <mergeCell ref="D1560:E1560"/>
    <mergeCell ref="D1562:E1562"/>
    <mergeCell ref="D1564:E1564"/>
    <mergeCell ref="D1574:E1574"/>
    <mergeCell ref="D1577:E1577"/>
    <mergeCell ref="D1578:K1578"/>
    <mergeCell ref="D1582:E1582"/>
    <mergeCell ref="D1583:K1583"/>
    <mergeCell ref="D1586:E1586"/>
    <mergeCell ref="D1589:E1589"/>
    <mergeCell ref="D1590:K1590"/>
    <mergeCell ref="D1600:E1600"/>
    <mergeCell ref="D1603:E1603"/>
    <mergeCell ref="D1604:K1604"/>
    <mergeCell ref="D1606:E1606"/>
    <mergeCell ref="D1607:E1607"/>
    <mergeCell ref="D1608:E1608"/>
    <mergeCell ref="D1609:E1609"/>
    <mergeCell ref="D1611:E1611"/>
    <mergeCell ref="D1612:K1612"/>
    <mergeCell ref="D1614:E1614"/>
    <mergeCell ref="D1615:K1615"/>
    <mergeCell ref="D1617:E1617"/>
    <mergeCell ref="D1618:K1618"/>
    <mergeCell ref="D1620:E1620"/>
    <mergeCell ref="D1624:E1624"/>
    <mergeCell ref="D1631:E1631"/>
    <mergeCell ref="D1632:K1632"/>
    <mergeCell ref="D1639:E1639"/>
    <mergeCell ref="D1640:K1640"/>
    <mergeCell ref="D1648:E1648"/>
    <mergeCell ref="D1649:K1649"/>
    <mergeCell ref="D1652:E1652"/>
    <mergeCell ref="D1653:K1653"/>
    <mergeCell ref="D1655:E1655"/>
    <mergeCell ref="D1656:K1656"/>
    <mergeCell ref="D1658:E1658"/>
    <mergeCell ref="D1660:E1660"/>
    <mergeCell ref="D1662:E1662"/>
    <mergeCell ref="D1663:E1663"/>
    <mergeCell ref="D1664:E1664"/>
    <mergeCell ref="D1668:E1668"/>
    <mergeCell ref="D1669:K1669"/>
    <mergeCell ref="D1673:E1673"/>
    <mergeCell ref="D1674:K1674"/>
    <mergeCell ref="D1678:E1678"/>
    <mergeCell ref="D1684:E1684"/>
    <mergeCell ref="D1685:K1685"/>
    <mergeCell ref="D1689:E1689"/>
    <mergeCell ref="D1693:E1693"/>
    <mergeCell ref="D1694:K1694"/>
    <mergeCell ref="D1697:E1697"/>
    <mergeCell ref="D1705:E1705"/>
    <mergeCell ref="D1717:E1717"/>
    <mergeCell ref="D1730:E1730"/>
    <mergeCell ref="D1731:K1731"/>
    <mergeCell ref="D1733:E1733"/>
    <mergeCell ref="D1734:K1734"/>
    <mergeCell ref="D1736:E1736"/>
    <mergeCell ref="D1737:K1737"/>
    <mergeCell ref="D1739:E1739"/>
    <mergeCell ref="D1740:K1740"/>
    <mergeCell ref="D1742:E1742"/>
    <mergeCell ref="D1745:E1745"/>
    <mergeCell ref="D1746:K1746"/>
    <mergeCell ref="D1748:E1748"/>
    <mergeCell ref="D1749:K1749"/>
    <mergeCell ref="D1754:E1754"/>
    <mergeCell ref="D1755:E1755"/>
    <mergeCell ref="D1756:E1756"/>
    <mergeCell ref="D1757:E1757"/>
    <mergeCell ref="D1758:K1758"/>
    <mergeCell ref="D1759:E1759"/>
    <mergeCell ref="D1768:E1768"/>
    <mergeCell ref="D1769:K1769"/>
    <mergeCell ref="D1772:E1772"/>
    <mergeCell ref="D1778:E1778"/>
    <mergeCell ref="D1784:E1784"/>
    <mergeCell ref="D1786:E1786"/>
    <mergeCell ref="D1792:E1792"/>
    <mergeCell ref="D1799:E1799"/>
    <mergeCell ref="D1801:E1801"/>
    <mergeCell ref="D1831:E1831"/>
    <mergeCell ref="D1832:K1832"/>
    <mergeCell ref="D1841:E1841"/>
    <mergeCell ref="D1850:E1850"/>
    <mergeCell ref="D1851:K1851"/>
    <mergeCell ref="D1860:E1860"/>
    <mergeCell ref="D1861:K1861"/>
    <mergeCell ref="D1864:E1864"/>
    <mergeCell ref="D1865:K1865"/>
    <mergeCell ref="D1873:E1873"/>
    <mergeCell ref="D1874:K1874"/>
    <mergeCell ref="D1883:E1883"/>
    <mergeCell ref="D1884:E1884"/>
    <mergeCell ref="D1885:E1885"/>
    <mergeCell ref="D1886:E1886"/>
    <mergeCell ref="D1904:E1904"/>
    <mergeCell ref="D1905:K1905"/>
    <mergeCell ref="D1908:E1908"/>
    <mergeCell ref="D1909:K1909"/>
    <mergeCell ref="D1911:E1911"/>
    <mergeCell ref="D1912:E1912"/>
    <mergeCell ref="D1917:E1917"/>
    <mergeCell ref="D1918:K1918"/>
    <mergeCell ref="D1924:E1924"/>
    <mergeCell ref="D1925:E1925"/>
    <mergeCell ref="D1926:E1926"/>
    <mergeCell ref="D1927:K1927"/>
    <mergeCell ref="D1928:E1928"/>
    <mergeCell ref="D1929:K1929"/>
    <mergeCell ref="D1930:E1930"/>
    <mergeCell ref="D1931:K1931"/>
    <mergeCell ref="D1932:E1932"/>
    <mergeCell ref="D1933:E1933"/>
    <mergeCell ref="D1935:E1935"/>
    <mergeCell ref="D1936:E1936"/>
    <mergeCell ref="D1937:K1937"/>
    <mergeCell ref="D1939:E1939"/>
    <mergeCell ref="D1940:K1940"/>
    <mergeCell ref="D1941:E1941"/>
    <mergeCell ref="D1942:K1942"/>
    <mergeCell ref="D1943:E1943"/>
    <mergeCell ref="D1944:K1944"/>
    <mergeCell ref="D1946:E1946"/>
    <mergeCell ref="D1947:E1947"/>
    <mergeCell ref="D1948:E1948"/>
    <mergeCell ref="D1949:E1949"/>
    <mergeCell ref="D1950:E1950"/>
    <mergeCell ref="D1951:K1951"/>
    <mergeCell ref="D1953:E1953"/>
    <mergeCell ref="D1954:E1954"/>
    <mergeCell ref="D1955:K1955"/>
    <mergeCell ref="D1957:E1957"/>
    <mergeCell ref="D1958:E1958"/>
    <mergeCell ref="D1959:E1959"/>
    <mergeCell ref="D1960:K1960"/>
    <mergeCell ref="D1962:E1962"/>
    <mergeCell ref="D1964:E1964"/>
    <mergeCell ref="D1966:E1966"/>
    <mergeCell ref="D1967:E1967"/>
    <mergeCell ref="D1968:K1968"/>
    <mergeCell ref="D1970:E1970"/>
    <mergeCell ref="D1971:E1971"/>
    <mergeCell ref="D1974:E1974"/>
    <mergeCell ref="D1975:E1975"/>
    <mergeCell ref="D1977:E1977"/>
    <mergeCell ref="D1979:E1979"/>
    <mergeCell ref="D1981:E1981"/>
    <mergeCell ref="D1986:E1986"/>
    <mergeCell ref="D1988:E1988"/>
    <mergeCell ref="D1989:E1989"/>
    <mergeCell ref="D1993:E1993"/>
    <mergeCell ref="D1996:E1996"/>
    <mergeCell ref="D1998:E1998"/>
    <mergeCell ref="D2000:E2000"/>
    <mergeCell ref="D2002:E2002"/>
    <mergeCell ref="D2004:E2004"/>
    <mergeCell ref="D2006:E2006"/>
    <mergeCell ref="D2008:E2008"/>
    <mergeCell ref="D2010:E2010"/>
    <mergeCell ref="D2012:E2012"/>
    <mergeCell ref="D2014:E2014"/>
    <mergeCell ref="D2016:E2016"/>
    <mergeCell ref="D2018:E2018"/>
    <mergeCell ref="D2020:E2020"/>
    <mergeCell ref="D2022:E2022"/>
    <mergeCell ref="D2024:E2024"/>
    <mergeCell ref="D2025:E2025"/>
    <mergeCell ref="D2029:E2029"/>
    <mergeCell ref="D2036:E2036"/>
    <mergeCell ref="D2037:E2037"/>
    <mergeCell ref="D2039:E2039"/>
    <mergeCell ref="D2041:E2041"/>
    <mergeCell ref="D2042:K2042"/>
    <mergeCell ref="D2048:E2048"/>
    <mergeCell ref="D2049:E2049"/>
    <mergeCell ref="D2051:E2051"/>
    <mergeCell ref="D2052:E2052"/>
    <mergeCell ref="D2054:E2054"/>
    <mergeCell ref="D2056:E2056"/>
    <mergeCell ref="D2057:E2057"/>
    <mergeCell ref="D2058:K2058"/>
    <mergeCell ref="D2061:E2061"/>
    <mergeCell ref="D2062:E2062"/>
    <mergeCell ref="D2063:K2063"/>
    <mergeCell ref="D2065:E2065"/>
    <mergeCell ref="D2066:K2066"/>
    <mergeCell ref="D2068:E2068"/>
    <mergeCell ref="D2069:E2069"/>
    <mergeCell ref="D2070:K2070"/>
    <mergeCell ref="D2078:E2078"/>
    <mergeCell ref="D2080:E2080"/>
    <mergeCell ref="D2083:E2083"/>
    <mergeCell ref="D2087:E2087"/>
    <mergeCell ref="D2089:E2089"/>
    <mergeCell ref="D2090:K2090"/>
    <mergeCell ref="D2092:E2092"/>
    <mergeCell ref="D2093:E2093"/>
    <mergeCell ref="D2095:E2095"/>
    <mergeCell ref="D2096:E2096"/>
    <mergeCell ref="D2098:E2098"/>
    <mergeCell ref="D2100:E2100"/>
    <mergeCell ref="D2102:E2102"/>
    <mergeCell ref="D2104:E2104"/>
    <mergeCell ref="D2106:E2106"/>
    <mergeCell ref="D2108:E2108"/>
    <mergeCell ref="D2110:E2110"/>
    <mergeCell ref="D2111:E2111"/>
    <mergeCell ref="D2113:E2113"/>
    <mergeCell ref="D2115:E2115"/>
    <mergeCell ref="D2117:E2117"/>
    <mergeCell ref="D2119:E2119"/>
    <mergeCell ref="D2120:K2120"/>
    <mergeCell ref="D2122:E2122"/>
    <mergeCell ref="D2123:K2123"/>
    <mergeCell ref="D2125:E2125"/>
    <mergeCell ref="D2127:E2127"/>
    <mergeCell ref="D2129:E2129"/>
    <mergeCell ref="D2130:K2130"/>
    <mergeCell ref="D2132:E2132"/>
    <mergeCell ref="D2133:K2133"/>
    <mergeCell ref="D2135:E2135"/>
    <mergeCell ref="D2136:K2136"/>
    <mergeCell ref="D2138:E2138"/>
    <mergeCell ref="D2139:K2139"/>
    <mergeCell ref="D2141:E2141"/>
    <mergeCell ref="D2142:K2142"/>
    <mergeCell ref="D2144:E2144"/>
    <mergeCell ref="D2145:K2145"/>
    <mergeCell ref="D2148:E2148"/>
    <mergeCell ref="D2150:E2150"/>
    <mergeCell ref="D2151:E2151"/>
    <mergeCell ref="D2153:E2153"/>
    <mergeCell ref="D2154:E2154"/>
    <mergeCell ref="D2156:E2156"/>
    <mergeCell ref="D2157:E2157"/>
    <mergeCell ref="D2159:E2159"/>
    <mergeCell ref="D2161:E2161"/>
    <mergeCell ref="D2163:E2163"/>
    <mergeCell ref="D2164:E2164"/>
    <mergeCell ref="D2166:E2166"/>
    <mergeCell ref="D2167:E2167"/>
    <mergeCell ref="D2168:K2168"/>
    <mergeCell ref="D2170:E2170"/>
    <mergeCell ref="D2171:K2171"/>
    <mergeCell ref="D2173:E2173"/>
    <mergeCell ref="D2175:E2175"/>
    <mergeCell ref="D2176:E2176"/>
    <mergeCell ref="D2178:E2178"/>
    <mergeCell ref="D2180:E2180"/>
    <mergeCell ref="D2181:E2181"/>
    <mergeCell ref="D2183:E2183"/>
    <mergeCell ref="D2185:E2185"/>
    <mergeCell ref="D2187:E2187"/>
    <mergeCell ref="D2189:E2189"/>
    <mergeCell ref="D2191:E2191"/>
    <mergeCell ref="D2193:E2193"/>
    <mergeCell ref="D2195:E2195"/>
    <mergeCell ref="D2197:E2197"/>
    <mergeCell ref="D2199:E2199"/>
    <mergeCell ref="D2201:E2201"/>
    <mergeCell ref="D2203:E2203"/>
    <mergeCell ref="D2205:E2205"/>
    <mergeCell ref="D2206:K2206"/>
    <mergeCell ref="D2208:E2208"/>
    <mergeCell ref="D2209:K2209"/>
    <mergeCell ref="D2211:E2211"/>
    <mergeCell ref="D2213:E2213"/>
    <mergeCell ref="D2215:E2215"/>
    <mergeCell ref="D2217:E2217"/>
    <mergeCell ref="D2219:E2219"/>
    <mergeCell ref="D2221:E2221"/>
    <mergeCell ref="D2223:E2223"/>
    <mergeCell ref="D2225:E2225"/>
    <mergeCell ref="D2227:E2227"/>
    <mergeCell ref="D2229:E2229"/>
    <mergeCell ref="D2231:E2231"/>
    <mergeCell ref="D2233:E2233"/>
    <mergeCell ref="D2235:E2235"/>
    <mergeCell ref="D2236:K2236"/>
    <mergeCell ref="D2238:E2238"/>
    <mergeCell ref="D2239:K2239"/>
    <mergeCell ref="D2241:E2241"/>
    <mergeCell ref="D2242:K2242"/>
    <mergeCell ref="D2244:E2244"/>
    <mergeCell ref="D2245:K2245"/>
    <mergeCell ref="D2248:E2248"/>
    <mergeCell ref="D2250:E2250"/>
    <mergeCell ref="D2251:K2251"/>
    <mergeCell ref="D2253:E2253"/>
    <mergeCell ref="D2255:E2255"/>
    <mergeCell ref="D2257:E2257"/>
    <mergeCell ref="D2258:E2258"/>
    <mergeCell ref="D2260:E2260"/>
    <mergeCell ref="D2262:E2262"/>
    <mergeCell ref="D2264:E2264"/>
    <mergeCell ref="D2266:E2266"/>
    <mergeCell ref="D2267:K2267"/>
    <mergeCell ref="D2269:E2269"/>
    <mergeCell ref="D2270:K2270"/>
    <mergeCell ref="D2272:E2272"/>
    <mergeCell ref="D2273:K2273"/>
    <mergeCell ref="D2275:E2275"/>
    <mergeCell ref="D2276:K2276"/>
    <mergeCell ref="D2278:E2278"/>
    <mergeCell ref="D2279:K2279"/>
    <mergeCell ref="D2281:E2281"/>
    <mergeCell ref="D2282:K2282"/>
    <mergeCell ref="D2284:E2284"/>
    <mergeCell ref="D2285:K2285"/>
    <mergeCell ref="D2287:E2287"/>
    <mergeCell ref="D2288:K2288"/>
    <mergeCell ref="D2290:E2290"/>
    <mergeCell ref="D2291:K2291"/>
    <mergeCell ref="D2293:E2293"/>
    <mergeCell ref="D2294:K2294"/>
    <mergeCell ref="D2296:E2296"/>
    <mergeCell ref="D2297:K2297"/>
    <mergeCell ref="D2299:E2299"/>
    <mergeCell ref="D2300:K2300"/>
    <mergeCell ref="D2302:E2302"/>
    <mergeCell ref="D2303:K2303"/>
    <mergeCell ref="D2305:E2305"/>
    <mergeCell ref="D2306:K2306"/>
    <mergeCell ref="D2308:E2308"/>
    <mergeCell ref="D2309:K2309"/>
    <mergeCell ref="D2311:E2311"/>
    <mergeCell ref="D2312:K2312"/>
    <mergeCell ref="D2314:E2314"/>
    <mergeCell ref="D2315:K2315"/>
    <mergeCell ref="D2317:E2317"/>
    <mergeCell ref="D2318:K2318"/>
    <mergeCell ref="D2320:E2320"/>
    <mergeCell ref="D2321:K2321"/>
    <mergeCell ref="D2323:E2323"/>
    <mergeCell ref="D2325:E2325"/>
    <mergeCell ref="D2327:E2327"/>
    <mergeCell ref="D2329:E2329"/>
    <mergeCell ref="D2331:E2331"/>
    <mergeCell ref="D2333:E2333"/>
    <mergeCell ref="D2335:E2335"/>
    <mergeCell ref="D2337:E2337"/>
    <mergeCell ref="D2339:E2339"/>
    <mergeCell ref="D2341:E2341"/>
    <mergeCell ref="D2343:E2343"/>
    <mergeCell ref="D2345:E2345"/>
    <mergeCell ref="D2347:E2347"/>
    <mergeCell ref="D2349:E2349"/>
    <mergeCell ref="D2351:E2351"/>
    <mergeCell ref="D2353:E2353"/>
    <mergeCell ref="D2355:E2355"/>
    <mergeCell ref="D2357:E2357"/>
    <mergeCell ref="D2359:E2359"/>
    <mergeCell ref="D2361:E2361"/>
    <mergeCell ref="D2363:E2363"/>
    <mergeCell ref="D2365:E2365"/>
    <mergeCell ref="D2367:E2367"/>
    <mergeCell ref="D2369:E2369"/>
    <mergeCell ref="D2371:E2371"/>
    <mergeCell ref="D2373:E2373"/>
    <mergeCell ref="D2375:E2375"/>
    <mergeCell ref="D2377:E2377"/>
    <mergeCell ref="D2379:E2379"/>
    <mergeCell ref="D2381:E2381"/>
    <mergeCell ref="D2383:E2383"/>
    <mergeCell ref="D2385:E2385"/>
    <mergeCell ref="D2387:E2387"/>
    <mergeCell ref="D2389:E2389"/>
    <mergeCell ref="D2391:E2391"/>
    <mergeCell ref="D2393:E2393"/>
    <mergeCell ref="D2395:E2395"/>
    <mergeCell ref="D2397:E2397"/>
    <mergeCell ref="D2398:K2398"/>
    <mergeCell ref="D2400:E2400"/>
    <mergeCell ref="D2402:E2402"/>
    <mergeCell ref="D2404:E2404"/>
    <mergeCell ref="D2406:E2406"/>
    <mergeCell ref="D2408:E2408"/>
    <mergeCell ref="D2410:E2410"/>
    <mergeCell ref="D2412:E2412"/>
    <mergeCell ref="D2414:E2414"/>
    <mergeCell ref="D2416:E2416"/>
    <mergeCell ref="D2418:E2418"/>
    <mergeCell ref="D2420:E2420"/>
    <mergeCell ref="D2422:E2422"/>
    <mergeCell ref="D2423:E2423"/>
    <mergeCell ref="D2425:E2425"/>
    <mergeCell ref="D2426:E2426"/>
    <mergeCell ref="D2427:K2427"/>
    <mergeCell ref="D2429:E2429"/>
    <mergeCell ref="D2431:E2431"/>
    <mergeCell ref="D2432:K2432"/>
    <mergeCell ref="D2434:E2434"/>
    <mergeCell ref="D2435:K2435"/>
    <mergeCell ref="D2437:E2437"/>
    <mergeCell ref="D2438:K2438"/>
    <mergeCell ref="D2440:E2440"/>
    <mergeCell ref="D2442:E2442"/>
    <mergeCell ref="D2444:E2444"/>
    <mergeCell ref="D2445:K2445"/>
    <mergeCell ref="D2447:E2447"/>
    <mergeCell ref="D2449:E2449"/>
    <mergeCell ref="D2451:E2451"/>
    <mergeCell ref="D2452:K2452"/>
    <mergeCell ref="D2454:E2454"/>
    <mergeCell ref="D2455:E2455"/>
    <mergeCell ref="D2457:E2457"/>
    <mergeCell ref="D2458:E2458"/>
    <mergeCell ref="D2460:E2460"/>
    <mergeCell ref="D2461:E2461"/>
    <mergeCell ref="D2463:E2463"/>
    <mergeCell ref="D2464:E2464"/>
    <mergeCell ref="D2466:E2466"/>
    <mergeCell ref="D2467:E2467"/>
    <mergeCell ref="D2469:E2469"/>
    <mergeCell ref="D2470:E2470"/>
    <mergeCell ref="D2472:E2472"/>
    <mergeCell ref="D2474:E2474"/>
    <mergeCell ref="D2476:E2476"/>
    <mergeCell ref="D2478:E2478"/>
    <mergeCell ref="D2480:E2480"/>
    <mergeCell ref="D2483:E2483"/>
    <mergeCell ref="D2486:E2486"/>
    <mergeCell ref="D2489:E2489"/>
    <mergeCell ref="D2492:E2492"/>
    <mergeCell ref="D2495:E2495"/>
    <mergeCell ref="D2497:E2497"/>
    <mergeCell ref="D2499:E2499"/>
    <mergeCell ref="D2501:E2501"/>
    <mergeCell ref="D2503:E2503"/>
    <mergeCell ref="D2505:E2505"/>
    <mergeCell ref="D2507:E2507"/>
    <mergeCell ref="D2509:E2509"/>
    <mergeCell ref="D2511:E2511"/>
    <mergeCell ref="D2513:E2513"/>
    <mergeCell ref="D2515:E2515"/>
    <mergeCell ref="D2517:E2517"/>
    <mergeCell ref="D2519:E2519"/>
    <mergeCell ref="D2521:E2521"/>
    <mergeCell ref="D2523:E2523"/>
    <mergeCell ref="D2525:E2525"/>
    <mergeCell ref="D2527:E2527"/>
    <mergeCell ref="D2529:E2529"/>
    <mergeCell ref="D2531:E2531"/>
    <mergeCell ref="D2533:E2533"/>
    <mergeCell ref="D2534:E2534"/>
    <mergeCell ref="D2535:E2535"/>
    <mergeCell ref="D2537:E2537"/>
    <mergeCell ref="D2538:E2538"/>
    <mergeCell ref="D2539:E2539"/>
    <mergeCell ref="D2540:E2540"/>
    <mergeCell ref="D2541:E2541"/>
    <mergeCell ref="D2542:E2542"/>
    <mergeCell ref="D2548:E2548"/>
    <mergeCell ref="D2550:E2550"/>
    <mergeCell ref="D2551:E2551"/>
    <mergeCell ref="D2553:E2553"/>
    <mergeCell ref="D2554:E2554"/>
    <mergeCell ref="D2557:E2557"/>
    <mergeCell ref="D2560:E2560"/>
    <mergeCell ref="D2563:E2563"/>
    <mergeCell ref="D2564:E2564"/>
    <mergeCell ref="D2566:E2566"/>
    <mergeCell ref="D2568:E2568"/>
    <mergeCell ref="D2570:E2570"/>
    <mergeCell ref="D2572:E2572"/>
    <mergeCell ref="D2573:E2573"/>
    <mergeCell ref="D2574:E2574"/>
    <mergeCell ref="D2575:E2575"/>
    <mergeCell ref="D2576:E2576"/>
    <mergeCell ref="D2577:E2577"/>
    <mergeCell ref="D2578:E2578"/>
    <mergeCell ref="D2579:E2579"/>
    <mergeCell ref="D2580:E2580"/>
    <mergeCell ref="D2581:E2581"/>
    <mergeCell ref="D2582:E2582"/>
    <mergeCell ref="D2583:E2583"/>
    <mergeCell ref="D2584:E2584"/>
    <mergeCell ref="D2585:E2585"/>
    <mergeCell ref="D2586:E2586"/>
    <mergeCell ref="D2587:E2587"/>
    <mergeCell ref="D2588:E2588"/>
    <mergeCell ref="D2589:E2589"/>
    <mergeCell ref="D2590:E2590"/>
    <mergeCell ref="D2591:E2591"/>
    <mergeCell ref="D2592:E2592"/>
    <mergeCell ref="D2593:E2593"/>
    <mergeCell ref="D2594:E2594"/>
    <mergeCell ref="D2595:E2595"/>
    <mergeCell ref="D2596:E2596"/>
    <mergeCell ref="D2597:E2597"/>
    <mergeCell ref="D2598:E2598"/>
    <mergeCell ref="D2599:E2599"/>
    <mergeCell ref="D2600:E2600"/>
    <mergeCell ref="D2601:E2601"/>
    <mergeCell ref="D2602:E2602"/>
    <mergeCell ref="D2603:E2603"/>
    <mergeCell ref="D2604:E2604"/>
    <mergeCell ref="D2605:E2605"/>
    <mergeCell ref="D2606:E2606"/>
    <mergeCell ref="D2607:E2607"/>
    <mergeCell ref="D2608:E2608"/>
    <mergeCell ref="D2609:E2609"/>
    <mergeCell ref="D2610:E2610"/>
    <mergeCell ref="D2611:E2611"/>
    <mergeCell ref="D2612:E2612"/>
    <mergeCell ref="D2613:E2613"/>
    <mergeCell ref="D2614:E2614"/>
    <mergeCell ref="D2615:E2615"/>
    <mergeCell ref="D2616:E2616"/>
    <mergeCell ref="D2617:E2617"/>
    <mergeCell ref="D2618:E2618"/>
    <mergeCell ref="D2619:E2619"/>
    <mergeCell ref="D2620:E2620"/>
    <mergeCell ref="D2621:E2621"/>
    <mergeCell ref="D2622:E2622"/>
    <mergeCell ref="D2623:E2623"/>
    <mergeCell ref="D2626:E2626"/>
    <mergeCell ref="D2627:E2627"/>
    <mergeCell ref="D2628:E2628"/>
    <mergeCell ref="D2629:E2629"/>
    <mergeCell ref="D2630:E2630"/>
    <mergeCell ref="D2631:E2631"/>
    <mergeCell ref="D2632:E2632"/>
    <mergeCell ref="D2633:E2633"/>
    <mergeCell ref="D2634:E2634"/>
    <mergeCell ref="D2635:E2635"/>
    <mergeCell ref="D2636:E2636"/>
    <mergeCell ref="D2637:E2637"/>
    <mergeCell ref="D2638:E2638"/>
    <mergeCell ref="D2639:E2639"/>
    <mergeCell ref="D2640:E2640"/>
    <mergeCell ref="D2641:E2641"/>
    <mergeCell ref="D2642:E2642"/>
    <mergeCell ref="D2643:E2643"/>
    <mergeCell ref="D2644:E2644"/>
    <mergeCell ref="D2645:E2645"/>
    <mergeCell ref="D2646:E2646"/>
    <mergeCell ref="D2647:E2647"/>
    <mergeCell ref="D2648:E2648"/>
    <mergeCell ref="D2649:E2649"/>
    <mergeCell ref="D2650:E2650"/>
    <mergeCell ref="D2651:E2651"/>
    <mergeCell ref="D2652:E2652"/>
    <mergeCell ref="D2653:E2653"/>
    <mergeCell ref="D2654:E2654"/>
    <mergeCell ref="D2656:E2656"/>
    <mergeCell ref="D2657:E2657"/>
    <mergeCell ref="D2658:E2658"/>
    <mergeCell ref="D2659:E2659"/>
    <mergeCell ref="D2660:E2660"/>
    <mergeCell ref="D2661:E2661"/>
    <mergeCell ref="D2662:E2662"/>
    <mergeCell ref="D2663:E2663"/>
    <mergeCell ref="D2664:E2664"/>
    <mergeCell ref="D2665:E2665"/>
    <mergeCell ref="D2667:E2667"/>
    <mergeCell ref="D2672:E2672"/>
    <mergeCell ref="D2673:E2673"/>
    <mergeCell ref="D2674:E2674"/>
    <mergeCell ref="D2675:E2675"/>
    <mergeCell ref="D2678:E2678"/>
    <mergeCell ref="D2681:E2681"/>
    <mergeCell ref="D2684:E2684"/>
    <mergeCell ref="D2687:E2687"/>
    <mergeCell ref="D2688:E2688"/>
    <mergeCell ref="D2691:E2691"/>
    <mergeCell ref="D2692:E2692"/>
    <mergeCell ref="D2693:E2693"/>
    <mergeCell ref="D2694:E2694"/>
    <mergeCell ref="D2695:E2695"/>
    <mergeCell ref="D2696:E2696"/>
    <mergeCell ref="D2697:E2697"/>
    <mergeCell ref="D2698:E2698"/>
    <mergeCell ref="D2699:E2699"/>
    <mergeCell ref="D2700:E2700"/>
    <mergeCell ref="D2701:E2701"/>
    <mergeCell ref="D2702:E2702"/>
    <mergeCell ref="D2706:E2706"/>
    <mergeCell ref="D2707:E2707"/>
    <mergeCell ref="D2708:E2708"/>
    <mergeCell ref="D2709:E2709"/>
    <mergeCell ref="D2710:E2710"/>
    <mergeCell ref="D2711:E2711"/>
    <mergeCell ref="D2712:E2712"/>
    <mergeCell ref="D2713:E2713"/>
    <mergeCell ref="D2714:E2714"/>
    <mergeCell ref="D2715:E2715"/>
    <mergeCell ref="D2716:E2716"/>
    <mergeCell ref="D2717:E2717"/>
    <mergeCell ref="D2718:E2718"/>
    <mergeCell ref="D2719:E2719"/>
    <mergeCell ref="D2720:E2720"/>
    <mergeCell ref="D2721:E2721"/>
    <mergeCell ref="D2722:E2722"/>
    <mergeCell ref="D2723:E2723"/>
    <mergeCell ref="D2724:E2724"/>
    <mergeCell ref="D2725:E2725"/>
    <mergeCell ref="D2726:E2726"/>
    <mergeCell ref="D2727:E2727"/>
    <mergeCell ref="D2728:E2728"/>
    <mergeCell ref="D2729:E2729"/>
    <mergeCell ref="D2730:E2730"/>
    <mergeCell ref="D2731:E2731"/>
    <mergeCell ref="D2732:E2732"/>
    <mergeCell ref="D2733:E2733"/>
    <mergeCell ref="D2734:E2734"/>
    <mergeCell ref="D2735:E2735"/>
    <mergeCell ref="D2736:E2736"/>
    <mergeCell ref="D2737:E2737"/>
    <mergeCell ref="D2738:E2738"/>
    <mergeCell ref="D2739:E2739"/>
    <mergeCell ref="D2740:E2740"/>
    <mergeCell ref="D2745:E2745"/>
    <mergeCell ref="D2746:E2746"/>
    <mergeCell ref="D2747:E2747"/>
    <mergeCell ref="D2748:E2748"/>
    <mergeCell ref="D2749:E2749"/>
    <mergeCell ref="D2750:E2750"/>
    <mergeCell ref="D2751:E2751"/>
    <mergeCell ref="D2752:E2752"/>
    <mergeCell ref="D2753:E2753"/>
    <mergeCell ref="D2754:E2754"/>
    <mergeCell ref="D2755:E2755"/>
    <mergeCell ref="D2756:E2756"/>
    <mergeCell ref="D2757:E2757"/>
    <mergeCell ref="D2758:E2758"/>
    <mergeCell ref="D2759:E2759"/>
    <mergeCell ref="D2760:E2760"/>
    <mergeCell ref="D2761:E2761"/>
    <mergeCell ref="D2762:E2762"/>
    <mergeCell ref="D2763:E2763"/>
    <mergeCell ref="D2764:E2764"/>
    <mergeCell ref="D2765:E2765"/>
    <mergeCell ref="D2766:E2766"/>
    <mergeCell ref="D2767:E2767"/>
    <mergeCell ref="D2768:E2768"/>
    <mergeCell ref="D2769:E2769"/>
    <mergeCell ref="D2773:E2773"/>
    <mergeCell ref="D2774:E2774"/>
    <mergeCell ref="D2775:E2775"/>
    <mergeCell ref="D2776:E2776"/>
    <mergeCell ref="D2777:E2777"/>
    <mergeCell ref="D2778:E2778"/>
    <mergeCell ref="D2779:E2779"/>
    <mergeCell ref="D2780:E2780"/>
    <mergeCell ref="D2783:E2783"/>
    <mergeCell ref="D2784:E2784"/>
    <mergeCell ref="D2790:E2790"/>
    <mergeCell ref="D2795:E2795"/>
    <mergeCell ref="D2797:E2797"/>
    <mergeCell ref="D2801:E2801"/>
    <mergeCell ref="D2805:E2805"/>
    <mergeCell ref="D2813:E2813"/>
    <mergeCell ref="D2816:E2816"/>
    <mergeCell ref="D2817:E2817"/>
    <mergeCell ref="D2818:E2818"/>
    <mergeCell ref="D2819:E2819"/>
    <mergeCell ref="D2823:E2823"/>
    <mergeCell ref="D2825:E2825"/>
    <mergeCell ref="D2827:E2827"/>
    <mergeCell ref="D2829:E2829"/>
    <mergeCell ref="D2830:E2830"/>
    <mergeCell ref="D2831:E2831"/>
    <mergeCell ref="D2834:E2834"/>
    <mergeCell ref="D2835:E2835"/>
    <mergeCell ref="D2836:E2836"/>
    <mergeCell ref="D2837:E2837"/>
    <mergeCell ref="D2838:E2838"/>
    <mergeCell ref="D2839:K2839"/>
    <mergeCell ref="D2842:E2842"/>
    <mergeCell ref="D2843:E2843"/>
    <mergeCell ref="D2844:E2844"/>
    <mergeCell ref="D2845:E2845"/>
    <mergeCell ref="D2846:E2846"/>
    <mergeCell ref="D2847:E2847"/>
    <mergeCell ref="D2848:E2848"/>
    <mergeCell ref="D2849:E2849"/>
    <mergeCell ref="D2850:E2850"/>
    <mergeCell ref="D2851:E2851"/>
    <mergeCell ref="D2852:E2852"/>
    <mergeCell ref="D2853:E2853"/>
    <mergeCell ref="D2854:K2854"/>
    <mergeCell ref="D2857:E2857"/>
    <mergeCell ref="D2860:E2860"/>
    <mergeCell ref="D2861:E2861"/>
    <mergeCell ref="D2862:K2862"/>
    <mergeCell ref="D2863:E2863"/>
    <mergeCell ref="D2864:K2864"/>
    <mergeCell ref="D2865:E2865"/>
    <mergeCell ref="D2866:K2866"/>
    <mergeCell ref="D2868:E2868"/>
    <mergeCell ref="D2869:K2869"/>
    <mergeCell ref="D2871:E2871"/>
    <mergeCell ref="D2873:E2873"/>
    <mergeCell ref="D2874:E2874"/>
    <mergeCell ref="D2875:E2875"/>
    <mergeCell ref="D2876:E2876"/>
    <mergeCell ref="D2877:E2877"/>
    <mergeCell ref="D2878:K2878"/>
    <mergeCell ref="D2880:E2880"/>
    <mergeCell ref="D2881:K2881"/>
    <mergeCell ref="D2883:E2883"/>
    <mergeCell ref="D2884:K2884"/>
    <mergeCell ref="D2886:E2886"/>
    <mergeCell ref="D2887:K2887"/>
    <mergeCell ref="D2889:E2889"/>
    <mergeCell ref="D2890:E2890"/>
    <mergeCell ref="D2891:E2891"/>
    <mergeCell ref="D2892:E2892"/>
    <mergeCell ref="D2893:E2893"/>
    <mergeCell ref="D2894:E2894"/>
    <mergeCell ref="D2895:K2895"/>
    <mergeCell ref="D2896:E2896"/>
    <mergeCell ref="D2897:K2897"/>
    <mergeCell ref="D2898:E2898"/>
    <mergeCell ref="D2899:E2899"/>
    <mergeCell ref="D2900:E2900"/>
    <mergeCell ref="D2901:E2901"/>
    <mergeCell ref="D2902:E2902"/>
    <mergeCell ref="D2905:E2905"/>
    <mergeCell ref="D2908:E2908"/>
    <mergeCell ref="D2911:E2911"/>
    <mergeCell ref="D2912:K2912"/>
    <mergeCell ref="D2913:E2913"/>
    <mergeCell ref="D2914:K2914"/>
    <mergeCell ref="D2917:E2917"/>
    <mergeCell ref="D2918:E2918"/>
    <mergeCell ref="D2919:K2919"/>
    <mergeCell ref="D2920:E2920"/>
    <mergeCell ref="D2921:E2921"/>
    <mergeCell ref="D2922:E2922"/>
    <mergeCell ref="D2923:K2923"/>
    <mergeCell ref="D2925:E2925"/>
    <mergeCell ref="D2926:K2926"/>
    <mergeCell ref="D2927:E2927"/>
    <mergeCell ref="D2928:K2928"/>
    <mergeCell ref="D2930:E2930"/>
    <mergeCell ref="D2931:K2931"/>
    <mergeCell ref="D2932:E2932"/>
    <mergeCell ref="D2933:K2933"/>
    <mergeCell ref="D2934:E2934"/>
    <mergeCell ref="D2935:K2935"/>
    <mergeCell ref="D2936:E2936"/>
    <mergeCell ref="D2937:K2937"/>
    <mergeCell ref="D2938:E2938"/>
    <mergeCell ref="D2939:K2939"/>
    <mergeCell ref="D2940:E2940"/>
    <mergeCell ref="D2941:K2941"/>
    <mergeCell ref="D2942:E2942"/>
    <mergeCell ref="D2943:K2943"/>
    <mergeCell ref="D2945:E2945"/>
    <mergeCell ref="D2946:K2946"/>
    <mergeCell ref="D2948:E2948"/>
    <mergeCell ref="D2949:K2949"/>
    <mergeCell ref="D2951:E2951"/>
    <mergeCell ref="D2952:E2952"/>
    <mergeCell ref="D2953:E2953"/>
    <mergeCell ref="D2954:E2954"/>
    <mergeCell ref="D2955:E2955"/>
    <mergeCell ref="D2956:K2956"/>
    <mergeCell ref="D2958:E2958"/>
    <mergeCell ref="D2959:K2959"/>
    <mergeCell ref="D2961:E2961"/>
    <mergeCell ref="D2962:K2962"/>
    <mergeCell ref="D2964:E2964"/>
    <mergeCell ref="D2965:K2965"/>
    <mergeCell ref="D2967:E2967"/>
    <mergeCell ref="D2968:K2968"/>
    <mergeCell ref="D2970:E2970"/>
    <mergeCell ref="D2971:K2971"/>
    <mergeCell ref="D2973:E2973"/>
    <mergeCell ref="D2974:K2974"/>
    <mergeCell ref="D2975:E2975"/>
    <mergeCell ref="D2976:K2976"/>
    <mergeCell ref="D2978:E2978"/>
    <mergeCell ref="D2979:K2979"/>
    <mergeCell ref="D2981:E2981"/>
    <mergeCell ref="D2982:K2982"/>
    <mergeCell ref="D2984:E2984"/>
    <mergeCell ref="D2985:K2985"/>
    <mergeCell ref="D2987:E2987"/>
    <mergeCell ref="D2988:K2988"/>
    <mergeCell ref="D2990:E2990"/>
    <mergeCell ref="D2991:K2991"/>
    <mergeCell ref="D2993:E2993"/>
    <mergeCell ref="D2994:K2994"/>
    <mergeCell ref="D2996:E2996"/>
    <mergeCell ref="D2997:K2997"/>
    <mergeCell ref="D2999:E2999"/>
    <mergeCell ref="D3000:K3000"/>
    <mergeCell ref="D3002:E3002"/>
    <mergeCell ref="D3003:K3003"/>
    <mergeCell ref="D3005:E3005"/>
    <mergeCell ref="D3006:K3006"/>
    <mergeCell ref="D3008:E3008"/>
    <mergeCell ref="D3009:K3009"/>
    <mergeCell ref="D3010:E3010"/>
    <mergeCell ref="D3011:K3011"/>
    <mergeCell ref="D3012:E3012"/>
    <mergeCell ref="D3013:K3013"/>
    <mergeCell ref="D3014:E3014"/>
    <mergeCell ref="D3015:K3015"/>
    <mergeCell ref="D3016:E3016"/>
    <mergeCell ref="D3017:K3017"/>
    <mergeCell ref="D3018:E3018"/>
    <mergeCell ref="D3019:K3019"/>
    <mergeCell ref="D3020:E3020"/>
    <mergeCell ref="D3021:E3021"/>
    <mergeCell ref="D3022:E3022"/>
    <mergeCell ref="D3023:K3023"/>
    <mergeCell ref="D3025:E3025"/>
    <mergeCell ref="D3026:K3026"/>
    <mergeCell ref="D3028:E3028"/>
    <mergeCell ref="D3029:K3029"/>
    <mergeCell ref="D3030:E3030"/>
    <mergeCell ref="D3031:K3031"/>
    <mergeCell ref="D3032:E3032"/>
    <mergeCell ref="D3033:K3033"/>
    <mergeCell ref="D3034:E3034"/>
    <mergeCell ref="D3035:K3035"/>
    <mergeCell ref="D3036:E3036"/>
    <mergeCell ref="D3037:K3037"/>
    <mergeCell ref="D3038:E3038"/>
    <mergeCell ref="D3039:K3039"/>
    <mergeCell ref="D3040:E3040"/>
    <mergeCell ref="D3041:K3041"/>
    <mergeCell ref="D3042:E3042"/>
    <mergeCell ref="D3043:K3043"/>
    <mergeCell ref="D3044:E3044"/>
    <mergeCell ref="D3045:K3045"/>
    <mergeCell ref="D3048:E3048"/>
    <mergeCell ref="D3049:K3049"/>
    <mergeCell ref="D3052:E3052"/>
    <mergeCell ref="D3053:K3053"/>
    <mergeCell ref="D3056:E3056"/>
    <mergeCell ref="D3057:K3057"/>
    <mergeCell ref="D3060:E3060"/>
    <mergeCell ref="D3062:E3062"/>
    <mergeCell ref="D3065:E3065"/>
    <mergeCell ref="D3067:E3067"/>
    <mergeCell ref="D3069:E3069"/>
    <mergeCell ref="D3071:E3071"/>
    <mergeCell ref="D3073:E3073"/>
    <mergeCell ref="D3075:E3075"/>
    <mergeCell ref="D3076:E3076"/>
    <mergeCell ref="D3077:K3077"/>
    <mergeCell ref="D3079:E3079"/>
    <mergeCell ref="D3080:K3080"/>
    <mergeCell ref="D3082:E3082"/>
    <mergeCell ref="D3083:K3083"/>
    <mergeCell ref="D3085:E3085"/>
    <mergeCell ref="D3087:E3087"/>
    <mergeCell ref="D3088:K3088"/>
    <mergeCell ref="D3090:E3090"/>
    <mergeCell ref="D3092:E3092"/>
    <mergeCell ref="D3093:E3093"/>
    <mergeCell ref="D3094:K3094"/>
    <mergeCell ref="D3095:E3095"/>
    <mergeCell ref="D3096:K3096"/>
    <mergeCell ref="D3097:E3097"/>
    <mergeCell ref="D3098:K3098"/>
    <mergeCell ref="D3099:E3099"/>
    <mergeCell ref="D3100:K3100"/>
    <mergeCell ref="D3101:E3101"/>
    <mergeCell ref="D3102:K3102"/>
    <mergeCell ref="D3103:E3103"/>
    <mergeCell ref="D3104:K3104"/>
    <mergeCell ref="D3105:E3105"/>
    <mergeCell ref="D3106:K3106"/>
    <mergeCell ref="D3107:E3107"/>
    <mergeCell ref="D3108:K3108"/>
    <mergeCell ref="D3109:E3109"/>
    <mergeCell ref="D3110:K3110"/>
    <mergeCell ref="D3111:E3111"/>
    <mergeCell ref="D3112:K3112"/>
    <mergeCell ref="D3113:E3113"/>
    <mergeCell ref="D3114:K3114"/>
    <mergeCell ref="D3115:E3115"/>
    <mergeCell ref="D3117:E3117"/>
    <mergeCell ref="D3118:K3118"/>
    <mergeCell ref="D3119:E3119"/>
    <mergeCell ref="D3120:K3120"/>
    <mergeCell ref="D3121:E3121"/>
    <mergeCell ref="D3122:K3122"/>
    <mergeCell ref="D3123:E3123"/>
    <mergeCell ref="D3124:K3124"/>
    <mergeCell ref="D3125:E3125"/>
    <mergeCell ref="D3126:K3126"/>
    <mergeCell ref="D3127:E3127"/>
    <mergeCell ref="D3128:K3128"/>
    <mergeCell ref="D3129:E3129"/>
    <mergeCell ref="D3130:K3130"/>
    <mergeCell ref="D3131:E3131"/>
    <mergeCell ref="D3132:K3132"/>
    <mergeCell ref="D3133:E3133"/>
    <mergeCell ref="D3134:K3134"/>
    <mergeCell ref="D3135:E3135"/>
    <mergeCell ref="D3136:K3136"/>
    <mergeCell ref="D3137:E3137"/>
    <mergeCell ref="D3138:K3138"/>
    <mergeCell ref="D3139:E3139"/>
    <mergeCell ref="D3140:K3140"/>
    <mergeCell ref="D3141:E3141"/>
    <mergeCell ref="D3142:K3142"/>
    <mergeCell ref="D3143:E3143"/>
    <mergeCell ref="D3144:K3144"/>
    <mergeCell ref="D3145:E3145"/>
    <mergeCell ref="D3146:K3146"/>
    <mergeCell ref="D3148:E3148"/>
    <mergeCell ref="D3149:K3149"/>
    <mergeCell ref="D3150:E3150"/>
    <mergeCell ref="D3151:K3151"/>
    <mergeCell ref="D3152:E3152"/>
    <mergeCell ref="D3153:K3153"/>
    <mergeCell ref="D3154:E3154"/>
    <mergeCell ref="D3155:K3155"/>
    <mergeCell ref="D3157:E3157"/>
    <mergeCell ref="D3158:K3158"/>
    <mergeCell ref="D3160:E3160"/>
    <mergeCell ref="D3161:K3161"/>
    <mergeCell ref="D3163:E3163"/>
    <mergeCell ref="D3164:K3164"/>
    <mergeCell ref="D3166:E3166"/>
    <mergeCell ref="D3167:K3167"/>
    <mergeCell ref="D3168:E3168"/>
    <mergeCell ref="D3169:K3169"/>
    <mergeCell ref="D3170:E3170"/>
    <mergeCell ref="D3171:K3171"/>
    <mergeCell ref="D3172:E3172"/>
    <mergeCell ref="D3173:K3173"/>
    <mergeCell ref="D3174:E3174"/>
    <mergeCell ref="D3175:K3175"/>
    <mergeCell ref="D3176:E3176"/>
    <mergeCell ref="D3177:K3177"/>
    <mergeCell ref="D3178:E3178"/>
    <mergeCell ref="D3179:K3179"/>
    <mergeCell ref="D3180:E3180"/>
    <mergeCell ref="D3181:K3181"/>
    <mergeCell ref="D3182:E3182"/>
    <mergeCell ref="D3183:K3183"/>
    <mergeCell ref="D3184:E3184"/>
    <mergeCell ref="A3187:K3187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1959"/>
  <sheetViews>
    <sheetView workbookViewId="0" showZeros="true" showFormulas="false" showGridLines="true" showRowColHeaders="true">
      <pane topLeftCell="A12" state="frozen" activePane="bottomLeft" ySplit="11"/>
      <selection pane="bottomLeft" sqref="A1959:K1959" activeCell="A1959"/>
    </sheetView>
  </sheetViews>
  <sheetFormatPr defaultColWidth="12.140625" customHeight="true" defaultRowHeight="15"/>
  <cols>
    <col max="1" min="1" style="0" width="3.140625" customWidth="true"/>
    <col max="2" min="2" style="0" width="7.5703125" customWidth="true"/>
    <col max="3" min="3" style="0" width="17.85546875" customWidth="true"/>
    <col max="4" min="4" style="0" width="42.85546875" customWidth="true"/>
    <col max="5" min="5" style="0" width="35.7109375" customWidth="true"/>
    <col max="6" min="6" style="0" width="7.42578125" customWidth="true"/>
    <col max="7" min="7" style="0" width="12.85546875" customWidth="true"/>
    <col max="8" min="8" style="0" width="12" customWidth="true"/>
    <col max="9" min="9" style="0" width="15.7109375" customWidth="true"/>
    <col max="10" min="10" style="0" width="13.42578125" customWidth="true"/>
    <col max="11" min="11" style="0" width="12.140625"/>
    <col max="75" min="25" style="0" width="12.140625" hidden="true"/>
    <col max="76" min="76" style="0" width="78.5703125" customWidth="true" hidden="true"/>
    <col max="78" min="77" style="0" width="12.140625" hidden="true"/>
  </cols>
  <sheetData>
    <row r="1" customHeight="true" ht="54.75">
      <c r="A1" s="2" t="s">
        <v>5088</v>
      </c>
      <c r="B1" s="2"/>
      <c r="C1" s="2"/>
      <c r="D1" s="2"/>
      <c r="E1" s="2"/>
      <c r="F1" s="2"/>
      <c r="G1" s="2"/>
      <c r="H1" s="2"/>
      <c r="I1" s="2"/>
      <c r="J1" s="2"/>
      <c r="K1" s="2"/>
      <c r="AS1" s="117">
        <f>SUM(AJ1:AJ2)</f>
      </c>
      <c r="AT1" s="117">
        <f>SUM(AK1:AK2)</f>
      </c>
      <c r="AU1" s="117">
        <f>SUM(AL1:AL2)</f>
      </c>
    </row>
    <row r="2">
      <c r="A2" s="3" t="s">
        <v>1</v>
      </c>
      <c r="B2" s="4"/>
      <c r="C2" s="4"/>
      <c r="D2" s="5">
        <f>'Stavební rozpočet'!D2</f>
      </c>
      <c r="E2" s="6"/>
      <c r="F2" s="4" t="s">
        <v>77</v>
      </c>
      <c r="G2" s="4"/>
      <c r="H2" s="7">
        <f>'Stavební rozpočet'!H2</f>
      </c>
      <c r="I2" s="7" t="s">
        <v>2</v>
      </c>
      <c r="J2" s="7">
        <f>'Stavební rozpočet'!J2</f>
      </c>
      <c r="K2" s="8"/>
    </row>
    <row r="3">
      <c r="A3" s="9"/>
      <c r="B3" s="10"/>
      <c r="C3" s="10"/>
      <c r="D3" s="11"/>
      <c r="E3" s="11"/>
      <c r="F3" s="10"/>
      <c r="G3" s="10"/>
      <c r="H3" s="10"/>
      <c r="I3" s="10"/>
      <c r="J3" s="10"/>
      <c r="K3" s="12"/>
    </row>
    <row r="4">
      <c r="A4" s="13" t="s">
        <v>5</v>
      </c>
      <c r="B4" s="10"/>
      <c r="C4" s="10"/>
      <c r="D4" s="14">
        <f>'Stavební rozpočet'!D4</f>
      </c>
      <c r="E4" s="10"/>
      <c r="F4" s="10" t="s">
        <v>9</v>
      </c>
      <c r="G4" s="10"/>
      <c r="H4" s="14">
        <f>'Stavební rozpočet'!H4</f>
      </c>
      <c r="I4" s="14" t="s">
        <v>6</v>
      </c>
      <c r="J4" s="14">
        <f>'Stavební rozpočet'!J4</f>
      </c>
      <c r="K4" s="12"/>
    </row>
    <row r="5">
      <c r="A5" s="9"/>
      <c r="B5" s="10"/>
      <c r="C5" s="10"/>
      <c r="D5" s="10"/>
      <c r="E5" s="10"/>
      <c r="F5" s="10"/>
      <c r="G5" s="10"/>
      <c r="H5" s="10"/>
      <c r="I5" s="10"/>
      <c r="J5" s="10"/>
      <c r="K5" s="12"/>
    </row>
    <row r="6">
      <c r="A6" s="13" t="s">
        <v>7</v>
      </c>
      <c r="B6" s="10"/>
      <c r="C6" s="10"/>
      <c r="D6" s="14">
        <f>'Stavební rozpočet'!D6</f>
      </c>
      <c r="E6" s="10"/>
      <c r="F6" s="10" t="s">
        <v>10</v>
      </c>
      <c r="G6" s="10"/>
      <c r="H6" s="14">
        <f>'Stavební rozpočet'!H6</f>
      </c>
      <c r="I6" s="14" t="s">
        <v>8</v>
      </c>
      <c r="J6" s="14">
        <f>'Stavební rozpočet'!J6</f>
      </c>
      <c r="K6" s="12"/>
    </row>
    <row r="7">
      <c r="A7" s="9"/>
      <c r="B7" s="10"/>
      <c r="C7" s="10"/>
      <c r="D7" s="10"/>
      <c r="E7" s="10"/>
      <c r="F7" s="10"/>
      <c r="G7" s="10"/>
      <c r="H7" s="10"/>
      <c r="I7" s="10"/>
      <c r="J7" s="10"/>
      <c r="K7" s="12"/>
    </row>
    <row r="8">
      <c r="A8" s="13" t="s">
        <v>12</v>
      </c>
      <c r="B8" s="10"/>
      <c r="C8" s="10"/>
      <c r="D8" s="14">
        <f>'Stavební rozpočet'!D8</f>
      </c>
      <c r="E8" s="10"/>
      <c r="F8" s="10" t="s">
        <v>78</v>
      </c>
      <c r="G8" s="10"/>
      <c r="H8" s="14">
        <f>'Stavební rozpočet'!H8</f>
      </c>
      <c r="I8" s="14" t="s">
        <v>13</v>
      </c>
      <c r="J8" s="14">
        <f>'Stavební rozpočet'!J8</f>
      </c>
      <c r="K8" s="12"/>
    </row>
    <row r="9">
      <c r="A9" s="94"/>
      <c r="B9" s="95"/>
      <c r="C9" s="95"/>
      <c r="D9" s="95"/>
      <c r="E9" s="95"/>
      <c r="F9" s="95"/>
      <c r="G9" s="95"/>
      <c r="H9" s="95"/>
      <c r="I9" s="95"/>
      <c r="J9" s="95"/>
      <c r="K9" s="19"/>
    </row>
    <row r="10">
      <c r="A10" s="124" t="s">
        <v>103</v>
      </c>
      <c r="B10" s="125" t="s">
        <v>81</v>
      </c>
      <c r="C10" s="125" t="s">
        <v>104</v>
      </c>
      <c r="D10" s="126" t="s">
        <v>105</v>
      </c>
      <c r="E10" s="127"/>
      <c r="F10" s="125" t="s">
        <v>106</v>
      </c>
      <c r="G10" s="128" t="s">
        <v>107</v>
      </c>
      <c r="H10" s="169" t="s">
        <v>108</v>
      </c>
      <c r="I10" s="101" t="s">
        <v>80</v>
      </c>
      <c r="J10" s="130" t="s">
        <v>109</v>
      </c>
      <c r="K10" s="131"/>
      <c r="BK10" s="132" t="s">
        <v>110</v>
      </c>
      <c r="BL10" s="133" t="s">
        <v>111</v>
      </c>
      <c r="BW10" s="133" t="s">
        <v>112</v>
      </c>
    </row>
    <row r="11">
      <c r="A11" s="134" t="s">
        <v>79</v>
      </c>
      <c r="B11" s="135" t="s">
        <v>79</v>
      </c>
      <c r="C11" s="135" t="s">
        <v>79</v>
      </c>
      <c r="D11" s="103" t="s">
        <v>113</v>
      </c>
      <c r="E11" s="105"/>
      <c r="F11" s="135" t="s">
        <v>79</v>
      </c>
      <c r="G11" s="135" t="s">
        <v>79</v>
      </c>
      <c r="H11" s="170" t="s">
        <v>114</v>
      </c>
      <c r="I11" s="106" t="s">
        <v>83</v>
      </c>
      <c r="J11" s="137" t="s">
        <v>115</v>
      </c>
      <c r="K11" s="138"/>
      <c r="Z11" s="132" t="s">
        <v>116</v>
      </c>
      <c r="AA11" s="132" t="s">
        <v>117</v>
      </c>
      <c r="AB11" s="132" t="s">
        <v>118</v>
      </c>
      <c r="AC11" s="132" t="s">
        <v>119</v>
      </c>
      <c r="AD11" s="132" t="s">
        <v>120</v>
      </c>
      <c r="AE11" s="132" t="s">
        <v>121</v>
      </c>
      <c r="AF11" s="132" t="s">
        <v>122</v>
      </c>
      <c r="AG11" s="132" t="s">
        <v>123</v>
      </c>
      <c r="AH11" s="132" t="s">
        <v>124</v>
      </c>
      <c r="BH11" s="132" t="s">
        <v>125</v>
      </c>
      <c r="BI11" s="132" t="s">
        <v>126</v>
      </c>
      <c r="BJ11" s="132" t="s">
        <v>127</v>
      </c>
    </row>
    <row r="12">
      <c r="A12" s="139" t="s">
        <v>4</v>
      </c>
      <c r="B12" s="140" t="s">
        <v>84</v>
      </c>
      <c r="C12" s="140" t="s">
        <v>4</v>
      </c>
      <c r="D12" s="141" t="s">
        <v>85</v>
      </c>
      <c r="E12" s="140"/>
      <c r="F12" s="142" t="s">
        <v>79</v>
      </c>
      <c r="G12" s="142" t="s">
        <v>79</v>
      </c>
      <c r="H12" s="142" t="s">
        <v>79</v>
      </c>
      <c r="I12" s="144">
        <f>I13+I23+I26+I49+I69+I81+I93+I97+I170+I246+I262+I362+I518+I522+I551+I605+I705+I756+I771+I779+I788+I795+I834+I855+I885+I900+I908+I930+I972+I1111+I1188+I1198+I1213+I1221+I1242+I1307+I1388+I1523+I1608+I1663+I1756+I1885+I1911+I1925+I1932+I1935+I1946+I1948+I1953</f>
      </c>
      <c r="J12" s="145" t="s">
        <v>4</v>
      </c>
      <c r="K12" s="146"/>
    </row>
    <row r="13">
      <c r="A13" s="147" t="s">
        <v>4</v>
      </c>
      <c r="B13" s="148" t="s">
        <v>84</v>
      </c>
      <c r="C13" s="148" t="s">
        <v>128</v>
      </c>
      <c r="D13" s="149" t="s">
        <v>129</v>
      </c>
      <c r="E13" s="148"/>
      <c r="F13" s="150" t="s">
        <v>79</v>
      </c>
      <c r="G13" s="150" t="s">
        <v>79</v>
      </c>
      <c r="H13" s="150" t="s">
        <v>79</v>
      </c>
      <c r="I13" s="117">
        <f>SUM(I14:I21)</f>
      </c>
      <c r="J13" s="132" t="s">
        <v>4</v>
      </c>
      <c r="K13" s="146"/>
      <c r="AI13" s="132" t="s">
        <v>84</v>
      </c>
      <c r="AS13" s="117">
        <f>SUM(AJ14:AJ21)</f>
      </c>
      <c r="AT13" s="117">
        <f>SUM(AK14:AK21)</f>
      </c>
      <c r="AU13" s="117">
        <f>SUM(AL14:AL21)</f>
      </c>
    </row>
    <row r="14">
      <c r="A14" s="9" t="s">
        <v>130</v>
      </c>
      <c r="B14" s="10" t="s">
        <v>84</v>
      </c>
      <c r="C14" s="10" t="s">
        <v>131</v>
      </c>
      <c r="D14" s="14" t="s">
        <v>132</v>
      </c>
      <c r="E14" s="10"/>
      <c r="F14" s="10" t="s">
        <v>133</v>
      </c>
      <c r="G14" s="111">
        <f>'Stavební rozpočet'!G14</f>
      </c>
      <c r="H14" s="111">
        <f>'Stavební rozpočet'!H14</f>
      </c>
      <c r="I14" s="111">
        <f>G14*H14</f>
      </c>
      <c r="J14" s="153" t="s">
        <v>134</v>
      </c>
      <c r="K14" s="146"/>
      <c r="Z14" s="111">
        <f>IF(AQ14="5",BJ14,0)</f>
      </c>
      <c r="AB14" s="111">
        <f>IF(AQ14="1",BH14,0)</f>
      </c>
      <c r="AC14" s="111">
        <f>IF(AQ14="1",BI14,0)</f>
      </c>
      <c r="AD14" s="111">
        <f>IF(AQ14="7",BH14,0)</f>
      </c>
      <c r="AE14" s="111">
        <f>IF(AQ14="7",BI14,0)</f>
      </c>
      <c r="AF14" s="111">
        <f>IF(AQ14="2",BH14,0)</f>
      </c>
      <c r="AG14" s="111">
        <f>IF(AQ14="2",BI14,0)</f>
      </c>
      <c r="AH14" s="111">
        <f>IF(AQ14="0",BJ14,0)</f>
      </c>
      <c r="AI14" s="132" t="s">
        <v>84</v>
      </c>
      <c r="AJ14" s="111">
        <f>IF(AN14=0,I14,0)</f>
      </c>
      <c r="AK14" s="111">
        <f>IF(AN14=12,I14,0)</f>
      </c>
      <c r="AL14" s="111">
        <f>IF(AN14=21,I14,0)</f>
      </c>
      <c r="AN14" s="111" t="n">
        <v>21</v>
      </c>
      <c r="AO14" s="111">
        <f>H14*0</f>
      </c>
      <c r="AP14" s="111">
        <f>H14*(1-0)</f>
      </c>
      <c r="AQ14" s="153" t="s">
        <v>130</v>
      </c>
      <c r="AV14" s="111">
        <f>AW14+AX14</f>
      </c>
      <c r="AW14" s="111">
        <f>G14*AO14</f>
      </c>
      <c r="AX14" s="111">
        <f>G14*AP14</f>
      </c>
      <c r="AY14" s="153" t="s">
        <v>135</v>
      </c>
      <c r="AZ14" s="153" t="s">
        <v>136</v>
      </c>
      <c r="BA14" s="132" t="s">
        <v>137</v>
      </c>
      <c r="BC14" s="111">
        <f>AW14+AX14</f>
      </c>
      <c r="BD14" s="111">
        <f>H14/(100-BE14)*100</f>
      </c>
      <c r="BE14" s="111" t="n">
        <v>0</v>
      </c>
      <c r="BF14" s="111">
        <f>14</f>
      </c>
      <c r="BH14" s="111">
        <f>G14*AO14</f>
      </c>
      <c r="BI14" s="111">
        <f>G14*AP14</f>
      </c>
      <c r="BJ14" s="111">
        <f>G14*H14</f>
      </c>
      <c r="BK14" s="111"/>
      <c r="BL14" s="111" t="n">
        <v>11</v>
      </c>
      <c r="BW14" s="111" t="n">
        <v>21</v>
      </c>
      <c r="BX14" s="14" t="s">
        <v>132</v>
      </c>
    </row>
    <row r="15">
      <c r="A15" s="154"/>
      <c r="B15" s="155"/>
      <c r="C15" s="155"/>
      <c r="D15" s="156" t="s">
        <v>138</v>
      </c>
      <c r="E15" s="156" t="s">
        <v>139</v>
      </c>
      <c r="F15" s="155"/>
      <c r="G15" s="157" t="n">
        <v>3</v>
      </c>
      <c r="H15" s="155"/>
      <c r="I15" s="155"/>
      <c r="J15" s="155"/>
      <c r="K15" s="146"/>
    </row>
    <row r="16">
      <c r="A16" s="9" t="s">
        <v>140</v>
      </c>
      <c r="B16" s="10" t="s">
        <v>84</v>
      </c>
      <c r="C16" s="10" t="s">
        <v>141</v>
      </c>
      <c r="D16" s="14" t="s">
        <v>142</v>
      </c>
      <c r="E16" s="10"/>
      <c r="F16" s="10" t="s">
        <v>133</v>
      </c>
      <c r="G16" s="111">
        <f>'Stavební rozpočet'!G16</f>
      </c>
      <c r="H16" s="111">
        <f>'Stavební rozpočet'!H16</f>
      </c>
      <c r="I16" s="111">
        <f>G16*H16</f>
      </c>
      <c r="J16" s="153" t="s">
        <v>134</v>
      </c>
      <c r="K16" s="146"/>
      <c r="Z16" s="111">
        <f>IF(AQ16="5",BJ16,0)</f>
      </c>
      <c r="AB16" s="111">
        <f>IF(AQ16="1",BH16,0)</f>
      </c>
      <c r="AC16" s="111">
        <f>IF(AQ16="1",BI16,0)</f>
      </c>
      <c r="AD16" s="111">
        <f>IF(AQ16="7",BH16,0)</f>
      </c>
      <c r="AE16" s="111">
        <f>IF(AQ16="7",BI16,0)</f>
      </c>
      <c r="AF16" s="111">
        <f>IF(AQ16="2",BH16,0)</f>
      </c>
      <c r="AG16" s="111">
        <f>IF(AQ16="2",BI16,0)</f>
      </c>
      <c r="AH16" s="111">
        <f>IF(AQ16="0",BJ16,0)</f>
      </c>
      <c r="AI16" s="132" t="s">
        <v>84</v>
      </c>
      <c r="AJ16" s="111">
        <f>IF(AN16=0,I16,0)</f>
      </c>
      <c r="AK16" s="111">
        <f>IF(AN16=12,I16,0)</f>
      </c>
      <c r="AL16" s="111">
        <f>IF(AN16=21,I16,0)</f>
      </c>
      <c r="AN16" s="111" t="n">
        <v>21</v>
      </c>
      <c r="AO16" s="111">
        <f>H16*0</f>
      </c>
      <c r="AP16" s="111">
        <f>H16*(1-0)</f>
      </c>
      <c r="AQ16" s="153" t="s">
        <v>130</v>
      </c>
      <c r="AV16" s="111">
        <f>AW16+AX16</f>
      </c>
      <c r="AW16" s="111">
        <f>G16*AO16</f>
      </c>
      <c r="AX16" s="111">
        <f>G16*AP16</f>
      </c>
      <c r="AY16" s="153" t="s">
        <v>135</v>
      </c>
      <c r="AZ16" s="153" t="s">
        <v>136</v>
      </c>
      <c r="BA16" s="132" t="s">
        <v>137</v>
      </c>
      <c r="BC16" s="111">
        <f>AW16+AX16</f>
      </c>
      <c r="BD16" s="111">
        <f>H16/(100-BE16)*100</f>
      </c>
      <c r="BE16" s="111" t="n">
        <v>0</v>
      </c>
      <c r="BF16" s="111">
        <f>16</f>
      </c>
      <c r="BH16" s="111">
        <f>G16*AO16</f>
      </c>
      <c r="BI16" s="111">
        <f>G16*AP16</f>
      </c>
      <c r="BJ16" s="111">
        <f>G16*H16</f>
      </c>
      <c r="BK16" s="111"/>
      <c r="BL16" s="111" t="n">
        <v>11</v>
      </c>
      <c r="BW16" s="111" t="n">
        <v>21</v>
      </c>
      <c r="BX16" s="14" t="s">
        <v>142</v>
      </c>
    </row>
    <row r="17">
      <c r="A17" s="154"/>
      <c r="B17" s="155"/>
      <c r="C17" s="155"/>
      <c r="D17" s="156" t="s">
        <v>138</v>
      </c>
      <c r="E17" s="156" t="s">
        <v>139</v>
      </c>
      <c r="F17" s="155"/>
      <c r="G17" s="157" t="n">
        <v>3</v>
      </c>
      <c r="H17" s="155"/>
      <c r="I17" s="155"/>
      <c r="J17" s="155"/>
      <c r="K17" s="146"/>
    </row>
    <row r="18">
      <c r="A18" s="9" t="s">
        <v>138</v>
      </c>
      <c r="B18" s="10" t="s">
        <v>84</v>
      </c>
      <c r="C18" s="10" t="s">
        <v>143</v>
      </c>
      <c r="D18" s="14" t="s">
        <v>144</v>
      </c>
      <c r="E18" s="10"/>
      <c r="F18" s="10" t="s">
        <v>145</v>
      </c>
      <c r="G18" s="111">
        <f>'Stavební rozpočet'!G18</f>
      </c>
      <c r="H18" s="111">
        <f>'Stavební rozpočet'!H18</f>
      </c>
      <c r="I18" s="111">
        <f>G18*H18</f>
      </c>
      <c r="J18" s="153" t="s">
        <v>134</v>
      </c>
      <c r="K18" s="146"/>
      <c r="Z18" s="111">
        <f>IF(AQ18="5",BJ18,0)</f>
      </c>
      <c r="AB18" s="111">
        <f>IF(AQ18="1",BH18,0)</f>
      </c>
      <c r="AC18" s="111">
        <f>IF(AQ18="1",BI18,0)</f>
      </c>
      <c r="AD18" s="111">
        <f>IF(AQ18="7",BH18,0)</f>
      </c>
      <c r="AE18" s="111">
        <f>IF(AQ18="7",BI18,0)</f>
      </c>
      <c r="AF18" s="111">
        <f>IF(AQ18="2",BH18,0)</f>
      </c>
      <c r="AG18" s="111">
        <f>IF(AQ18="2",BI18,0)</f>
      </c>
      <c r="AH18" s="111">
        <f>IF(AQ18="0",BJ18,0)</f>
      </c>
      <c r="AI18" s="132" t="s">
        <v>84</v>
      </c>
      <c r="AJ18" s="111">
        <f>IF(AN18=0,I18,0)</f>
      </c>
      <c r="AK18" s="111">
        <f>IF(AN18=12,I18,0)</f>
      </c>
      <c r="AL18" s="111">
        <f>IF(AN18=21,I18,0)</f>
      </c>
      <c r="AN18" s="111" t="n">
        <v>21</v>
      </c>
      <c r="AO18" s="111">
        <f>H18*0</f>
      </c>
      <c r="AP18" s="111">
        <f>H18*(1-0)</f>
      </c>
      <c r="AQ18" s="153" t="s">
        <v>130</v>
      </c>
      <c r="AV18" s="111">
        <f>AW18+AX18</f>
      </c>
      <c r="AW18" s="111">
        <f>G18*AO18</f>
      </c>
      <c r="AX18" s="111">
        <f>G18*AP18</f>
      </c>
      <c r="AY18" s="153" t="s">
        <v>135</v>
      </c>
      <c r="AZ18" s="153" t="s">
        <v>136</v>
      </c>
      <c r="BA18" s="132" t="s">
        <v>137</v>
      </c>
      <c r="BC18" s="111">
        <f>AW18+AX18</f>
      </c>
      <c r="BD18" s="111">
        <f>H18/(100-BE18)*100</f>
      </c>
      <c r="BE18" s="111" t="n">
        <v>0</v>
      </c>
      <c r="BF18" s="111">
        <f>18</f>
      </c>
      <c r="BH18" s="111">
        <f>G18*AO18</f>
      </c>
      <c r="BI18" s="111">
        <f>G18*AP18</f>
      </c>
      <c r="BJ18" s="111">
        <f>G18*H18</f>
      </c>
      <c r="BK18" s="111"/>
      <c r="BL18" s="111" t="n">
        <v>11</v>
      </c>
      <c r="BW18" s="111" t="n">
        <v>21</v>
      </c>
      <c r="BX18" s="14" t="s">
        <v>144</v>
      </c>
    </row>
    <row r="19" customHeight="true" ht="13.5">
      <c r="A19" s="159"/>
      <c r="C19" s="160" t="s">
        <v>146</v>
      </c>
      <c r="D19" s="161" t="s">
        <v>147</v>
      </c>
      <c r="E19" s="156"/>
      <c r="F19" s="156"/>
      <c r="G19" s="156"/>
      <c r="H19" s="156"/>
      <c r="I19" s="156"/>
      <c r="J19" s="156"/>
      <c r="K19" s="163"/>
    </row>
    <row r="20">
      <c r="A20" s="154"/>
      <c r="B20" s="155"/>
      <c r="C20" s="155"/>
      <c r="D20" s="156" t="s">
        <v>148</v>
      </c>
      <c r="E20" s="156" t="s">
        <v>139</v>
      </c>
      <c r="F20" s="155"/>
      <c r="G20" s="157" t="n">
        <v>50</v>
      </c>
      <c r="H20" s="155"/>
      <c r="I20" s="155"/>
      <c r="J20" s="155"/>
      <c r="K20" s="146"/>
    </row>
    <row r="21">
      <c r="A21" s="9" t="s">
        <v>149</v>
      </c>
      <c r="B21" s="10" t="s">
        <v>84</v>
      </c>
      <c r="C21" s="10" t="s">
        <v>150</v>
      </c>
      <c r="D21" s="14" t="s">
        <v>151</v>
      </c>
      <c r="E21" s="10"/>
      <c r="F21" s="10" t="s">
        <v>145</v>
      </c>
      <c r="G21" s="111">
        <f>'Stavební rozpočet'!G21</f>
      </c>
      <c r="H21" s="111">
        <f>'Stavební rozpočet'!H21</f>
      </c>
      <c r="I21" s="111">
        <f>G21*H21</f>
      </c>
      <c r="J21" s="153" t="s">
        <v>134</v>
      </c>
      <c r="K21" s="146"/>
      <c r="Z21" s="111">
        <f>IF(AQ21="5",BJ21,0)</f>
      </c>
      <c r="AB21" s="111">
        <f>IF(AQ21="1",BH21,0)</f>
      </c>
      <c r="AC21" s="111">
        <f>IF(AQ21="1",BI21,0)</f>
      </c>
      <c r="AD21" s="111">
        <f>IF(AQ21="7",BH21,0)</f>
      </c>
      <c r="AE21" s="111">
        <f>IF(AQ21="7",BI21,0)</f>
      </c>
      <c r="AF21" s="111">
        <f>IF(AQ21="2",BH21,0)</f>
      </c>
      <c r="AG21" s="111">
        <f>IF(AQ21="2",BI21,0)</f>
      </c>
      <c r="AH21" s="111">
        <f>IF(AQ21="0",BJ21,0)</f>
      </c>
      <c r="AI21" s="132" t="s">
        <v>84</v>
      </c>
      <c r="AJ21" s="111">
        <f>IF(AN21=0,I21,0)</f>
      </c>
      <c r="AK21" s="111">
        <f>IF(AN21=12,I21,0)</f>
      </c>
      <c r="AL21" s="111">
        <f>IF(AN21=21,I21,0)</f>
      </c>
      <c r="AN21" s="111" t="n">
        <v>21</v>
      </c>
      <c r="AO21" s="111">
        <f>H21*0</f>
      </c>
      <c r="AP21" s="111">
        <f>H21*(1-0)</f>
      </c>
      <c r="AQ21" s="153" t="s">
        <v>130</v>
      </c>
      <c r="AV21" s="111">
        <f>AW21+AX21</f>
      </c>
      <c r="AW21" s="111">
        <f>G21*AO21</f>
      </c>
      <c r="AX21" s="111">
        <f>G21*AP21</f>
      </c>
      <c r="AY21" s="153" t="s">
        <v>135</v>
      </c>
      <c r="AZ21" s="153" t="s">
        <v>136</v>
      </c>
      <c r="BA21" s="132" t="s">
        <v>137</v>
      </c>
      <c r="BC21" s="111">
        <f>AW21+AX21</f>
      </c>
      <c r="BD21" s="111">
        <f>H21/(100-BE21)*100</f>
      </c>
      <c r="BE21" s="111" t="n">
        <v>0</v>
      </c>
      <c r="BF21" s="111">
        <f>21</f>
      </c>
      <c r="BH21" s="111">
        <f>G21*AO21</f>
      </c>
      <c r="BI21" s="111">
        <f>G21*AP21</f>
      </c>
      <c r="BJ21" s="111">
        <f>G21*H21</f>
      </c>
      <c r="BK21" s="111"/>
      <c r="BL21" s="111" t="n">
        <v>11</v>
      </c>
      <c r="BW21" s="111" t="n">
        <v>21</v>
      </c>
      <c r="BX21" s="14" t="s">
        <v>151</v>
      </c>
    </row>
    <row r="22">
      <c r="A22" s="154"/>
      <c r="B22" s="155"/>
      <c r="C22" s="155"/>
      <c r="D22" s="156" t="s">
        <v>152</v>
      </c>
      <c r="E22" s="156" t="s">
        <v>153</v>
      </c>
      <c r="F22" s="155"/>
      <c r="G22" s="157" t="n">
        <v>22.6</v>
      </c>
      <c r="H22" s="155"/>
      <c r="I22" s="155"/>
      <c r="J22" s="155"/>
      <c r="K22" s="146"/>
    </row>
    <row r="23">
      <c r="A23" s="147" t="s">
        <v>4</v>
      </c>
      <c r="B23" s="148" t="s">
        <v>84</v>
      </c>
      <c r="C23" s="148" t="s">
        <v>154</v>
      </c>
      <c r="D23" s="149" t="s">
        <v>155</v>
      </c>
      <c r="E23" s="148"/>
      <c r="F23" s="150" t="s">
        <v>79</v>
      </c>
      <c r="G23" s="150" t="s">
        <v>79</v>
      </c>
      <c r="H23" s="150" t="s">
        <v>79</v>
      </c>
      <c r="I23" s="117">
        <f>SUM(I24:I24)</f>
      </c>
      <c r="J23" s="132" t="s">
        <v>4</v>
      </c>
      <c r="K23" s="146"/>
      <c r="AI23" s="132" t="s">
        <v>84</v>
      </c>
      <c r="AS23" s="117">
        <f>SUM(AJ24:AJ24)</f>
      </c>
      <c r="AT23" s="117">
        <f>SUM(AK24:AK24)</f>
      </c>
      <c r="AU23" s="117">
        <f>SUM(AL24:AL24)</f>
      </c>
    </row>
    <row r="24">
      <c r="A24" s="9" t="s">
        <v>156</v>
      </c>
      <c r="B24" s="10" t="s">
        <v>84</v>
      </c>
      <c r="C24" s="10" t="s">
        <v>157</v>
      </c>
      <c r="D24" s="14" t="s">
        <v>158</v>
      </c>
      <c r="E24" s="10"/>
      <c r="F24" s="10" t="s">
        <v>159</v>
      </c>
      <c r="G24" s="111">
        <f>'Stavební rozpočet'!G24</f>
      </c>
      <c r="H24" s="111">
        <f>'Stavební rozpočet'!H24</f>
      </c>
      <c r="I24" s="111">
        <f>G24*H24</f>
      </c>
      <c r="J24" s="153" t="s">
        <v>134</v>
      </c>
      <c r="K24" s="146"/>
      <c r="Z24" s="111">
        <f>IF(AQ24="5",BJ24,0)</f>
      </c>
      <c r="AB24" s="111">
        <f>IF(AQ24="1",BH24,0)</f>
      </c>
      <c r="AC24" s="111">
        <f>IF(AQ24="1",BI24,0)</f>
      </c>
      <c r="AD24" s="111">
        <f>IF(AQ24="7",BH24,0)</f>
      </c>
      <c r="AE24" s="111">
        <f>IF(AQ24="7",BI24,0)</f>
      </c>
      <c r="AF24" s="111">
        <f>IF(AQ24="2",BH24,0)</f>
      </c>
      <c r="AG24" s="111">
        <f>IF(AQ24="2",BI24,0)</f>
      </c>
      <c r="AH24" s="111">
        <f>IF(AQ24="0",BJ24,0)</f>
      </c>
      <c r="AI24" s="132" t="s">
        <v>84</v>
      </c>
      <c r="AJ24" s="111">
        <f>IF(AN24=0,I24,0)</f>
      </c>
      <c r="AK24" s="111">
        <f>IF(AN24=12,I24,0)</f>
      </c>
      <c r="AL24" s="111">
        <f>IF(AN24=21,I24,0)</f>
      </c>
      <c r="AN24" s="111" t="n">
        <v>21</v>
      </c>
      <c r="AO24" s="111">
        <f>H24*0</f>
      </c>
      <c r="AP24" s="111">
        <f>H24*(1-0)</f>
      </c>
      <c r="AQ24" s="153" t="s">
        <v>130</v>
      </c>
      <c r="AV24" s="111">
        <f>AW24+AX24</f>
      </c>
      <c r="AW24" s="111">
        <f>G24*AO24</f>
      </c>
      <c r="AX24" s="111">
        <f>G24*AP24</f>
      </c>
      <c r="AY24" s="153" t="s">
        <v>160</v>
      </c>
      <c r="AZ24" s="153" t="s">
        <v>136</v>
      </c>
      <c r="BA24" s="132" t="s">
        <v>137</v>
      </c>
      <c r="BC24" s="111">
        <f>AW24+AX24</f>
      </c>
      <c r="BD24" s="111">
        <f>H24/(100-BE24)*100</f>
      </c>
      <c r="BE24" s="111" t="n">
        <v>0</v>
      </c>
      <c r="BF24" s="111">
        <f>24</f>
      </c>
      <c r="BH24" s="111">
        <f>G24*AO24</f>
      </c>
      <c r="BI24" s="111">
        <f>G24*AP24</f>
      </c>
      <c r="BJ24" s="111">
        <f>G24*H24</f>
      </c>
      <c r="BK24" s="111"/>
      <c r="BL24" s="111" t="n">
        <v>12</v>
      </c>
      <c r="BW24" s="111" t="n">
        <v>21</v>
      </c>
      <c r="BX24" s="14" t="s">
        <v>158</v>
      </c>
    </row>
    <row r="25">
      <c r="A25" s="154"/>
      <c r="B25" s="155"/>
      <c r="C25" s="155"/>
      <c r="D25" s="156" t="s">
        <v>161</v>
      </c>
      <c r="E25" s="156" t="s">
        <v>162</v>
      </c>
      <c r="F25" s="155"/>
      <c r="G25" s="157" t="n">
        <v>277.4</v>
      </c>
      <c r="H25" s="155"/>
      <c r="I25" s="155"/>
      <c r="J25" s="155"/>
      <c r="K25" s="146"/>
    </row>
    <row r="26">
      <c r="A26" s="147" t="s">
        <v>4</v>
      </c>
      <c r="B26" s="148" t="s">
        <v>84</v>
      </c>
      <c r="C26" s="148" t="s">
        <v>163</v>
      </c>
      <c r="D26" s="149" t="s">
        <v>164</v>
      </c>
      <c r="E26" s="148"/>
      <c r="F26" s="150" t="s">
        <v>79</v>
      </c>
      <c r="G26" s="150" t="s">
        <v>79</v>
      </c>
      <c r="H26" s="150" t="s">
        <v>79</v>
      </c>
      <c r="I26" s="117">
        <f>SUM(I27:I48)</f>
      </c>
      <c r="J26" s="132" t="s">
        <v>4</v>
      </c>
      <c r="K26" s="146"/>
      <c r="AI26" s="132" t="s">
        <v>84</v>
      </c>
      <c r="AS26" s="117">
        <f>SUM(AJ27:AJ48)</f>
      </c>
      <c r="AT26" s="117">
        <f>SUM(AK27:AK48)</f>
      </c>
      <c r="AU26" s="117">
        <f>SUM(AL27:AL48)</f>
      </c>
    </row>
    <row r="27">
      <c r="A27" s="9" t="s">
        <v>165</v>
      </c>
      <c r="B27" s="10" t="s">
        <v>84</v>
      </c>
      <c r="C27" s="10" t="s">
        <v>166</v>
      </c>
      <c r="D27" s="14" t="s">
        <v>167</v>
      </c>
      <c r="E27" s="10"/>
      <c r="F27" s="10" t="s">
        <v>159</v>
      </c>
      <c r="G27" s="111">
        <f>'Stavební rozpočet'!G27</f>
      </c>
      <c r="H27" s="111">
        <f>'Stavební rozpočet'!H27</f>
      </c>
      <c r="I27" s="111">
        <f>G27*H27</f>
      </c>
      <c r="J27" s="153" t="s">
        <v>134</v>
      </c>
      <c r="K27" s="146"/>
      <c r="Z27" s="111">
        <f>IF(AQ27="5",BJ27,0)</f>
      </c>
      <c r="AB27" s="111">
        <f>IF(AQ27="1",BH27,0)</f>
      </c>
      <c r="AC27" s="111">
        <f>IF(AQ27="1",BI27,0)</f>
      </c>
      <c r="AD27" s="111">
        <f>IF(AQ27="7",BH27,0)</f>
      </c>
      <c r="AE27" s="111">
        <f>IF(AQ27="7",BI27,0)</f>
      </c>
      <c r="AF27" s="111">
        <f>IF(AQ27="2",BH27,0)</f>
      </c>
      <c r="AG27" s="111">
        <f>IF(AQ27="2",BI27,0)</f>
      </c>
      <c r="AH27" s="111">
        <f>IF(AQ27="0",BJ27,0)</f>
      </c>
      <c r="AI27" s="132" t="s">
        <v>84</v>
      </c>
      <c r="AJ27" s="111">
        <f>IF(AN27=0,I27,0)</f>
      </c>
      <c r="AK27" s="111">
        <f>IF(AN27=12,I27,0)</f>
      </c>
      <c r="AL27" s="111">
        <f>IF(AN27=21,I27,0)</f>
      </c>
      <c r="AN27" s="111" t="n">
        <v>21</v>
      </c>
      <c r="AO27" s="111">
        <f>H27*0</f>
      </c>
      <c r="AP27" s="111">
        <f>H27*(1-0)</f>
      </c>
      <c r="AQ27" s="153" t="s">
        <v>130</v>
      </c>
      <c r="AV27" s="111">
        <f>AW27+AX27</f>
      </c>
      <c r="AW27" s="111">
        <f>G27*AO27</f>
      </c>
      <c r="AX27" s="111">
        <f>G27*AP27</f>
      </c>
      <c r="AY27" s="153" t="s">
        <v>168</v>
      </c>
      <c r="AZ27" s="153" t="s">
        <v>136</v>
      </c>
      <c r="BA27" s="132" t="s">
        <v>137</v>
      </c>
      <c r="BC27" s="111">
        <f>AW27+AX27</f>
      </c>
      <c r="BD27" s="111">
        <f>H27/(100-BE27)*100</f>
      </c>
      <c r="BE27" s="111" t="n">
        <v>0</v>
      </c>
      <c r="BF27" s="111">
        <f>27</f>
      </c>
      <c r="BH27" s="111">
        <f>G27*AO27</f>
      </c>
      <c r="BI27" s="111">
        <f>G27*AP27</f>
      </c>
      <c r="BJ27" s="111">
        <f>G27*H27</f>
      </c>
      <c r="BK27" s="111"/>
      <c r="BL27" s="111" t="n">
        <v>13</v>
      </c>
      <c r="BW27" s="111" t="n">
        <v>21</v>
      </c>
      <c r="BX27" s="14" t="s">
        <v>167</v>
      </c>
    </row>
    <row r="28">
      <c r="A28" s="154"/>
      <c r="B28" s="155"/>
      <c r="C28" s="155"/>
      <c r="D28" s="156" t="s">
        <v>169</v>
      </c>
      <c r="E28" s="156" t="s">
        <v>170</v>
      </c>
      <c r="F28" s="155"/>
      <c r="G28" s="157" t="n">
        <v>6</v>
      </c>
      <c r="H28" s="155"/>
      <c r="I28" s="155"/>
      <c r="J28" s="155"/>
      <c r="K28" s="146"/>
    </row>
    <row r="29">
      <c r="A29" s="154"/>
      <c r="B29" s="155"/>
      <c r="C29" s="155"/>
      <c r="D29" s="156" t="s">
        <v>171</v>
      </c>
      <c r="E29" s="156" t="s">
        <v>172</v>
      </c>
      <c r="F29" s="155"/>
      <c r="G29" s="157" t="n">
        <v>14.284</v>
      </c>
      <c r="H29" s="155"/>
      <c r="I29" s="155"/>
      <c r="J29" s="155"/>
      <c r="K29" s="146"/>
    </row>
    <row r="30">
      <c r="A30" s="9" t="s">
        <v>173</v>
      </c>
      <c r="B30" s="10" t="s">
        <v>84</v>
      </c>
      <c r="C30" s="10" t="s">
        <v>174</v>
      </c>
      <c r="D30" s="14" t="s">
        <v>175</v>
      </c>
      <c r="E30" s="10"/>
      <c r="F30" s="10" t="s">
        <v>159</v>
      </c>
      <c r="G30" s="111">
        <f>'Stavební rozpočet'!G30</f>
      </c>
      <c r="H30" s="111">
        <f>'Stavební rozpočet'!H30</f>
      </c>
      <c r="I30" s="111">
        <f>G30*H30</f>
      </c>
      <c r="J30" s="153" t="s">
        <v>134</v>
      </c>
      <c r="K30" s="146"/>
      <c r="Z30" s="111">
        <f>IF(AQ30="5",BJ30,0)</f>
      </c>
      <c r="AB30" s="111">
        <f>IF(AQ30="1",BH30,0)</f>
      </c>
      <c r="AC30" s="111">
        <f>IF(AQ30="1",BI30,0)</f>
      </c>
      <c r="AD30" s="111">
        <f>IF(AQ30="7",BH30,0)</f>
      </c>
      <c r="AE30" s="111">
        <f>IF(AQ30="7",BI30,0)</f>
      </c>
      <c r="AF30" s="111">
        <f>IF(AQ30="2",BH30,0)</f>
      </c>
      <c r="AG30" s="111">
        <f>IF(AQ30="2",BI30,0)</f>
      </c>
      <c r="AH30" s="111">
        <f>IF(AQ30="0",BJ30,0)</f>
      </c>
      <c r="AI30" s="132" t="s">
        <v>84</v>
      </c>
      <c r="AJ30" s="111">
        <f>IF(AN30=0,I30,0)</f>
      </c>
      <c r="AK30" s="111">
        <f>IF(AN30=12,I30,0)</f>
      </c>
      <c r="AL30" s="111">
        <f>IF(AN30=21,I30,0)</f>
      </c>
      <c r="AN30" s="111" t="n">
        <v>21</v>
      </c>
      <c r="AO30" s="111">
        <f>H30*0</f>
      </c>
      <c r="AP30" s="111">
        <f>H30*(1-0)</f>
      </c>
      <c r="AQ30" s="153" t="s">
        <v>130</v>
      </c>
      <c r="AV30" s="111">
        <f>AW30+AX30</f>
      </c>
      <c r="AW30" s="111">
        <f>G30*AO30</f>
      </c>
      <c r="AX30" s="111">
        <f>G30*AP30</f>
      </c>
      <c r="AY30" s="153" t="s">
        <v>168</v>
      </c>
      <c r="AZ30" s="153" t="s">
        <v>136</v>
      </c>
      <c r="BA30" s="132" t="s">
        <v>137</v>
      </c>
      <c r="BC30" s="111">
        <f>AW30+AX30</f>
      </c>
      <c r="BD30" s="111">
        <f>H30/(100-BE30)*100</f>
      </c>
      <c r="BE30" s="111" t="n">
        <v>0</v>
      </c>
      <c r="BF30" s="111">
        <f>30</f>
      </c>
      <c r="BH30" s="111">
        <f>G30*AO30</f>
      </c>
      <c r="BI30" s="111">
        <f>G30*AP30</f>
      </c>
      <c r="BJ30" s="111">
        <f>G30*H30</f>
      </c>
      <c r="BK30" s="111"/>
      <c r="BL30" s="111" t="n">
        <v>13</v>
      </c>
      <c r="BW30" s="111" t="n">
        <v>21</v>
      </c>
      <c r="BX30" s="14" t="s">
        <v>175</v>
      </c>
    </row>
    <row r="31">
      <c r="A31" s="154"/>
      <c r="B31" s="155"/>
      <c r="C31" s="155"/>
      <c r="D31" s="156" t="s">
        <v>169</v>
      </c>
      <c r="E31" s="156" t="s">
        <v>170</v>
      </c>
      <c r="F31" s="155"/>
      <c r="G31" s="157" t="n">
        <v>6</v>
      </c>
      <c r="H31" s="155"/>
      <c r="I31" s="155"/>
      <c r="J31" s="155"/>
      <c r="K31" s="146"/>
    </row>
    <row r="32">
      <c r="A32" s="154"/>
      <c r="B32" s="155"/>
      <c r="C32" s="155"/>
      <c r="D32" s="156" t="s">
        <v>171</v>
      </c>
      <c r="E32" s="156" t="s">
        <v>172</v>
      </c>
      <c r="F32" s="155"/>
      <c r="G32" s="157" t="n">
        <v>14.284</v>
      </c>
      <c r="H32" s="155"/>
      <c r="I32" s="155"/>
      <c r="J32" s="155"/>
      <c r="K32" s="146"/>
    </row>
    <row r="33">
      <c r="A33" s="9" t="s">
        <v>176</v>
      </c>
      <c r="B33" s="10" t="s">
        <v>84</v>
      </c>
      <c r="C33" s="10" t="s">
        <v>177</v>
      </c>
      <c r="D33" s="14" t="s">
        <v>178</v>
      </c>
      <c r="E33" s="10"/>
      <c r="F33" s="10" t="s">
        <v>159</v>
      </c>
      <c r="G33" s="111">
        <f>'Stavební rozpočet'!G33</f>
      </c>
      <c r="H33" s="111">
        <f>'Stavební rozpočet'!H33</f>
      </c>
      <c r="I33" s="111">
        <f>G33*H33</f>
      </c>
      <c r="J33" s="153" t="s">
        <v>134</v>
      </c>
      <c r="K33" s="146"/>
      <c r="Z33" s="111">
        <f>IF(AQ33="5",BJ33,0)</f>
      </c>
      <c r="AB33" s="111">
        <f>IF(AQ33="1",BH33,0)</f>
      </c>
      <c r="AC33" s="111">
        <f>IF(AQ33="1",BI33,0)</f>
      </c>
      <c r="AD33" s="111">
        <f>IF(AQ33="7",BH33,0)</f>
      </c>
      <c r="AE33" s="111">
        <f>IF(AQ33="7",BI33,0)</f>
      </c>
      <c r="AF33" s="111">
        <f>IF(AQ33="2",BH33,0)</f>
      </c>
      <c r="AG33" s="111">
        <f>IF(AQ33="2",BI33,0)</f>
      </c>
      <c r="AH33" s="111">
        <f>IF(AQ33="0",BJ33,0)</f>
      </c>
      <c r="AI33" s="132" t="s">
        <v>84</v>
      </c>
      <c r="AJ33" s="111">
        <f>IF(AN33=0,I33,0)</f>
      </c>
      <c r="AK33" s="111">
        <f>IF(AN33=12,I33,0)</f>
      </c>
      <c r="AL33" s="111">
        <f>IF(AN33=21,I33,0)</f>
      </c>
      <c r="AN33" s="111" t="n">
        <v>21</v>
      </c>
      <c r="AO33" s="111">
        <f>H33*0</f>
      </c>
      <c r="AP33" s="111">
        <f>H33*(1-0)</f>
      </c>
      <c r="AQ33" s="153" t="s">
        <v>130</v>
      </c>
      <c r="AV33" s="111">
        <f>AW33+AX33</f>
      </c>
      <c r="AW33" s="111">
        <f>G33*AO33</f>
      </c>
      <c r="AX33" s="111">
        <f>G33*AP33</f>
      </c>
      <c r="AY33" s="153" t="s">
        <v>168</v>
      </c>
      <c r="AZ33" s="153" t="s">
        <v>136</v>
      </c>
      <c r="BA33" s="132" t="s">
        <v>137</v>
      </c>
      <c r="BC33" s="111">
        <f>AW33+AX33</f>
      </c>
      <c r="BD33" s="111">
        <f>H33/(100-BE33)*100</f>
      </c>
      <c r="BE33" s="111" t="n">
        <v>0</v>
      </c>
      <c r="BF33" s="111">
        <f>33</f>
      </c>
      <c r="BH33" s="111">
        <f>G33*AO33</f>
      </c>
      <c r="BI33" s="111">
        <f>G33*AP33</f>
      </c>
      <c r="BJ33" s="111">
        <f>G33*H33</f>
      </c>
      <c r="BK33" s="111"/>
      <c r="BL33" s="111" t="n">
        <v>13</v>
      </c>
      <c r="BW33" s="111" t="n">
        <v>21</v>
      </c>
      <c r="BX33" s="14" t="s">
        <v>178</v>
      </c>
    </row>
    <row r="34">
      <c r="A34" s="154"/>
      <c r="B34" s="155"/>
      <c r="C34" s="155"/>
      <c r="D34" s="156" t="s">
        <v>179</v>
      </c>
      <c r="E34" s="156" t="s">
        <v>180</v>
      </c>
      <c r="F34" s="155"/>
      <c r="G34" s="157" t="n">
        <v>818.1</v>
      </c>
      <c r="H34" s="155"/>
      <c r="I34" s="155"/>
      <c r="J34" s="155"/>
      <c r="K34" s="146"/>
    </row>
    <row r="35">
      <c r="A35" s="154"/>
      <c r="B35" s="155"/>
      <c r="C35" s="155"/>
      <c r="D35" s="156" t="s">
        <v>181</v>
      </c>
      <c r="E35" s="156" t="s">
        <v>182</v>
      </c>
      <c r="F35" s="155"/>
      <c r="G35" s="157" t="n">
        <v>7.1</v>
      </c>
      <c r="H35" s="155"/>
      <c r="I35" s="155"/>
      <c r="J35" s="155"/>
      <c r="K35" s="146"/>
    </row>
    <row r="36">
      <c r="A36" s="9" t="s">
        <v>183</v>
      </c>
      <c r="B36" s="10" t="s">
        <v>84</v>
      </c>
      <c r="C36" s="10" t="s">
        <v>184</v>
      </c>
      <c r="D36" s="14" t="s">
        <v>185</v>
      </c>
      <c r="E36" s="10"/>
      <c r="F36" s="10" t="s">
        <v>159</v>
      </c>
      <c r="G36" s="111">
        <f>'Stavební rozpočet'!G36</f>
      </c>
      <c r="H36" s="111">
        <f>'Stavební rozpočet'!H36</f>
      </c>
      <c r="I36" s="111">
        <f>G36*H36</f>
      </c>
      <c r="J36" s="153" t="s">
        <v>134</v>
      </c>
      <c r="K36" s="146"/>
      <c r="Z36" s="111">
        <f>IF(AQ36="5",BJ36,0)</f>
      </c>
      <c r="AB36" s="111">
        <f>IF(AQ36="1",BH36,0)</f>
      </c>
      <c r="AC36" s="111">
        <f>IF(AQ36="1",BI36,0)</f>
      </c>
      <c r="AD36" s="111">
        <f>IF(AQ36="7",BH36,0)</f>
      </c>
      <c r="AE36" s="111">
        <f>IF(AQ36="7",BI36,0)</f>
      </c>
      <c r="AF36" s="111">
        <f>IF(AQ36="2",BH36,0)</f>
      </c>
      <c r="AG36" s="111">
        <f>IF(AQ36="2",BI36,0)</f>
      </c>
      <c r="AH36" s="111">
        <f>IF(AQ36="0",BJ36,0)</f>
      </c>
      <c r="AI36" s="132" t="s">
        <v>84</v>
      </c>
      <c r="AJ36" s="111">
        <f>IF(AN36=0,I36,0)</f>
      </c>
      <c r="AK36" s="111">
        <f>IF(AN36=12,I36,0)</f>
      </c>
      <c r="AL36" s="111">
        <f>IF(AN36=21,I36,0)</f>
      </c>
      <c r="AN36" s="111" t="n">
        <v>21</v>
      </c>
      <c r="AO36" s="111">
        <f>H36*0</f>
      </c>
      <c r="AP36" s="111">
        <f>H36*(1-0)</f>
      </c>
      <c r="AQ36" s="153" t="s">
        <v>130</v>
      </c>
      <c r="AV36" s="111">
        <f>AW36+AX36</f>
      </c>
      <c r="AW36" s="111">
        <f>G36*AO36</f>
      </c>
      <c r="AX36" s="111">
        <f>G36*AP36</f>
      </c>
      <c r="AY36" s="153" t="s">
        <v>168</v>
      </c>
      <c r="AZ36" s="153" t="s">
        <v>136</v>
      </c>
      <c r="BA36" s="132" t="s">
        <v>137</v>
      </c>
      <c r="BC36" s="111">
        <f>AW36+AX36</f>
      </c>
      <c r="BD36" s="111">
        <f>H36/(100-BE36)*100</f>
      </c>
      <c r="BE36" s="111" t="n">
        <v>0</v>
      </c>
      <c r="BF36" s="111">
        <f>36</f>
      </c>
      <c r="BH36" s="111">
        <f>G36*AO36</f>
      </c>
      <c r="BI36" s="111">
        <f>G36*AP36</f>
      </c>
      <c r="BJ36" s="111">
        <f>G36*H36</f>
      </c>
      <c r="BK36" s="111"/>
      <c r="BL36" s="111" t="n">
        <v>13</v>
      </c>
      <c r="BW36" s="111" t="n">
        <v>21</v>
      </c>
      <c r="BX36" s="14" t="s">
        <v>185</v>
      </c>
    </row>
    <row r="37">
      <c r="A37" s="9" t="s">
        <v>186</v>
      </c>
      <c r="B37" s="10" t="s">
        <v>84</v>
      </c>
      <c r="C37" s="10" t="s">
        <v>187</v>
      </c>
      <c r="D37" s="14" t="s">
        <v>188</v>
      </c>
      <c r="E37" s="10"/>
      <c r="F37" s="10" t="s">
        <v>159</v>
      </c>
      <c r="G37" s="111">
        <f>'Stavební rozpočet'!G37</f>
      </c>
      <c r="H37" s="111">
        <f>'Stavební rozpočet'!H37</f>
      </c>
      <c r="I37" s="111">
        <f>G37*H37</f>
      </c>
      <c r="J37" s="153" t="s">
        <v>134</v>
      </c>
      <c r="K37" s="146"/>
      <c r="Z37" s="111">
        <f>IF(AQ37="5",BJ37,0)</f>
      </c>
      <c r="AB37" s="111">
        <f>IF(AQ37="1",BH37,0)</f>
      </c>
      <c r="AC37" s="111">
        <f>IF(AQ37="1",BI37,0)</f>
      </c>
      <c r="AD37" s="111">
        <f>IF(AQ37="7",BH37,0)</f>
      </c>
      <c r="AE37" s="111">
        <f>IF(AQ37="7",BI37,0)</f>
      </c>
      <c r="AF37" s="111">
        <f>IF(AQ37="2",BH37,0)</f>
      </c>
      <c r="AG37" s="111">
        <f>IF(AQ37="2",BI37,0)</f>
      </c>
      <c r="AH37" s="111">
        <f>IF(AQ37="0",BJ37,0)</f>
      </c>
      <c r="AI37" s="132" t="s">
        <v>84</v>
      </c>
      <c r="AJ37" s="111">
        <f>IF(AN37=0,I37,0)</f>
      </c>
      <c r="AK37" s="111">
        <f>IF(AN37=12,I37,0)</f>
      </c>
      <c r="AL37" s="111">
        <f>IF(AN37=21,I37,0)</f>
      </c>
      <c r="AN37" s="111" t="n">
        <v>21</v>
      </c>
      <c r="AO37" s="111">
        <f>H37*0</f>
      </c>
      <c r="AP37" s="111">
        <f>H37*(1-0)</f>
      </c>
      <c r="AQ37" s="153" t="s">
        <v>130</v>
      </c>
      <c r="AV37" s="111">
        <f>AW37+AX37</f>
      </c>
      <c r="AW37" s="111">
        <f>G37*AO37</f>
      </c>
      <c r="AX37" s="111">
        <f>G37*AP37</f>
      </c>
      <c r="AY37" s="153" t="s">
        <v>168</v>
      </c>
      <c r="AZ37" s="153" t="s">
        <v>136</v>
      </c>
      <c r="BA37" s="132" t="s">
        <v>137</v>
      </c>
      <c r="BC37" s="111">
        <f>AW37+AX37</f>
      </c>
      <c r="BD37" s="111">
        <f>H37/(100-BE37)*100</f>
      </c>
      <c r="BE37" s="111" t="n">
        <v>0</v>
      </c>
      <c r="BF37" s="111">
        <f>37</f>
      </c>
      <c r="BH37" s="111">
        <f>G37*AO37</f>
      </c>
      <c r="BI37" s="111">
        <f>G37*AP37</f>
      </c>
      <c r="BJ37" s="111">
        <f>G37*H37</f>
      </c>
      <c r="BK37" s="111"/>
      <c r="BL37" s="111" t="n">
        <v>13</v>
      </c>
      <c r="BW37" s="111" t="n">
        <v>21</v>
      </c>
      <c r="BX37" s="14" t="s">
        <v>188</v>
      </c>
    </row>
    <row r="38" customHeight="true" ht="13.5">
      <c r="A38" s="159"/>
      <c r="C38" s="160" t="s">
        <v>146</v>
      </c>
      <c r="D38" s="161" t="s">
        <v>189</v>
      </c>
      <c r="E38" s="156"/>
      <c r="F38" s="156"/>
      <c r="G38" s="156"/>
      <c r="H38" s="156"/>
      <c r="I38" s="156"/>
      <c r="J38" s="156"/>
      <c r="K38" s="163"/>
    </row>
    <row r="39">
      <c r="A39" s="154"/>
      <c r="B39" s="155"/>
      <c r="C39" s="155"/>
      <c r="D39" s="156" t="s">
        <v>190</v>
      </c>
      <c r="E39" s="156" t="s">
        <v>191</v>
      </c>
      <c r="F39" s="155"/>
      <c r="G39" s="157" t="n">
        <v>26.8056</v>
      </c>
      <c r="H39" s="155"/>
      <c r="I39" s="155"/>
      <c r="J39" s="155"/>
      <c r="K39" s="146"/>
    </row>
    <row r="40">
      <c r="A40" s="154"/>
      <c r="B40" s="155"/>
      <c r="C40" s="155"/>
      <c r="D40" s="156" t="s">
        <v>192</v>
      </c>
      <c r="E40" s="156" t="s">
        <v>4</v>
      </c>
      <c r="F40" s="155"/>
      <c r="G40" s="157" t="n">
        <v>11.1528</v>
      </c>
      <c r="H40" s="155"/>
      <c r="I40" s="155"/>
      <c r="J40" s="155"/>
      <c r="K40" s="146"/>
    </row>
    <row r="41">
      <c r="A41" s="154"/>
      <c r="B41" s="155"/>
      <c r="C41" s="155"/>
      <c r="D41" s="156" t="s">
        <v>193</v>
      </c>
      <c r="E41" s="156" t="s">
        <v>4</v>
      </c>
      <c r="F41" s="155"/>
      <c r="G41" s="157" t="n">
        <v>19.1016</v>
      </c>
      <c r="H41" s="155"/>
      <c r="I41" s="155"/>
      <c r="J41" s="155"/>
      <c r="K41" s="146"/>
    </row>
    <row r="42">
      <c r="A42" s="154"/>
      <c r="B42" s="155"/>
      <c r="C42" s="155"/>
      <c r="D42" s="156" t="s">
        <v>194</v>
      </c>
      <c r="E42" s="156" t="s">
        <v>4</v>
      </c>
      <c r="F42" s="155"/>
      <c r="G42" s="157" t="n">
        <v>4.09725</v>
      </c>
      <c r="H42" s="155"/>
      <c r="I42" s="155"/>
      <c r="J42" s="155"/>
      <c r="K42" s="146"/>
    </row>
    <row r="43">
      <c r="A43" s="154"/>
      <c r="B43" s="155"/>
      <c r="C43" s="155"/>
      <c r="D43" s="156" t="s">
        <v>195</v>
      </c>
      <c r="E43" s="156" t="s">
        <v>4</v>
      </c>
      <c r="F43" s="155"/>
      <c r="G43" s="157" t="n">
        <v>21.4047</v>
      </c>
      <c r="H43" s="155"/>
      <c r="I43" s="155"/>
      <c r="J43" s="155"/>
      <c r="K43" s="146"/>
    </row>
    <row r="44">
      <c r="A44" s="154"/>
      <c r="B44" s="155"/>
      <c r="C44" s="155"/>
      <c r="D44" s="156" t="s">
        <v>196</v>
      </c>
      <c r="E44" s="156" t="s">
        <v>4</v>
      </c>
      <c r="F44" s="155"/>
      <c r="G44" s="157" t="n">
        <v>2.8926</v>
      </c>
      <c r="H44" s="155"/>
      <c r="I44" s="155"/>
      <c r="J44" s="155"/>
      <c r="K44" s="146"/>
    </row>
    <row r="45">
      <c r="A45" s="154"/>
      <c r="B45" s="155"/>
      <c r="C45" s="155"/>
      <c r="D45" s="156" t="s">
        <v>197</v>
      </c>
      <c r="E45" s="156" t="s">
        <v>4</v>
      </c>
      <c r="F45" s="155"/>
      <c r="G45" s="157" t="n">
        <v>19.2375</v>
      </c>
      <c r="H45" s="155"/>
      <c r="I45" s="155"/>
      <c r="J45" s="155"/>
      <c r="K45" s="146"/>
    </row>
    <row r="46">
      <c r="A46" s="154"/>
      <c r="B46" s="155"/>
      <c r="C46" s="155"/>
      <c r="D46" s="156" t="s">
        <v>198</v>
      </c>
      <c r="E46" s="156" t="s">
        <v>4</v>
      </c>
      <c r="F46" s="155"/>
      <c r="G46" s="157" t="n">
        <v>9.38475</v>
      </c>
      <c r="H46" s="155"/>
      <c r="I46" s="155"/>
      <c r="J46" s="155"/>
      <c r="K46" s="146"/>
    </row>
    <row r="47">
      <c r="A47" s="154"/>
      <c r="B47" s="155"/>
      <c r="C47" s="155"/>
      <c r="D47" s="156" t="s">
        <v>199</v>
      </c>
      <c r="E47" s="156" t="s">
        <v>4</v>
      </c>
      <c r="F47" s="155"/>
      <c r="G47" s="157" t="n">
        <v>2.62372</v>
      </c>
      <c r="H47" s="155"/>
      <c r="I47" s="155"/>
      <c r="J47" s="155"/>
      <c r="K47" s="146"/>
    </row>
    <row r="48">
      <c r="A48" s="9" t="s">
        <v>128</v>
      </c>
      <c r="B48" s="10" t="s">
        <v>84</v>
      </c>
      <c r="C48" s="10" t="s">
        <v>200</v>
      </c>
      <c r="D48" s="14" t="s">
        <v>201</v>
      </c>
      <c r="E48" s="10"/>
      <c r="F48" s="10" t="s">
        <v>159</v>
      </c>
      <c r="G48" s="111">
        <f>'Stavební rozpočet'!G48</f>
      </c>
      <c r="H48" s="111">
        <f>'Stavební rozpočet'!H48</f>
      </c>
      <c r="I48" s="111">
        <f>G48*H48</f>
      </c>
      <c r="J48" s="153" t="s">
        <v>134</v>
      </c>
      <c r="K48" s="146"/>
      <c r="Z48" s="111">
        <f>IF(AQ48="5",BJ48,0)</f>
      </c>
      <c r="AB48" s="111">
        <f>IF(AQ48="1",BH48,0)</f>
      </c>
      <c r="AC48" s="111">
        <f>IF(AQ48="1",BI48,0)</f>
      </c>
      <c r="AD48" s="111">
        <f>IF(AQ48="7",BH48,0)</f>
      </c>
      <c r="AE48" s="111">
        <f>IF(AQ48="7",BI48,0)</f>
      </c>
      <c r="AF48" s="111">
        <f>IF(AQ48="2",BH48,0)</f>
      </c>
      <c r="AG48" s="111">
        <f>IF(AQ48="2",BI48,0)</f>
      </c>
      <c r="AH48" s="111">
        <f>IF(AQ48="0",BJ48,0)</f>
      </c>
      <c r="AI48" s="132" t="s">
        <v>84</v>
      </c>
      <c r="AJ48" s="111">
        <f>IF(AN48=0,I48,0)</f>
      </c>
      <c r="AK48" s="111">
        <f>IF(AN48=12,I48,0)</f>
      </c>
      <c r="AL48" s="111">
        <f>IF(AN48=21,I48,0)</f>
      </c>
      <c r="AN48" s="111" t="n">
        <v>21</v>
      </c>
      <c r="AO48" s="111">
        <f>H48*0</f>
      </c>
      <c r="AP48" s="111">
        <f>H48*(1-0)</f>
      </c>
      <c r="AQ48" s="153" t="s">
        <v>130</v>
      </c>
      <c r="AV48" s="111">
        <f>AW48+AX48</f>
      </c>
      <c r="AW48" s="111">
        <f>G48*AO48</f>
      </c>
      <c r="AX48" s="111">
        <f>G48*AP48</f>
      </c>
      <c r="AY48" s="153" t="s">
        <v>168</v>
      </c>
      <c r="AZ48" s="153" t="s">
        <v>136</v>
      </c>
      <c r="BA48" s="132" t="s">
        <v>137</v>
      </c>
      <c r="BC48" s="111">
        <f>AW48+AX48</f>
      </c>
      <c r="BD48" s="111">
        <f>H48/(100-BE48)*100</f>
      </c>
      <c r="BE48" s="111" t="n">
        <v>0</v>
      </c>
      <c r="BF48" s="111">
        <f>48</f>
      </c>
      <c r="BH48" s="111">
        <f>G48*AO48</f>
      </c>
      <c r="BI48" s="111">
        <f>G48*AP48</f>
      </c>
      <c r="BJ48" s="111">
        <f>G48*H48</f>
      </c>
      <c r="BK48" s="111"/>
      <c r="BL48" s="111" t="n">
        <v>13</v>
      </c>
      <c r="BW48" s="111" t="n">
        <v>21</v>
      </c>
      <c r="BX48" s="14" t="s">
        <v>201</v>
      </c>
    </row>
    <row r="49">
      <c r="A49" s="147" t="s">
        <v>4</v>
      </c>
      <c r="B49" s="148" t="s">
        <v>84</v>
      </c>
      <c r="C49" s="148" t="s">
        <v>202</v>
      </c>
      <c r="D49" s="149" t="s">
        <v>203</v>
      </c>
      <c r="E49" s="148"/>
      <c r="F49" s="150" t="s">
        <v>79</v>
      </c>
      <c r="G49" s="150" t="s">
        <v>79</v>
      </c>
      <c r="H49" s="150" t="s">
        <v>79</v>
      </c>
      <c r="I49" s="117">
        <f>SUM(I50:I65)</f>
      </c>
      <c r="J49" s="132" t="s">
        <v>4</v>
      </c>
      <c r="K49" s="146"/>
      <c r="AI49" s="132" t="s">
        <v>84</v>
      </c>
      <c r="AS49" s="117">
        <f>SUM(AJ50:AJ65)</f>
      </c>
      <c r="AT49" s="117">
        <f>SUM(AK50:AK65)</f>
      </c>
      <c r="AU49" s="117">
        <f>SUM(AL50:AL65)</f>
      </c>
    </row>
    <row r="50">
      <c r="A50" s="9" t="s">
        <v>154</v>
      </c>
      <c r="B50" s="10" t="s">
        <v>84</v>
      </c>
      <c r="C50" s="10" t="s">
        <v>204</v>
      </c>
      <c r="D50" s="14" t="s">
        <v>205</v>
      </c>
      <c r="E50" s="10"/>
      <c r="F50" s="10" t="s">
        <v>159</v>
      </c>
      <c r="G50" s="111">
        <f>'Stavební rozpočet'!G50</f>
      </c>
      <c r="H50" s="111">
        <f>'Stavební rozpočet'!H50</f>
      </c>
      <c r="I50" s="111">
        <f>G50*H50</f>
      </c>
      <c r="J50" s="153" t="s">
        <v>134</v>
      </c>
      <c r="K50" s="146"/>
      <c r="Z50" s="111">
        <f>IF(AQ50="5",BJ50,0)</f>
      </c>
      <c r="AB50" s="111">
        <f>IF(AQ50="1",BH50,0)</f>
      </c>
      <c r="AC50" s="111">
        <f>IF(AQ50="1",BI50,0)</f>
      </c>
      <c r="AD50" s="111">
        <f>IF(AQ50="7",BH50,0)</f>
      </c>
      <c r="AE50" s="111">
        <f>IF(AQ50="7",BI50,0)</f>
      </c>
      <c r="AF50" s="111">
        <f>IF(AQ50="2",BH50,0)</f>
      </c>
      <c r="AG50" s="111">
        <f>IF(AQ50="2",BI50,0)</f>
      </c>
      <c r="AH50" s="111">
        <f>IF(AQ50="0",BJ50,0)</f>
      </c>
      <c r="AI50" s="132" t="s">
        <v>84</v>
      </c>
      <c r="AJ50" s="111">
        <f>IF(AN50=0,I50,0)</f>
      </c>
      <c r="AK50" s="111">
        <f>IF(AN50=12,I50,0)</f>
      </c>
      <c r="AL50" s="111">
        <f>IF(AN50=21,I50,0)</f>
      </c>
      <c r="AN50" s="111" t="n">
        <v>21</v>
      </c>
      <c r="AO50" s="111">
        <f>H50*0</f>
      </c>
      <c r="AP50" s="111">
        <f>H50*(1-0)</f>
      </c>
      <c r="AQ50" s="153" t="s">
        <v>130</v>
      </c>
      <c r="AV50" s="111">
        <f>AW50+AX50</f>
      </c>
      <c r="AW50" s="111">
        <f>G50*AO50</f>
      </c>
      <c r="AX50" s="111">
        <f>G50*AP50</f>
      </c>
      <c r="AY50" s="153" t="s">
        <v>206</v>
      </c>
      <c r="AZ50" s="153" t="s">
        <v>136</v>
      </c>
      <c r="BA50" s="132" t="s">
        <v>137</v>
      </c>
      <c r="BC50" s="111">
        <f>AW50+AX50</f>
      </c>
      <c r="BD50" s="111">
        <f>H50/(100-BE50)*100</f>
      </c>
      <c r="BE50" s="111" t="n">
        <v>0</v>
      </c>
      <c r="BF50" s="111">
        <f>50</f>
      </c>
      <c r="BH50" s="111">
        <f>G50*AO50</f>
      </c>
      <c r="BI50" s="111">
        <f>G50*AP50</f>
      </c>
      <c r="BJ50" s="111">
        <f>G50*H50</f>
      </c>
      <c r="BK50" s="111"/>
      <c r="BL50" s="111" t="n">
        <v>16</v>
      </c>
      <c r="BW50" s="111" t="n">
        <v>21</v>
      </c>
      <c r="BX50" s="14" t="s">
        <v>205</v>
      </c>
    </row>
    <row r="51">
      <c r="A51" s="154"/>
      <c r="B51" s="155"/>
      <c r="C51" s="155"/>
      <c r="D51" s="156" t="s">
        <v>207</v>
      </c>
      <c r="E51" s="156" t="s">
        <v>208</v>
      </c>
      <c r="F51" s="155"/>
      <c r="G51" s="157" t="n">
        <v>26.3692</v>
      </c>
      <c r="H51" s="155"/>
      <c r="I51" s="155"/>
      <c r="J51" s="155"/>
      <c r="K51" s="146"/>
    </row>
    <row r="52">
      <c r="A52" s="9" t="s">
        <v>163</v>
      </c>
      <c r="B52" s="10" t="s">
        <v>84</v>
      </c>
      <c r="C52" s="10" t="s">
        <v>209</v>
      </c>
      <c r="D52" s="14" t="s">
        <v>210</v>
      </c>
      <c r="E52" s="10"/>
      <c r="F52" s="10" t="s">
        <v>159</v>
      </c>
      <c r="G52" s="111">
        <f>'Stavební rozpočet'!G52</f>
      </c>
      <c r="H52" s="111">
        <f>'Stavební rozpočet'!H52</f>
      </c>
      <c r="I52" s="111">
        <f>G52*H52</f>
      </c>
      <c r="J52" s="153" t="s">
        <v>134</v>
      </c>
      <c r="K52" s="146"/>
      <c r="Z52" s="111">
        <f>IF(AQ52="5",BJ52,0)</f>
      </c>
      <c r="AB52" s="111">
        <f>IF(AQ52="1",BH52,0)</f>
      </c>
      <c r="AC52" s="111">
        <f>IF(AQ52="1",BI52,0)</f>
      </c>
      <c r="AD52" s="111">
        <f>IF(AQ52="7",BH52,0)</f>
      </c>
      <c r="AE52" s="111">
        <f>IF(AQ52="7",BI52,0)</f>
      </c>
      <c r="AF52" s="111">
        <f>IF(AQ52="2",BH52,0)</f>
      </c>
      <c r="AG52" s="111">
        <f>IF(AQ52="2",BI52,0)</f>
      </c>
      <c r="AH52" s="111">
        <f>IF(AQ52="0",BJ52,0)</f>
      </c>
      <c r="AI52" s="132" t="s">
        <v>84</v>
      </c>
      <c r="AJ52" s="111">
        <f>IF(AN52=0,I52,0)</f>
      </c>
      <c r="AK52" s="111">
        <f>IF(AN52=12,I52,0)</f>
      </c>
      <c r="AL52" s="111">
        <f>IF(AN52=21,I52,0)</f>
      </c>
      <c r="AN52" s="111" t="n">
        <v>21</v>
      </c>
      <c r="AO52" s="111">
        <f>H52*0</f>
      </c>
      <c r="AP52" s="111">
        <f>H52*(1-0)</f>
      </c>
      <c r="AQ52" s="153" t="s">
        <v>130</v>
      </c>
      <c r="AV52" s="111">
        <f>AW52+AX52</f>
      </c>
      <c r="AW52" s="111">
        <f>G52*AO52</f>
      </c>
      <c r="AX52" s="111">
        <f>G52*AP52</f>
      </c>
      <c r="AY52" s="153" t="s">
        <v>206</v>
      </c>
      <c r="AZ52" s="153" t="s">
        <v>136</v>
      </c>
      <c r="BA52" s="132" t="s">
        <v>137</v>
      </c>
      <c r="BC52" s="111">
        <f>AW52+AX52</f>
      </c>
      <c r="BD52" s="111">
        <f>H52/(100-BE52)*100</f>
      </c>
      <c r="BE52" s="111" t="n">
        <v>0</v>
      </c>
      <c r="BF52" s="111">
        <f>52</f>
      </c>
      <c r="BH52" s="111">
        <f>G52*AO52</f>
      </c>
      <c r="BI52" s="111">
        <f>G52*AP52</f>
      </c>
      <c r="BJ52" s="111">
        <f>G52*H52</f>
      </c>
      <c r="BK52" s="111"/>
      <c r="BL52" s="111" t="n">
        <v>16</v>
      </c>
      <c r="BW52" s="111" t="n">
        <v>21</v>
      </c>
      <c r="BX52" s="14" t="s">
        <v>210</v>
      </c>
    </row>
    <row r="53">
      <c r="A53" s="154"/>
      <c r="B53" s="155"/>
      <c r="C53" s="155"/>
      <c r="D53" s="156" t="s">
        <v>211</v>
      </c>
      <c r="E53" s="156" t="s">
        <v>4</v>
      </c>
      <c r="F53" s="155"/>
      <c r="G53" s="157" t="n">
        <v>52.7384</v>
      </c>
      <c r="H53" s="155"/>
      <c r="I53" s="155"/>
      <c r="J53" s="155"/>
      <c r="K53" s="146"/>
    </row>
    <row r="54">
      <c r="A54" s="9" t="s">
        <v>212</v>
      </c>
      <c r="B54" s="10" t="s">
        <v>84</v>
      </c>
      <c r="C54" s="10" t="s">
        <v>213</v>
      </c>
      <c r="D54" s="14" t="s">
        <v>214</v>
      </c>
      <c r="E54" s="10"/>
      <c r="F54" s="10" t="s">
        <v>159</v>
      </c>
      <c r="G54" s="111">
        <f>'Stavební rozpočet'!G54</f>
      </c>
      <c r="H54" s="111">
        <f>'Stavební rozpočet'!H54</f>
      </c>
      <c r="I54" s="111">
        <f>G54*H54</f>
      </c>
      <c r="J54" s="153" t="s">
        <v>134</v>
      </c>
      <c r="K54" s="146"/>
      <c r="Z54" s="111">
        <f>IF(AQ54="5",BJ54,0)</f>
      </c>
      <c r="AB54" s="111">
        <f>IF(AQ54="1",BH54,0)</f>
      </c>
      <c r="AC54" s="111">
        <f>IF(AQ54="1",BI54,0)</f>
      </c>
      <c r="AD54" s="111">
        <f>IF(AQ54="7",BH54,0)</f>
      </c>
      <c r="AE54" s="111">
        <f>IF(AQ54="7",BI54,0)</f>
      </c>
      <c r="AF54" s="111">
        <f>IF(AQ54="2",BH54,0)</f>
      </c>
      <c r="AG54" s="111">
        <f>IF(AQ54="2",BI54,0)</f>
      </c>
      <c r="AH54" s="111">
        <f>IF(AQ54="0",BJ54,0)</f>
      </c>
      <c r="AI54" s="132" t="s">
        <v>84</v>
      </c>
      <c r="AJ54" s="111">
        <f>IF(AN54=0,I54,0)</f>
      </c>
      <c r="AK54" s="111">
        <f>IF(AN54=12,I54,0)</f>
      </c>
      <c r="AL54" s="111">
        <f>IF(AN54=21,I54,0)</f>
      </c>
      <c r="AN54" s="111" t="n">
        <v>21</v>
      </c>
      <c r="AO54" s="111">
        <f>H54*0</f>
      </c>
      <c r="AP54" s="111">
        <f>H54*(1-0)</f>
      </c>
      <c r="AQ54" s="153" t="s">
        <v>130</v>
      </c>
      <c r="AV54" s="111">
        <f>AW54+AX54</f>
      </c>
      <c r="AW54" s="111">
        <f>G54*AO54</f>
      </c>
      <c r="AX54" s="111">
        <f>G54*AP54</f>
      </c>
      <c r="AY54" s="153" t="s">
        <v>206</v>
      </c>
      <c r="AZ54" s="153" t="s">
        <v>136</v>
      </c>
      <c r="BA54" s="132" t="s">
        <v>137</v>
      </c>
      <c r="BC54" s="111">
        <f>AW54+AX54</f>
      </c>
      <c r="BD54" s="111">
        <f>H54/(100-BE54)*100</f>
      </c>
      <c r="BE54" s="111" t="n">
        <v>0</v>
      </c>
      <c r="BF54" s="111">
        <f>54</f>
      </c>
      <c r="BH54" s="111">
        <f>G54*AO54</f>
      </c>
      <c r="BI54" s="111">
        <f>G54*AP54</f>
      </c>
      <c r="BJ54" s="111">
        <f>G54*H54</f>
      </c>
      <c r="BK54" s="111"/>
      <c r="BL54" s="111" t="n">
        <v>16</v>
      </c>
      <c r="BW54" s="111" t="n">
        <v>21</v>
      </c>
      <c r="BX54" s="14" t="s">
        <v>214</v>
      </c>
    </row>
    <row r="55">
      <c r="A55" s="154"/>
      <c r="B55" s="155"/>
      <c r="C55" s="155"/>
      <c r="D55" s="156" t="s">
        <v>138</v>
      </c>
      <c r="E55" s="156" t="s">
        <v>215</v>
      </c>
      <c r="F55" s="155"/>
      <c r="G55" s="157" t="n">
        <v>3</v>
      </c>
      <c r="H55" s="155"/>
      <c r="I55" s="155"/>
      <c r="J55" s="155"/>
      <c r="K55" s="146"/>
    </row>
    <row r="56">
      <c r="A56" s="154"/>
      <c r="B56" s="155"/>
      <c r="C56" s="155"/>
      <c r="D56" s="156" t="s">
        <v>216</v>
      </c>
      <c r="E56" s="156" t="s">
        <v>217</v>
      </c>
      <c r="F56" s="155"/>
      <c r="G56" s="157" t="n">
        <v>26.369</v>
      </c>
      <c r="H56" s="155"/>
      <c r="I56" s="155"/>
      <c r="J56" s="155"/>
      <c r="K56" s="146"/>
    </row>
    <row r="57">
      <c r="A57" s="154"/>
      <c r="B57" s="155"/>
      <c r="C57" s="155"/>
      <c r="D57" s="156" t="s">
        <v>218</v>
      </c>
      <c r="E57" s="156" t="s">
        <v>219</v>
      </c>
      <c r="F57" s="155"/>
      <c r="G57" s="157" t="n">
        <v>1072.76</v>
      </c>
      <c r="H57" s="155"/>
      <c r="I57" s="155"/>
      <c r="J57" s="155"/>
      <c r="K57" s="146"/>
    </row>
    <row r="58">
      <c r="A58" s="154"/>
      <c r="B58" s="155"/>
      <c r="C58" s="155"/>
      <c r="D58" s="156" t="s">
        <v>220</v>
      </c>
      <c r="E58" s="156" t="s">
        <v>221</v>
      </c>
      <c r="F58" s="155"/>
      <c r="G58" s="157" t="n">
        <v>151.71</v>
      </c>
      <c r="H58" s="155"/>
      <c r="I58" s="155"/>
      <c r="J58" s="155"/>
      <c r="K58" s="146"/>
    </row>
    <row r="59">
      <c r="A59" s="154"/>
      <c r="B59" s="155"/>
      <c r="C59" s="155"/>
      <c r="D59" s="156" t="s">
        <v>222</v>
      </c>
      <c r="E59" s="156" t="s">
        <v>223</v>
      </c>
      <c r="F59" s="155"/>
      <c r="G59" s="157" t="n">
        <v>360.62</v>
      </c>
      <c r="H59" s="155"/>
      <c r="I59" s="155"/>
      <c r="J59" s="155"/>
      <c r="K59" s="146"/>
    </row>
    <row r="60">
      <c r="A60" s="9" t="s">
        <v>224</v>
      </c>
      <c r="B60" s="10" t="s">
        <v>84</v>
      </c>
      <c r="C60" s="10" t="s">
        <v>225</v>
      </c>
      <c r="D60" s="14" t="s">
        <v>226</v>
      </c>
      <c r="E60" s="10"/>
      <c r="F60" s="10" t="s">
        <v>159</v>
      </c>
      <c r="G60" s="111">
        <f>'Stavební rozpočet'!G60</f>
      </c>
      <c r="H60" s="111">
        <f>'Stavební rozpočet'!H60</f>
      </c>
      <c r="I60" s="111">
        <f>G60*H60</f>
      </c>
      <c r="J60" s="153" t="s">
        <v>134</v>
      </c>
      <c r="K60" s="146"/>
      <c r="Z60" s="111">
        <f>IF(AQ60="5",BJ60,0)</f>
      </c>
      <c r="AB60" s="111">
        <f>IF(AQ60="1",BH60,0)</f>
      </c>
      <c r="AC60" s="111">
        <f>IF(AQ60="1",BI60,0)</f>
      </c>
      <c r="AD60" s="111">
        <f>IF(AQ60="7",BH60,0)</f>
      </c>
      <c r="AE60" s="111">
        <f>IF(AQ60="7",BI60,0)</f>
      </c>
      <c r="AF60" s="111">
        <f>IF(AQ60="2",BH60,0)</f>
      </c>
      <c r="AG60" s="111">
        <f>IF(AQ60="2",BI60,0)</f>
      </c>
      <c r="AH60" s="111">
        <f>IF(AQ60="0",BJ60,0)</f>
      </c>
      <c r="AI60" s="132" t="s">
        <v>84</v>
      </c>
      <c r="AJ60" s="111">
        <f>IF(AN60=0,I60,0)</f>
      </c>
      <c r="AK60" s="111">
        <f>IF(AN60=12,I60,0)</f>
      </c>
      <c r="AL60" s="111">
        <f>IF(AN60=21,I60,0)</f>
      </c>
      <c r="AN60" s="111" t="n">
        <v>21</v>
      </c>
      <c r="AO60" s="111">
        <f>H60*0</f>
      </c>
      <c r="AP60" s="111">
        <f>H60*(1-0)</f>
      </c>
      <c r="AQ60" s="153" t="s">
        <v>130</v>
      </c>
      <c r="AV60" s="111">
        <f>AW60+AX60</f>
      </c>
      <c r="AW60" s="111">
        <f>G60*AO60</f>
      </c>
      <c r="AX60" s="111">
        <f>G60*AP60</f>
      </c>
      <c r="AY60" s="153" t="s">
        <v>206</v>
      </c>
      <c r="AZ60" s="153" t="s">
        <v>136</v>
      </c>
      <c r="BA60" s="132" t="s">
        <v>137</v>
      </c>
      <c r="BC60" s="111">
        <f>AW60+AX60</f>
      </c>
      <c r="BD60" s="111">
        <f>H60/(100-BE60)*100</f>
      </c>
      <c r="BE60" s="111" t="n">
        <v>0</v>
      </c>
      <c r="BF60" s="111">
        <f>60</f>
      </c>
      <c r="BH60" s="111">
        <f>G60*AO60</f>
      </c>
      <c r="BI60" s="111">
        <f>G60*AP60</f>
      </c>
      <c r="BJ60" s="111">
        <f>G60*H60</f>
      </c>
      <c r="BK60" s="111"/>
      <c r="BL60" s="111" t="n">
        <v>16</v>
      </c>
      <c r="BW60" s="111" t="n">
        <v>21</v>
      </c>
      <c r="BX60" s="14" t="s">
        <v>226</v>
      </c>
    </row>
    <row r="61">
      <c r="A61" s="9" t="s">
        <v>202</v>
      </c>
      <c r="B61" s="10" t="s">
        <v>84</v>
      </c>
      <c r="C61" s="10" t="s">
        <v>227</v>
      </c>
      <c r="D61" s="14" t="s">
        <v>228</v>
      </c>
      <c r="E61" s="10"/>
      <c r="F61" s="10" t="s">
        <v>229</v>
      </c>
      <c r="G61" s="111">
        <f>'Stavební rozpočet'!G61</f>
      </c>
      <c r="H61" s="111">
        <f>'Stavební rozpočet'!H61</f>
      </c>
      <c r="I61" s="111">
        <f>G61*H61</f>
      </c>
      <c r="J61" s="153" t="s">
        <v>134</v>
      </c>
      <c r="K61" s="146"/>
      <c r="Z61" s="111">
        <f>IF(AQ61="5",BJ61,0)</f>
      </c>
      <c r="AB61" s="111">
        <f>IF(AQ61="1",BH61,0)</f>
      </c>
      <c r="AC61" s="111">
        <f>IF(AQ61="1",BI61,0)</f>
      </c>
      <c r="AD61" s="111">
        <f>IF(AQ61="7",BH61,0)</f>
      </c>
      <c r="AE61" s="111">
        <f>IF(AQ61="7",BI61,0)</f>
      </c>
      <c r="AF61" s="111">
        <f>IF(AQ61="2",BH61,0)</f>
      </c>
      <c r="AG61" s="111">
        <f>IF(AQ61="2",BI61,0)</f>
      </c>
      <c r="AH61" s="111">
        <f>IF(AQ61="0",BJ61,0)</f>
      </c>
      <c r="AI61" s="132" t="s">
        <v>84</v>
      </c>
      <c r="AJ61" s="111">
        <f>IF(AN61=0,I61,0)</f>
      </c>
      <c r="AK61" s="111">
        <f>IF(AN61=12,I61,0)</f>
      </c>
      <c r="AL61" s="111">
        <f>IF(AN61=21,I61,0)</f>
      </c>
      <c r="AN61" s="111" t="n">
        <v>21</v>
      </c>
      <c r="AO61" s="111">
        <f>H61*0</f>
      </c>
      <c r="AP61" s="111">
        <f>H61*(1-0)</f>
      </c>
      <c r="AQ61" s="153" t="s">
        <v>156</v>
      </c>
      <c r="AV61" s="111">
        <f>AW61+AX61</f>
      </c>
      <c r="AW61" s="111">
        <f>G61*AO61</f>
      </c>
      <c r="AX61" s="111">
        <f>G61*AP61</f>
      </c>
      <c r="AY61" s="153" t="s">
        <v>206</v>
      </c>
      <c r="AZ61" s="153" t="s">
        <v>136</v>
      </c>
      <c r="BA61" s="132" t="s">
        <v>137</v>
      </c>
      <c r="BC61" s="111">
        <f>AW61+AX61</f>
      </c>
      <c r="BD61" s="111">
        <f>H61/(100-BE61)*100</f>
      </c>
      <c r="BE61" s="111" t="n">
        <v>0</v>
      </c>
      <c r="BF61" s="111">
        <f>61</f>
      </c>
      <c r="BH61" s="111">
        <f>G61*AO61</f>
      </c>
      <c r="BI61" s="111">
        <f>G61*AP61</f>
      </c>
      <c r="BJ61" s="111">
        <f>G61*H61</f>
      </c>
      <c r="BK61" s="111"/>
      <c r="BL61" s="111" t="n">
        <v>16</v>
      </c>
      <c r="BW61" s="111" t="n">
        <v>21</v>
      </c>
      <c r="BX61" s="14" t="s">
        <v>228</v>
      </c>
    </row>
    <row r="62">
      <c r="A62" s="154"/>
      <c r="B62" s="155"/>
      <c r="C62" s="155"/>
      <c r="D62" s="156" t="s">
        <v>230</v>
      </c>
      <c r="E62" s="156" t="s">
        <v>231</v>
      </c>
      <c r="F62" s="155"/>
      <c r="G62" s="157" t="n">
        <v>3.6</v>
      </c>
      <c r="H62" s="155"/>
      <c r="I62" s="155"/>
      <c r="J62" s="155"/>
      <c r="K62" s="146"/>
    </row>
    <row r="63">
      <c r="A63" s="9" t="s">
        <v>232</v>
      </c>
      <c r="B63" s="10" t="s">
        <v>84</v>
      </c>
      <c r="C63" s="10" t="s">
        <v>233</v>
      </c>
      <c r="D63" s="14" t="s">
        <v>234</v>
      </c>
      <c r="E63" s="10"/>
      <c r="F63" s="10" t="s">
        <v>159</v>
      </c>
      <c r="G63" s="111">
        <f>'Stavební rozpočet'!G63</f>
      </c>
      <c r="H63" s="111">
        <f>'Stavební rozpočet'!H63</f>
      </c>
      <c r="I63" s="111">
        <f>G63*H63</f>
      </c>
      <c r="J63" s="153" t="s">
        <v>134</v>
      </c>
      <c r="K63" s="146"/>
      <c r="Z63" s="111">
        <f>IF(AQ63="5",BJ63,0)</f>
      </c>
      <c r="AB63" s="111">
        <f>IF(AQ63="1",BH63,0)</f>
      </c>
      <c r="AC63" s="111">
        <f>IF(AQ63="1",BI63,0)</f>
      </c>
      <c r="AD63" s="111">
        <f>IF(AQ63="7",BH63,0)</f>
      </c>
      <c r="AE63" s="111">
        <f>IF(AQ63="7",BI63,0)</f>
      </c>
      <c r="AF63" s="111">
        <f>IF(AQ63="2",BH63,0)</f>
      </c>
      <c r="AG63" s="111">
        <f>IF(AQ63="2",BI63,0)</f>
      </c>
      <c r="AH63" s="111">
        <f>IF(AQ63="0",BJ63,0)</f>
      </c>
      <c r="AI63" s="132" t="s">
        <v>84</v>
      </c>
      <c r="AJ63" s="111">
        <f>IF(AN63=0,I63,0)</f>
      </c>
      <c r="AK63" s="111">
        <f>IF(AN63=12,I63,0)</f>
      </c>
      <c r="AL63" s="111">
        <f>IF(AN63=21,I63,0)</f>
      </c>
      <c r="AN63" s="111" t="n">
        <v>21</v>
      </c>
      <c r="AO63" s="111">
        <f>H63*0</f>
      </c>
      <c r="AP63" s="111">
        <f>H63*(1-0)</f>
      </c>
      <c r="AQ63" s="153" t="s">
        <v>130</v>
      </c>
      <c r="AV63" s="111">
        <f>AW63+AX63</f>
      </c>
      <c r="AW63" s="111">
        <f>G63*AO63</f>
      </c>
      <c r="AX63" s="111">
        <f>G63*AP63</f>
      </c>
      <c r="AY63" s="153" t="s">
        <v>206</v>
      </c>
      <c r="AZ63" s="153" t="s">
        <v>136</v>
      </c>
      <c r="BA63" s="132" t="s">
        <v>137</v>
      </c>
      <c r="BC63" s="111">
        <f>AW63+AX63</f>
      </c>
      <c r="BD63" s="111">
        <f>H63/(100-BE63)*100</f>
      </c>
      <c r="BE63" s="111" t="n">
        <v>0</v>
      </c>
      <c r="BF63" s="111">
        <f>63</f>
      </c>
      <c r="BH63" s="111">
        <f>G63*AO63</f>
      </c>
      <c r="BI63" s="111">
        <f>G63*AP63</f>
      </c>
      <c r="BJ63" s="111">
        <f>G63*H63</f>
      </c>
      <c r="BK63" s="111"/>
      <c r="BL63" s="111" t="n">
        <v>16</v>
      </c>
      <c r="BW63" s="111" t="n">
        <v>21</v>
      </c>
      <c r="BX63" s="14" t="s">
        <v>234</v>
      </c>
    </row>
    <row r="64">
      <c r="A64" s="154"/>
      <c r="B64" s="155"/>
      <c r="C64" s="155"/>
      <c r="D64" s="156" t="s">
        <v>222</v>
      </c>
      <c r="E64" s="156" t="s">
        <v>162</v>
      </c>
      <c r="F64" s="155"/>
      <c r="G64" s="157" t="n">
        <v>360.62</v>
      </c>
      <c r="H64" s="155"/>
      <c r="I64" s="155"/>
      <c r="J64" s="155"/>
      <c r="K64" s="146"/>
    </row>
    <row r="65">
      <c r="A65" s="9" t="s">
        <v>235</v>
      </c>
      <c r="B65" s="10" t="s">
        <v>84</v>
      </c>
      <c r="C65" s="10" t="s">
        <v>236</v>
      </c>
      <c r="D65" s="14" t="s">
        <v>237</v>
      </c>
      <c r="E65" s="10"/>
      <c r="F65" s="10" t="s">
        <v>159</v>
      </c>
      <c r="G65" s="111">
        <f>'Stavební rozpočet'!G65</f>
      </c>
      <c r="H65" s="111">
        <f>'Stavební rozpočet'!H65</f>
      </c>
      <c r="I65" s="111">
        <f>G65*H65</f>
      </c>
      <c r="J65" s="153" t="s">
        <v>134</v>
      </c>
      <c r="K65" s="146"/>
      <c r="Z65" s="111">
        <f>IF(AQ65="5",BJ65,0)</f>
      </c>
      <c r="AB65" s="111">
        <f>IF(AQ65="1",BH65,0)</f>
      </c>
      <c r="AC65" s="111">
        <f>IF(AQ65="1",BI65,0)</f>
      </c>
      <c r="AD65" s="111">
        <f>IF(AQ65="7",BH65,0)</f>
      </c>
      <c r="AE65" s="111">
        <f>IF(AQ65="7",BI65,0)</f>
      </c>
      <c r="AF65" s="111">
        <f>IF(AQ65="2",BH65,0)</f>
      </c>
      <c r="AG65" s="111">
        <f>IF(AQ65="2",BI65,0)</f>
      </c>
      <c r="AH65" s="111">
        <f>IF(AQ65="0",BJ65,0)</f>
      </c>
      <c r="AI65" s="132" t="s">
        <v>84</v>
      </c>
      <c r="AJ65" s="111">
        <f>IF(AN65=0,I65,0)</f>
      </c>
      <c r="AK65" s="111">
        <f>IF(AN65=12,I65,0)</f>
      </c>
      <c r="AL65" s="111">
        <f>IF(AN65=21,I65,0)</f>
      </c>
      <c r="AN65" s="111" t="n">
        <v>21</v>
      </c>
      <c r="AO65" s="111">
        <f>H65*0</f>
      </c>
      <c r="AP65" s="111">
        <f>H65*(1-0)</f>
      </c>
      <c r="AQ65" s="153" t="s">
        <v>130</v>
      </c>
      <c r="AV65" s="111">
        <f>AW65+AX65</f>
      </c>
      <c r="AW65" s="111">
        <f>G65*AO65</f>
      </c>
      <c r="AX65" s="111">
        <f>G65*AP65</f>
      </c>
      <c r="AY65" s="153" t="s">
        <v>206</v>
      </c>
      <c r="AZ65" s="153" t="s">
        <v>136</v>
      </c>
      <c r="BA65" s="132" t="s">
        <v>137</v>
      </c>
      <c r="BC65" s="111">
        <f>AW65+AX65</f>
      </c>
      <c r="BD65" s="111">
        <f>H65/(100-BE65)*100</f>
      </c>
      <c r="BE65" s="111" t="n">
        <v>0</v>
      </c>
      <c r="BF65" s="111">
        <f>65</f>
      </c>
      <c r="BH65" s="111">
        <f>G65*AO65</f>
      </c>
      <c r="BI65" s="111">
        <f>G65*AP65</f>
      </c>
      <c r="BJ65" s="111">
        <f>G65*H65</f>
      </c>
      <c r="BK65" s="111"/>
      <c r="BL65" s="111" t="n">
        <v>16</v>
      </c>
      <c r="BW65" s="111" t="n">
        <v>21</v>
      </c>
      <c r="BX65" s="14" t="s">
        <v>237</v>
      </c>
    </row>
    <row r="66">
      <c r="A66" s="154"/>
      <c r="B66" s="155"/>
      <c r="C66" s="155"/>
      <c r="D66" s="156" t="s">
        <v>216</v>
      </c>
      <c r="E66" s="156" t="s">
        <v>217</v>
      </c>
      <c r="F66" s="155"/>
      <c r="G66" s="157" t="n">
        <v>26.369</v>
      </c>
      <c r="H66" s="155"/>
      <c r="I66" s="155"/>
      <c r="J66" s="155"/>
      <c r="K66" s="146"/>
    </row>
    <row r="67">
      <c r="A67" s="154"/>
      <c r="B67" s="155"/>
      <c r="C67" s="155"/>
      <c r="D67" s="156" t="s">
        <v>218</v>
      </c>
      <c r="E67" s="156" t="s">
        <v>219</v>
      </c>
      <c r="F67" s="155"/>
      <c r="G67" s="157" t="n">
        <v>1072.76</v>
      </c>
      <c r="H67" s="155"/>
      <c r="I67" s="155"/>
      <c r="J67" s="155"/>
      <c r="K67" s="146"/>
    </row>
    <row r="68">
      <c r="A68" s="154"/>
      <c r="B68" s="155"/>
      <c r="C68" s="155"/>
      <c r="D68" s="156" t="s">
        <v>220</v>
      </c>
      <c r="E68" s="156" t="s">
        <v>221</v>
      </c>
      <c r="F68" s="155"/>
      <c r="G68" s="157" t="n">
        <v>151.71</v>
      </c>
      <c r="H68" s="155"/>
      <c r="I68" s="155"/>
      <c r="J68" s="155"/>
      <c r="K68" s="146"/>
    </row>
    <row r="69">
      <c r="A69" s="147" t="s">
        <v>4</v>
      </c>
      <c r="B69" s="148" t="s">
        <v>84</v>
      </c>
      <c r="C69" s="148" t="s">
        <v>232</v>
      </c>
      <c r="D69" s="149" t="s">
        <v>238</v>
      </c>
      <c r="E69" s="148"/>
      <c r="F69" s="150" t="s">
        <v>79</v>
      </c>
      <c r="G69" s="150" t="s">
        <v>79</v>
      </c>
      <c r="H69" s="150" t="s">
        <v>79</v>
      </c>
      <c r="I69" s="117">
        <f>SUM(I70:I79)</f>
      </c>
      <c r="J69" s="132" t="s">
        <v>4</v>
      </c>
      <c r="K69" s="146"/>
      <c r="AI69" s="132" t="s">
        <v>84</v>
      </c>
      <c r="AS69" s="117">
        <f>SUM(AJ70:AJ79)</f>
      </c>
      <c r="AT69" s="117">
        <f>SUM(AK70:AK79)</f>
      </c>
      <c r="AU69" s="117">
        <f>SUM(AL70:AL79)</f>
      </c>
    </row>
    <row r="70">
      <c r="A70" s="9" t="s">
        <v>239</v>
      </c>
      <c r="B70" s="10" t="s">
        <v>84</v>
      </c>
      <c r="C70" s="10" t="s">
        <v>240</v>
      </c>
      <c r="D70" s="14" t="s">
        <v>241</v>
      </c>
      <c r="E70" s="10"/>
      <c r="F70" s="10" t="s">
        <v>159</v>
      </c>
      <c r="G70" s="111">
        <f>'Stavební rozpočet'!G70</f>
      </c>
      <c r="H70" s="111">
        <f>'Stavební rozpočet'!H70</f>
      </c>
      <c r="I70" s="111">
        <f>G70*H70</f>
      </c>
      <c r="J70" s="153" t="s">
        <v>134</v>
      </c>
      <c r="K70" s="146"/>
      <c r="Z70" s="111">
        <f>IF(AQ70="5",BJ70,0)</f>
      </c>
      <c r="AB70" s="111">
        <f>IF(AQ70="1",BH70,0)</f>
      </c>
      <c r="AC70" s="111">
        <f>IF(AQ70="1",BI70,0)</f>
      </c>
      <c r="AD70" s="111">
        <f>IF(AQ70="7",BH70,0)</f>
      </c>
      <c r="AE70" s="111">
        <f>IF(AQ70="7",BI70,0)</f>
      </c>
      <c r="AF70" s="111">
        <f>IF(AQ70="2",BH70,0)</f>
      </c>
      <c r="AG70" s="111">
        <f>IF(AQ70="2",BI70,0)</f>
      </c>
      <c r="AH70" s="111">
        <f>IF(AQ70="0",BJ70,0)</f>
      </c>
      <c r="AI70" s="132" t="s">
        <v>84</v>
      </c>
      <c r="AJ70" s="111">
        <f>IF(AN70=0,I70,0)</f>
      </c>
      <c r="AK70" s="111">
        <f>IF(AN70=12,I70,0)</f>
      </c>
      <c r="AL70" s="111">
        <f>IF(AN70=21,I70,0)</f>
      </c>
      <c r="AN70" s="111" t="n">
        <v>21</v>
      </c>
      <c r="AO70" s="111">
        <f>H70*0</f>
      </c>
      <c r="AP70" s="111">
        <f>H70*(1-0)</f>
      </c>
      <c r="AQ70" s="153" t="s">
        <v>130</v>
      </c>
      <c r="AV70" s="111">
        <f>AW70+AX70</f>
      </c>
      <c r="AW70" s="111">
        <f>G70*AO70</f>
      </c>
      <c r="AX70" s="111">
        <f>G70*AP70</f>
      </c>
      <c r="AY70" s="153" t="s">
        <v>242</v>
      </c>
      <c r="AZ70" s="153" t="s">
        <v>136</v>
      </c>
      <c r="BA70" s="132" t="s">
        <v>137</v>
      </c>
      <c r="BC70" s="111">
        <f>AW70+AX70</f>
      </c>
      <c r="BD70" s="111">
        <f>H70/(100-BE70)*100</f>
      </c>
      <c r="BE70" s="111" t="n">
        <v>0</v>
      </c>
      <c r="BF70" s="111">
        <f>70</f>
      </c>
      <c r="BH70" s="111">
        <f>G70*AO70</f>
      </c>
      <c r="BI70" s="111">
        <f>G70*AP70</f>
      </c>
      <c r="BJ70" s="111">
        <f>G70*H70</f>
      </c>
      <c r="BK70" s="111"/>
      <c r="BL70" s="111" t="n">
        <v>17</v>
      </c>
      <c r="BW70" s="111" t="n">
        <v>21</v>
      </c>
      <c r="BX70" s="14" t="s">
        <v>241</v>
      </c>
    </row>
    <row r="71" customHeight="true" ht="13.5">
      <c r="A71" s="159"/>
      <c r="C71" s="160" t="s">
        <v>146</v>
      </c>
      <c r="D71" s="161" t="s">
        <v>243</v>
      </c>
      <c r="E71" s="156"/>
      <c r="F71" s="156"/>
      <c r="G71" s="156"/>
      <c r="H71" s="156"/>
      <c r="I71" s="156"/>
      <c r="J71" s="156"/>
      <c r="K71" s="163"/>
    </row>
    <row r="72">
      <c r="A72" s="154"/>
      <c r="B72" s="155"/>
      <c r="C72" s="155"/>
      <c r="D72" s="156" t="s">
        <v>4</v>
      </c>
      <c r="E72" s="156" t="s">
        <v>244</v>
      </c>
      <c r="F72" s="155"/>
      <c r="G72" s="157" t="n">
        <v>0</v>
      </c>
      <c r="H72" s="155"/>
      <c r="I72" s="155"/>
      <c r="J72" s="155"/>
      <c r="K72" s="146"/>
    </row>
    <row r="73">
      <c r="A73" s="154"/>
      <c r="B73" s="155"/>
      <c r="C73" s="155"/>
      <c r="D73" s="156" t="s">
        <v>245</v>
      </c>
      <c r="E73" s="156" t="s">
        <v>246</v>
      </c>
      <c r="F73" s="155"/>
      <c r="G73" s="157" t="n">
        <v>56.62</v>
      </c>
      <c r="H73" s="155"/>
      <c r="I73" s="155"/>
      <c r="J73" s="155"/>
      <c r="K73" s="146"/>
    </row>
    <row r="74">
      <c r="A74" s="154"/>
      <c r="B74" s="155"/>
      <c r="C74" s="155"/>
      <c r="D74" s="156" t="s">
        <v>247</v>
      </c>
      <c r="E74" s="156" t="s">
        <v>248</v>
      </c>
      <c r="F74" s="155"/>
      <c r="G74" s="157" t="n">
        <v>19.484</v>
      </c>
      <c r="H74" s="155"/>
      <c r="I74" s="155"/>
      <c r="J74" s="155"/>
      <c r="K74" s="146"/>
    </row>
    <row r="75">
      <c r="A75" s="154"/>
      <c r="B75" s="155"/>
      <c r="C75" s="155"/>
      <c r="D75" s="156" t="s">
        <v>249</v>
      </c>
      <c r="E75" s="156" t="s">
        <v>250</v>
      </c>
      <c r="F75" s="155"/>
      <c r="G75" s="157" t="n">
        <v>3.604</v>
      </c>
      <c r="H75" s="155"/>
      <c r="I75" s="155"/>
      <c r="J75" s="155"/>
      <c r="K75" s="146"/>
    </row>
    <row r="76">
      <c r="A76" s="154"/>
      <c r="B76" s="155"/>
      <c r="C76" s="155"/>
      <c r="D76" s="156" t="s">
        <v>251</v>
      </c>
      <c r="E76" s="156" t="s">
        <v>250</v>
      </c>
      <c r="F76" s="155"/>
      <c r="G76" s="157" t="n">
        <v>7</v>
      </c>
      <c r="H76" s="155"/>
      <c r="I76" s="155"/>
      <c r="J76" s="155"/>
      <c r="K76" s="146"/>
    </row>
    <row r="77">
      <c r="A77" s="154"/>
      <c r="B77" s="155"/>
      <c r="C77" s="155"/>
      <c r="D77" s="156" t="s">
        <v>252</v>
      </c>
      <c r="E77" s="156" t="s">
        <v>250</v>
      </c>
      <c r="F77" s="155"/>
      <c r="G77" s="157" t="n">
        <v>4.44</v>
      </c>
      <c r="H77" s="155"/>
      <c r="I77" s="155"/>
      <c r="J77" s="155"/>
      <c r="K77" s="146"/>
    </row>
    <row r="78">
      <c r="A78" s="154"/>
      <c r="B78" s="155"/>
      <c r="C78" s="155"/>
      <c r="D78" s="156" t="s">
        <v>253</v>
      </c>
      <c r="E78" s="156" t="s">
        <v>254</v>
      </c>
      <c r="F78" s="155"/>
      <c r="G78" s="157" t="n">
        <v>109.33333</v>
      </c>
      <c r="H78" s="155"/>
      <c r="I78" s="155"/>
      <c r="J78" s="155"/>
      <c r="K78" s="146"/>
    </row>
    <row r="79">
      <c r="A79" s="9" t="s">
        <v>255</v>
      </c>
      <c r="B79" s="10" t="s">
        <v>84</v>
      </c>
      <c r="C79" s="10" t="s">
        <v>256</v>
      </c>
      <c r="D79" s="14" t="s">
        <v>257</v>
      </c>
      <c r="E79" s="10"/>
      <c r="F79" s="10" t="s">
        <v>229</v>
      </c>
      <c r="G79" s="111">
        <f>'Stavební rozpočet'!G79</f>
      </c>
      <c r="H79" s="111">
        <f>'Stavební rozpočet'!H79</f>
      </c>
      <c r="I79" s="111">
        <f>G79*H79</f>
      </c>
      <c r="J79" s="153" t="s">
        <v>134</v>
      </c>
      <c r="K79" s="146"/>
      <c r="Z79" s="111">
        <f>IF(AQ79="5",BJ79,0)</f>
      </c>
      <c r="AB79" s="111">
        <f>IF(AQ79="1",BH79,0)</f>
      </c>
      <c r="AC79" s="111">
        <f>IF(AQ79="1",BI79,0)</f>
      </c>
      <c r="AD79" s="111">
        <f>IF(AQ79="7",BH79,0)</f>
      </c>
      <c r="AE79" s="111">
        <f>IF(AQ79="7",BI79,0)</f>
      </c>
      <c r="AF79" s="111">
        <f>IF(AQ79="2",BH79,0)</f>
      </c>
      <c r="AG79" s="111">
        <f>IF(AQ79="2",BI79,0)</f>
      </c>
      <c r="AH79" s="111">
        <f>IF(AQ79="0",BJ79,0)</f>
      </c>
      <c r="AI79" s="132" t="s">
        <v>84</v>
      </c>
      <c r="AJ79" s="111">
        <f>IF(AN79=0,I79,0)</f>
      </c>
      <c r="AK79" s="111">
        <f>IF(AN79=12,I79,0)</f>
      </c>
      <c r="AL79" s="111">
        <f>IF(AN79=21,I79,0)</f>
      </c>
      <c r="AN79" s="111" t="n">
        <v>21</v>
      </c>
      <c r="AO79" s="111">
        <f>H79*1</f>
      </c>
      <c r="AP79" s="111">
        <f>H79*(1-1)</f>
      </c>
      <c r="AQ79" s="153" t="s">
        <v>130</v>
      </c>
      <c r="AV79" s="111">
        <f>AW79+AX79</f>
      </c>
      <c r="AW79" s="111">
        <f>G79*AO79</f>
      </c>
      <c r="AX79" s="111">
        <f>G79*AP79</f>
      </c>
      <c r="AY79" s="153" t="s">
        <v>242</v>
      </c>
      <c r="AZ79" s="153" t="s">
        <v>136</v>
      </c>
      <c r="BA79" s="132" t="s">
        <v>137</v>
      </c>
      <c r="BC79" s="111">
        <f>AW79+AX79</f>
      </c>
      <c r="BD79" s="111">
        <f>H79/(100-BE79)*100</f>
      </c>
      <c r="BE79" s="111" t="n">
        <v>0</v>
      </c>
      <c r="BF79" s="111">
        <f>79</f>
      </c>
      <c r="BH79" s="111">
        <f>G79*AO79</f>
      </c>
      <c r="BI79" s="111">
        <f>G79*AP79</f>
      </c>
      <c r="BJ79" s="111">
        <f>G79*H79</f>
      </c>
      <c r="BK79" s="111"/>
      <c r="BL79" s="111" t="n">
        <v>17</v>
      </c>
      <c r="BW79" s="111" t="n">
        <v>21</v>
      </c>
      <c r="BX79" s="14" t="s">
        <v>257</v>
      </c>
    </row>
    <row r="80">
      <c r="A80" s="154"/>
      <c r="B80" s="155"/>
      <c r="C80" s="155"/>
      <c r="D80" s="156" t="s">
        <v>258</v>
      </c>
      <c r="E80" s="156" t="s">
        <v>259</v>
      </c>
      <c r="F80" s="155"/>
      <c r="G80" s="157" t="n">
        <v>340.816</v>
      </c>
      <c r="H80" s="155"/>
      <c r="I80" s="155"/>
      <c r="J80" s="155"/>
      <c r="K80" s="146"/>
    </row>
    <row r="81">
      <c r="A81" s="147" t="s">
        <v>4</v>
      </c>
      <c r="B81" s="148" t="s">
        <v>84</v>
      </c>
      <c r="C81" s="148" t="s">
        <v>235</v>
      </c>
      <c r="D81" s="149" t="s">
        <v>260</v>
      </c>
      <c r="E81" s="148"/>
      <c r="F81" s="150" t="s">
        <v>79</v>
      </c>
      <c r="G81" s="150" t="s">
        <v>79</v>
      </c>
      <c r="H81" s="150" t="s">
        <v>79</v>
      </c>
      <c r="I81" s="117">
        <f>SUM(I82:I89)</f>
      </c>
      <c r="J81" s="132" t="s">
        <v>4</v>
      </c>
      <c r="K81" s="146"/>
      <c r="AI81" s="132" t="s">
        <v>84</v>
      </c>
      <c r="AS81" s="117">
        <f>SUM(AJ82:AJ89)</f>
      </c>
      <c r="AT81" s="117">
        <f>SUM(AK82:AK89)</f>
      </c>
      <c r="AU81" s="117">
        <f>SUM(AL82:AL89)</f>
      </c>
    </row>
    <row r="82">
      <c r="A82" s="9" t="s">
        <v>261</v>
      </c>
      <c r="B82" s="10" t="s">
        <v>84</v>
      </c>
      <c r="C82" s="10" t="s">
        <v>262</v>
      </c>
      <c r="D82" s="14" t="s">
        <v>263</v>
      </c>
      <c r="E82" s="10"/>
      <c r="F82" s="10" t="s">
        <v>145</v>
      </c>
      <c r="G82" s="111">
        <f>'Stavební rozpočet'!G82</f>
      </c>
      <c r="H82" s="111">
        <f>'Stavební rozpočet'!H82</f>
      </c>
      <c r="I82" s="111">
        <f>G82*H82</f>
      </c>
      <c r="J82" s="153" t="s">
        <v>134</v>
      </c>
      <c r="K82" s="146"/>
      <c r="Z82" s="111">
        <f>IF(AQ82="5",BJ82,0)</f>
      </c>
      <c r="AB82" s="111">
        <f>IF(AQ82="1",BH82,0)</f>
      </c>
      <c r="AC82" s="111">
        <f>IF(AQ82="1",BI82,0)</f>
      </c>
      <c r="AD82" s="111">
        <f>IF(AQ82="7",BH82,0)</f>
      </c>
      <c r="AE82" s="111">
        <f>IF(AQ82="7",BI82,0)</f>
      </c>
      <c r="AF82" s="111">
        <f>IF(AQ82="2",BH82,0)</f>
      </c>
      <c r="AG82" s="111">
        <f>IF(AQ82="2",BI82,0)</f>
      </c>
      <c r="AH82" s="111">
        <f>IF(AQ82="0",BJ82,0)</f>
      </c>
      <c r="AI82" s="132" t="s">
        <v>84</v>
      </c>
      <c r="AJ82" s="111">
        <f>IF(AN82=0,I82,0)</f>
      </c>
      <c r="AK82" s="111">
        <f>IF(AN82=12,I82,0)</f>
      </c>
      <c r="AL82" s="111">
        <f>IF(AN82=21,I82,0)</f>
      </c>
      <c r="AN82" s="111" t="n">
        <v>21</v>
      </c>
      <c r="AO82" s="111">
        <f>H82*0</f>
      </c>
      <c r="AP82" s="111">
        <f>H82*(1-0)</f>
      </c>
      <c r="AQ82" s="153" t="s">
        <v>130</v>
      </c>
      <c r="AV82" s="111">
        <f>AW82+AX82</f>
      </c>
      <c r="AW82" s="111">
        <f>G82*AO82</f>
      </c>
      <c r="AX82" s="111">
        <f>G82*AP82</f>
      </c>
      <c r="AY82" s="153" t="s">
        <v>264</v>
      </c>
      <c r="AZ82" s="153" t="s">
        <v>136</v>
      </c>
      <c r="BA82" s="132" t="s">
        <v>137</v>
      </c>
      <c r="BC82" s="111">
        <f>AW82+AX82</f>
      </c>
      <c r="BD82" s="111">
        <f>H82/(100-BE82)*100</f>
      </c>
      <c r="BE82" s="111" t="n">
        <v>0</v>
      </c>
      <c r="BF82" s="111">
        <f>82</f>
      </c>
      <c r="BH82" s="111">
        <f>G82*AO82</f>
      </c>
      <c r="BI82" s="111">
        <f>G82*AP82</f>
      </c>
      <c r="BJ82" s="111">
        <f>G82*H82</f>
      </c>
      <c r="BK82" s="111"/>
      <c r="BL82" s="111" t="n">
        <v>18</v>
      </c>
      <c r="BW82" s="111" t="n">
        <v>21</v>
      </c>
      <c r="BX82" s="14" t="s">
        <v>263</v>
      </c>
    </row>
    <row r="83" customHeight="true" ht="13.5">
      <c r="A83" s="159"/>
      <c r="C83" s="160" t="s">
        <v>146</v>
      </c>
      <c r="D83" s="161" t="s">
        <v>265</v>
      </c>
      <c r="E83" s="156"/>
      <c r="F83" s="156"/>
      <c r="G83" s="156"/>
      <c r="H83" s="156"/>
      <c r="I83" s="156"/>
      <c r="J83" s="156"/>
      <c r="K83" s="163"/>
    </row>
    <row r="84">
      <c r="A84" s="154"/>
      <c r="B84" s="155"/>
      <c r="C84" s="155"/>
      <c r="D84" s="156" t="s">
        <v>148</v>
      </c>
      <c r="E84" s="156" t="s">
        <v>139</v>
      </c>
      <c r="F84" s="155"/>
      <c r="G84" s="157" t="n">
        <v>50</v>
      </c>
      <c r="H84" s="155"/>
      <c r="I84" s="155"/>
      <c r="J84" s="155"/>
      <c r="K84" s="146"/>
    </row>
    <row r="85">
      <c r="A85" s="9" t="s">
        <v>266</v>
      </c>
      <c r="B85" s="10" t="s">
        <v>84</v>
      </c>
      <c r="C85" s="10" t="s">
        <v>267</v>
      </c>
      <c r="D85" s="14" t="s">
        <v>268</v>
      </c>
      <c r="E85" s="10"/>
      <c r="F85" s="10" t="s">
        <v>145</v>
      </c>
      <c r="G85" s="111">
        <f>'Stavební rozpočet'!G85</f>
      </c>
      <c r="H85" s="111">
        <f>'Stavební rozpočet'!H85</f>
      </c>
      <c r="I85" s="111">
        <f>G85*H85</f>
      </c>
      <c r="J85" s="153" t="s">
        <v>134</v>
      </c>
      <c r="K85" s="146"/>
      <c r="Z85" s="111">
        <f>IF(AQ85="5",BJ85,0)</f>
      </c>
      <c r="AB85" s="111">
        <f>IF(AQ85="1",BH85,0)</f>
      </c>
      <c r="AC85" s="111">
        <f>IF(AQ85="1",BI85,0)</f>
      </c>
      <c r="AD85" s="111">
        <f>IF(AQ85="7",BH85,0)</f>
      </c>
      <c r="AE85" s="111">
        <f>IF(AQ85="7",BI85,0)</f>
      </c>
      <c r="AF85" s="111">
        <f>IF(AQ85="2",BH85,0)</f>
      </c>
      <c r="AG85" s="111">
        <f>IF(AQ85="2",BI85,0)</f>
      </c>
      <c r="AH85" s="111">
        <f>IF(AQ85="0",BJ85,0)</f>
      </c>
      <c r="AI85" s="132" t="s">
        <v>84</v>
      </c>
      <c r="AJ85" s="111">
        <f>IF(AN85=0,I85,0)</f>
      </c>
      <c r="AK85" s="111">
        <f>IF(AN85=12,I85,0)</f>
      </c>
      <c r="AL85" s="111">
        <f>IF(AN85=21,I85,0)</f>
      </c>
      <c r="AN85" s="111" t="n">
        <v>21</v>
      </c>
      <c r="AO85" s="111">
        <f>H85*0</f>
      </c>
      <c r="AP85" s="111">
        <f>H85*(1-0)</f>
      </c>
      <c r="AQ85" s="153" t="s">
        <v>130</v>
      </c>
      <c r="AV85" s="111">
        <f>AW85+AX85</f>
      </c>
      <c r="AW85" s="111">
        <f>G85*AO85</f>
      </c>
      <c r="AX85" s="111">
        <f>G85*AP85</f>
      </c>
      <c r="AY85" s="153" t="s">
        <v>264</v>
      </c>
      <c r="AZ85" s="153" t="s">
        <v>136</v>
      </c>
      <c r="BA85" s="132" t="s">
        <v>137</v>
      </c>
      <c r="BC85" s="111">
        <f>AW85+AX85</f>
      </c>
      <c r="BD85" s="111">
        <f>H85/(100-BE85)*100</f>
      </c>
      <c r="BE85" s="111" t="n">
        <v>0</v>
      </c>
      <c r="BF85" s="111">
        <f>85</f>
      </c>
      <c r="BH85" s="111">
        <f>G85*AO85</f>
      </c>
      <c r="BI85" s="111">
        <f>G85*AP85</f>
      </c>
      <c r="BJ85" s="111">
        <f>G85*H85</f>
      </c>
      <c r="BK85" s="111"/>
      <c r="BL85" s="111" t="n">
        <v>18</v>
      </c>
      <c r="BW85" s="111" t="n">
        <v>21</v>
      </c>
      <c r="BX85" s="14" t="s">
        <v>268</v>
      </c>
    </row>
    <row r="86" customHeight="true" ht="13.5">
      <c r="A86" s="159"/>
      <c r="C86" s="160" t="s">
        <v>146</v>
      </c>
      <c r="D86" s="161" t="s">
        <v>269</v>
      </c>
      <c r="E86" s="156"/>
      <c r="F86" s="156"/>
      <c r="G86" s="156"/>
      <c r="H86" s="156"/>
      <c r="I86" s="156"/>
      <c r="J86" s="156"/>
      <c r="K86" s="163"/>
    </row>
    <row r="87">
      <c r="A87" s="154"/>
      <c r="B87" s="155"/>
      <c r="C87" s="155"/>
      <c r="D87" s="156" t="s">
        <v>270</v>
      </c>
      <c r="E87" s="156" t="s">
        <v>271</v>
      </c>
      <c r="F87" s="155"/>
      <c r="G87" s="157" t="n">
        <v>961</v>
      </c>
      <c r="H87" s="155"/>
      <c r="I87" s="155"/>
      <c r="J87" s="155"/>
      <c r="K87" s="146"/>
    </row>
    <row r="88">
      <c r="A88" s="154"/>
      <c r="B88" s="155"/>
      <c r="C88" s="155"/>
      <c r="D88" s="156" t="s">
        <v>272</v>
      </c>
      <c r="E88" s="156" t="s">
        <v>273</v>
      </c>
      <c r="F88" s="155"/>
      <c r="G88" s="157" t="n">
        <v>-30.1</v>
      </c>
      <c r="H88" s="155"/>
      <c r="I88" s="155"/>
      <c r="J88" s="155"/>
      <c r="K88" s="146"/>
    </row>
    <row r="89">
      <c r="A89" s="9" t="s">
        <v>274</v>
      </c>
      <c r="B89" s="10" t="s">
        <v>84</v>
      </c>
      <c r="C89" s="10" t="s">
        <v>275</v>
      </c>
      <c r="D89" s="14" t="s">
        <v>276</v>
      </c>
      <c r="E89" s="10"/>
      <c r="F89" s="10" t="s">
        <v>145</v>
      </c>
      <c r="G89" s="111">
        <f>'Stavební rozpočet'!G89</f>
      </c>
      <c r="H89" s="111">
        <f>'Stavební rozpočet'!H89</f>
      </c>
      <c r="I89" s="111">
        <f>G89*H89</f>
      </c>
      <c r="J89" s="153" t="s">
        <v>134</v>
      </c>
      <c r="K89" s="146"/>
      <c r="Z89" s="111">
        <f>IF(AQ89="5",BJ89,0)</f>
      </c>
      <c r="AB89" s="111">
        <f>IF(AQ89="1",BH89,0)</f>
      </c>
      <c r="AC89" s="111">
        <f>IF(AQ89="1",BI89,0)</f>
      </c>
      <c r="AD89" s="111">
        <f>IF(AQ89="7",BH89,0)</f>
      </c>
      <c r="AE89" s="111">
        <f>IF(AQ89="7",BI89,0)</f>
      </c>
      <c r="AF89" s="111">
        <f>IF(AQ89="2",BH89,0)</f>
      </c>
      <c r="AG89" s="111">
        <f>IF(AQ89="2",BI89,0)</f>
      </c>
      <c r="AH89" s="111">
        <f>IF(AQ89="0",BJ89,0)</f>
      </c>
      <c r="AI89" s="132" t="s">
        <v>84</v>
      </c>
      <c r="AJ89" s="111">
        <f>IF(AN89=0,I89,0)</f>
      </c>
      <c r="AK89" s="111">
        <f>IF(AN89=12,I89,0)</f>
      </c>
      <c r="AL89" s="111">
        <f>IF(AN89=21,I89,0)</f>
      </c>
      <c r="AN89" s="111" t="n">
        <v>21</v>
      </c>
      <c r="AO89" s="111">
        <f>H89*0.026894018</f>
      </c>
      <c r="AP89" s="111">
        <f>H89*(1-0.026894018)</f>
      </c>
      <c r="AQ89" s="153" t="s">
        <v>130</v>
      </c>
      <c r="AV89" s="111">
        <f>AW89+AX89</f>
      </c>
      <c r="AW89" s="111">
        <f>G89*AO89</f>
      </c>
      <c r="AX89" s="111">
        <f>G89*AP89</f>
      </c>
      <c r="AY89" s="153" t="s">
        <v>264</v>
      </c>
      <c r="AZ89" s="153" t="s">
        <v>136</v>
      </c>
      <c r="BA89" s="132" t="s">
        <v>137</v>
      </c>
      <c r="BC89" s="111">
        <f>AW89+AX89</f>
      </c>
      <c r="BD89" s="111">
        <f>H89/(100-BE89)*100</f>
      </c>
      <c r="BE89" s="111" t="n">
        <v>0</v>
      </c>
      <c r="BF89" s="111">
        <f>89</f>
      </c>
      <c r="BH89" s="111">
        <f>G89*AO89</f>
      </c>
      <c r="BI89" s="111">
        <f>G89*AP89</f>
      </c>
      <c r="BJ89" s="111">
        <f>G89*H89</f>
      </c>
      <c r="BK89" s="111"/>
      <c r="BL89" s="111" t="n">
        <v>18</v>
      </c>
      <c r="BW89" s="111" t="n">
        <v>21</v>
      </c>
      <c r="BX89" s="14" t="s">
        <v>276</v>
      </c>
    </row>
    <row r="90" customHeight="true" ht="13.5">
      <c r="A90" s="159"/>
      <c r="C90" s="160" t="s">
        <v>146</v>
      </c>
      <c r="D90" s="161" t="s">
        <v>277</v>
      </c>
      <c r="E90" s="156"/>
      <c r="F90" s="156"/>
      <c r="G90" s="156"/>
      <c r="H90" s="156"/>
      <c r="I90" s="156"/>
      <c r="J90" s="156"/>
      <c r="K90" s="163"/>
    </row>
    <row r="91">
      <c r="A91" s="154"/>
      <c r="B91" s="155"/>
      <c r="C91" s="155"/>
      <c r="D91" s="156" t="s">
        <v>270</v>
      </c>
      <c r="E91" s="156" t="s">
        <v>271</v>
      </c>
      <c r="F91" s="155"/>
      <c r="G91" s="157" t="n">
        <v>961</v>
      </c>
      <c r="H91" s="155"/>
      <c r="I91" s="155"/>
      <c r="J91" s="155"/>
      <c r="K91" s="146"/>
    </row>
    <row r="92">
      <c r="A92" s="154"/>
      <c r="B92" s="155"/>
      <c r="C92" s="155"/>
      <c r="D92" s="156" t="s">
        <v>272</v>
      </c>
      <c r="E92" s="156" t="s">
        <v>273</v>
      </c>
      <c r="F92" s="155"/>
      <c r="G92" s="157" t="n">
        <v>-30.1</v>
      </c>
      <c r="H92" s="155"/>
      <c r="I92" s="155"/>
      <c r="J92" s="155"/>
      <c r="K92" s="146"/>
    </row>
    <row r="93">
      <c r="A93" s="147" t="s">
        <v>4</v>
      </c>
      <c r="B93" s="148" t="s">
        <v>84</v>
      </c>
      <c r="C93" s="148" t="s">
        <v>261</v>
      </c>
      <c r="D93" s="149" t="s">
        <v>278</v>
      </c>
      <c r="E93" s="148"/>
      <c r="F93" s="150" t="s">
        <v>79</v>
      </c>
      <c r="G93" s="150" t="s">
        <v>79</v>
      </c>
      <c r="H93" s="150" t="s">
        <v>79</v>
      </c>
      <c r="I93" s="117">
        <f>SUM(I94:I94)</f>
      </c>
      <c r="J93" s="132" t="s">
        <v>4</v>
      </c>
      <c r="K93" s="146"/>
      <c r="AI93" s="132" t="s">
        <v>84</v>
      </c>
      <c r="AS93" s="117">
        <f>SUM(AJ94:AJ94)</f>
      </c>
      <c r="AT93" s="117">
        <f>SUM(AK94:AK94)</f>
      </c>
      <c r="AU93" s="117">
        <f>SUM(AL94:AL94)</f>
      </c>
    </row>
    <row r="94">
      <c r="A94" s="9" t="s">
        <v>279</v>
      </c>
      <c r="B94" s="10" t="s">
        <v>84</v>
      </c>
      <c r="C94" s="10" t="s">
        <v>280</v>
      </c>
      <c r="D94" s="14" t="s">
        <v>281</v>
      </c>
      <c r="E94" s="10"/>
      <c r="F94" s="10" t="s">
        <v>282</v>
      </c>
      <c r="G94" s="111">
        <f>'Stavební rozpočet'!G94</f>
      </c>
      <c r="H94" s="111">
        <f>'Stavební rozpočet'!H94</f>
      </c>
      <c r="I94" s="111">
        <f>G94*H94</f>
      </c>
      <c r="J94" s="153" t="s">
        <v>134</v>
      </c>
      <c r="K94" s="146"/>
      <c r="Z94" s="111">
        <f>IF(AQ94="5",BJ94,0)</f>
      </c>
      <c r="AB94" s="111">
        <f>IF(AQ94="1",BH94,0)</f>
      </c>
      <c r="AC94" s="111">
        <f>IF(AQ94="1",BI94,0)</f>
      </c>
      <c r="AD94" s="111">
        <f>IF(AQ94="7",BH94,0)</f>
      </c>
      <c r="AE94" s="111">
        <f>IF(AQ94="7",BI94,0)</f>
      </c>
      <c r="AF94" s="111">
        <f>IF(AQ94="2",BH94,0)</f>
      </c>
      <c r="AG94" s="111">
        <f>IF(AQ94="2",BI94,0)</f>
      </c>
      <c r="AH94" s="111">
        <f>IF(AQ94="0",BJ94,0)</f>
      </c>
      <c r="AI94" s="132" t="s">
        <v>84</v>
      </c>
      <c r="AJ94" s="111">
        <f>IF(AN94=0,I94,0)</f>
      </c>
      <c r="AK94" s="111">
        <f>IF(AN94=12,I94,0)</f>
      </c>
      <c r="AL94" s="111">
        <f>IF(AN94=21,I94,0)</f>
      </c>
      <c r="AN94" s="111" t="n">
        <v>21</v>
      </c>
      <c r="AO94" s="111">
        <f>H94*0.479497965</f>
      </c>
      <c r="AP94" s="111">
        <f>H94*(1-0.479497965)</f>
      </c>
      <c r="AQ94" s="153" t="s">
        <v>130</v>
      </c>
      <c r="AV94" s="111">
        <f>AW94+AX94</f>
      </c>
      <c r="AW94" s="111">
        <f>G94*AO94</f>
      </c>
      <c r="AX94" s="111">
        <f>G94*AP94</f>
      </c>
      <c r="AY94" s="153" t="s">
        <v>283</v>
      </c>
      <c r="AZ94" s="153" t="s">
        <v>284</v>
      </c>
      <c r="BA94" s="132" t="s">
        <v>137</v>
      </c>
      <c r="BC94" s="111">
        <f>AW94+AX94</f>
      </c>
      <c r="BD94" s="111">
        <f>H94/(100-BE94)*100</f>
      </c>
      <c r="BE94" s="111" t="n">
        <v>0</v>
      </c>
      <c r="BF94" s="111">
        <f>94</f>
      </c>
      <c r="BH94" s="111">
        <f>G94*AO94</f>
      </c>
      <c r="BI94" s="111">
        <f>G94*AP94</f>
      </c>
      <c r="BJ94" s="111">
        <f>G94*H94</f>
      </c>
      <c r="BK94" s="111"/>
      <c r="BL94" s="111" t="n">
        <v>21</v>
      </c>
      <c r="BW94" s="111" t="n">
        <v>21</v>
      </c>
      <c r="BX94" s="14" t="s">
        <v>281</v>
      </c>
    </row>
    <row r="95" customHeight="true" ht="13.5">
      <c r="A95" s="159"/>
      <c r="C95" s="160" t="s">
        <v>146</v>
      </c>
      <c r="D95" s="161" t="s">
        <v>285</v>
      </c>
      <c r="E95" s="156"/>
      <c r="F95" s="156"/>
      <c r="G95" s="156"/>
      <c r="H95" s="156"/>
      <c r="I95" s="156"/>
      <c r="J95" s="156"/>
      <c r="K95" s="163"/>
    </row>
    <row r="96">
      <c r="A96" s="154"/>
      <c r="B96" s="155"/>
      <c r="C96" s="155"/>
      <c r="D96" s="156" t="s">
        <v>286</v>
      </c>
      <c r="E96" s="156" t="s">
        <v>287</v>
      </c>
      <c r="F96" s="155"/>
      <c r="G96" s="157" t="n">
        <v>48.4</v>
      </c>
      <c r="H96" s="155"/>
      <c r="I96" s="155"/>
      <c r="J96" s="155"/>
      <c r="K96" s="146"/>
    </row>
    <row r="97">
      <c r="A97" s="147" t="s">
        <v>4</v>
      </c>
      <c r="B97" s="148" t="s">
        <v>84</v>
      </c>
      <c r="C97" s="148" t="s">
        <v>288</v>
      </c>
      <c r="D97" s="149" t="s">
        <v>289</v>
      </c>
      <c r="E97" s="148"/>
      <c r="F97" s="150" t="s">
        <v>79</v>
      </c>
      <c r="G97" s="150" t="s">
        <v>79</v>
      </c>
      <c r="H97" s="150" t="s">
        <v>79</v>
      </c>
      <c r="I97" s="117">
        <f>SUM(I98:I167)</f>
      </c>
      <c r="J97" s="132" t="s">
        <v>4</v>
      </c>
      <c r="K97" s="146"/>
      <c r="AI97" s="132" t="s">
        <v>84</v>
      </c>
      <c r="AS97" s="117">
        <f>SUM(AJ98:AJ167)</f>
      </c>
      <c r="AT97" s="117">
        <f>SUM(AK98:AK167)</f>
      </c>
      <c r="AU97" s="117">
        <f>SUM(AL98:AL167)</f>
      </c>
    </row>
    <row r="98">
      <c r="A98" s="9" t="s">
        <v>290</v>
      </c>
      <c r="B98" s="10" t="s">
        <v>84</v>
      </c>
      <c r="C98" s="10" t="s">
        <v>291</v>
      </c>
      <c r="D98" s="14" t="s">
        <v>292</v>
      </c>
      <c r="E98" s="10"/>
      <c r="F98" s="10" t="s">
        <v>159</v>
      </c>
      <c r="G98" s="111">
        <f>'Stavební rozpočet'!G98</f>
      </c>
      <c r="H98" s="111">
        <f>'Stavební rozpočet'!H98</f>
      </c>
      <c r="I98" s="111">
        <f>G98*H98</f>
      </c>
      <c r="J98" s="153" t="s">
        <v>134</v>
      </c>
      <c r="K98" s="146"/>
      <c r="Z98" s="111">
        <f>IF(AQ98="5",BJ98,0)</f>
      </c>
      <c r="AB98" s="111">
        <f>IF(AQ98="1",BH98,0)</f>
      </c>
      <c r="AC98" s="111">
        <f>IF(AQ98="1",BI98,0)</f>
      </c>
      <c r="AD98" s="111">
        <f>IF(AQ98="7",BH98,0)</f>
      </c>
      <c r="AE98" s="111">
        <f>IF(AQ98="7",BI98,0)</f>
      </c>
      <c r="AF98" s="111">
        <f>IF(AQ98="2",BH98,0)</f>
      </c>
      <c r="AG98" s="111">
        <f>IF(AQ98="2",BI98,0)</f>
      </c>
      <c r="AH98" s="111">
        <f>IF(AQ98="0",BJ98,0)</f>
      </c>
      <c r="AI98" s="132" t="s">
        <v>84</v>
      </c>
      <c r="AJ98" s="111">
        <f>IF(AN98=0,I98,0)</f>
      </c>
      <c r="AK98" s="111">
        <f>IF(AN98=12,I98,0)</f>
      </c>
      <c r="AL98" s="111">
        <f>IF(AN98=21,I98,0)</f>
      </c>
      <c r="AN98" s="111" t="n">
        <v>21</v>
      </c>
      <c r="AO98" s="111">
        <f>H98*0.848044216</f>
      </c>
      <c r="AP98" s="111">
        <f>H98*(1-0.848044216)</f>
      </c>
      <c r="AQ98" s="153" t="s">
        <v>130</v>
      </c>
      <c r="AV98" s="111">
        <f>AW98+AX98</f>
      </c>
      <c r="AW98" s="111">
        <f>G98*AO98</f>
      </c>
      <c r="AX98" s="111">
        <f>G98*AP98</f>
      </c>
      <c r="AY98" s="153" t="s">
        <v>293</v>
      </c>
      <c r="AZ98" s="153" t="s">
        <v>284</v>
      </c>
      <c r="BA98" s="132" t="s">
        <v>137</v>
      </c>
      <c r="BC98" s="111">
        <f>AW98+AX98</f>
      </c>
      <c r="BD98" s="111">
        <f>H98/(100-BE98)*100</f>
      </c>
      <c r="BE98" s="111" t="n">
        <v>0</v>
      </c>
      <c r="BF98" s="111">
        <f>98</f>
      </c>
      <c r="BH98" s="111">
        <f>G98*AO98</f>
      </c>
      <c r="BI98" s="111">
        <f>G98*AP98</f>
      </c>
      <c r="BJ98" s="111">
        <f>G98*H98</f>
      </c>
      <c r="BK98" s="111"/>
      <c r="BL98" s="111" t="n">
        <v>27</v>
      </c>
      <c r="BW98" s="111" t="n">
        <v>21</v>
      </c>
      <c r="BX98" s="14" t="s">
        <v>292</v>
      </c>
    </row>
    <row r="99" customHeight="true" ht="13.5">
      <c r="A99" s="159"/>
      <c r="C99" s="160" t="s">
        <v>146</v>
      </c>
      <c r="D99" s="161" t="s">
        <v>294</v>
      </c>
      <c r="E99" s="156"/>
      <c r="F99" s="156"/>
      <c r="G99" s="156"/>
      <c r="H99" s="156"/>
      <c r="I99" s="156"/>
      <c r="J99" s="156"/>
      <c r="K99" s="163"/>
    </row>
    <row r="100">
      <c r="A100" s="154"/>
      <c r="B100" s="155"/>
      <c r="C100" s="155"/>
      <c r="D100" s="156" t="s">
        <v>295</v>
      </c>
      <c r="E100" s="156" t="s">
        <v>296</v>
      </c>
      <c r="F100" s="155"/>
      <c r="G100" s="157" t="n">
        <v>4.1368</v>
      </c>
      <c r="H100" s="155"/>
      <c r="I100" s="155"/>
      <c r="J100" s="155"/>
      <c r="K100" s="146"/>
    </row>
    <row r="101">
      <c r="A101" s="154"/>
      <c r="B101" s="155"/>
      <c r="C101" s="155"/>
      <c r="D101" s="156" t="s">
        <v>297</v>
      </c>
      <c r="E101" s="156" t="s">
        <v>296</v>
      </c>
      <c r="F101" s="155"/>
      <c r="G101" s="157" t="n">
        <v>4.4272</v>
      </c>
      <c r="H101" s="155"/>
      <c r="I101" s="155"/>
      <c r="J101" s="155"/>
      <c r="K101" s="146"/>
    </row>
    <row r="102">
      <c r="A102" s="154"/>
      <c r="B102" s="155"/>
      <c r="C102" s="155"/>
      <c r="D102" s="156" t="s">
        <v>298</v>
      </c>
      <c r="E102" s="156" t="s">
        <v>299</v>
      </c>
      <c r="F102" s="155"/>
      <c r="G102" s="157" t="n">
        <v>1.773</v>
      </c>
      <c r="H102" s="155"/>
      <c r="I102" s="155"/>
      <c r="J102" s="155"/>
      <c r="K102" s="146"/>
    </row>
    <row r="103">
      <c r="A103" s="154"/>
      <c r="B103" s="155"/>
      <c r="C103" s="155"/>
      <c r="D103" s="156" t="s">
        <v>300</v>
      </c>
      <c r="E103" s="156" t="s">
        <v>301</v>
      </c>
      <c r="F103" s="155"/>
      <c r="G103" s="157" t="n">
        <v>2.167</v>
      </c>
      <c r="H103" s="155"/>
      <c r="I103" s="155"/>
      <c r="J103" s="155"/>
      <c r="K103" s="146"/>
    </row>
    <row r="104">
      <c r="A104" s="154"/>
      <c r="B104" s="155"/>
      <c r="C104" s="155"/>
      <c r="D104" s="156" t="s">
        <v>302</v>
      </c>
      <c r="E104" s="156" t="s">
        <v>303</v>
      </c>
      <c r="F104" s="155"/>
      <c r="G104" s="157" t="n">
        <v>0.2231</v>
      </c>
      <c r="H104" s="155"/>
      <c r="I104" s="155"/>
      <c r="J104" s="155"/>
      <c r="K104" s="146"/>
    </row>
    <row r="105">
      <c r="A105" s="154"/>
      <c r="B105" s="155"/>
      <c r="C105" s="155"/>
      <c r="D105" s="156" t="s">
        <v>304</v>
      </c>
      <c r="E105" s="156" t="s">
        <v>305</v>
      </c>
      <c r="F105" s="155"/>
      <c r="G105" s="157" t="n">
        <v>0.4914</v>
      </c>
      <c r="H105" s="155"/>
      <c r="I105" s="155"/>
      <c r="J105" s="155"/>
      <c r="K105" s="146"/>
    </row>
    <row r="106">
      <c r="A106" s="154"/>
      <c r="B106" s="155"/>
      <c r="C106" s="155"/>
      <c r="D106" s="156" t="s">
        <v>306</v>
      </c>
      <c r="E106" s="156" t="s">
        <v>296</v>
      </c>
      <c r="F106" s="155"/>
      <c r="G106" s="157" t="n">
        <v>0.47345</v>
      </c>
      <c r="H106" s="155"/>
      <c r="I106" s="155"/>
      <c r="J106" s="155"/>
      <c r="K106" s="146"/>
    </row>
    <row r="107">
      <c r="A107" s="154"/>
      <c r="B107" s="155"/>
      <c r="C107" s="155"/>
      <c r="D107" s="156" t="s">
        <v>307</v>
      </c>
      <c r="E107" s="156" t="s">
        <v>296</v>
      </c>
      <c r="F107" s="155"/>
      <c r="G107" s="157" t="n">
        <v>0.5922</v>
      </c>
      <c r="H107" s="155"/>
      <c r="I107" s="155"/>
      <c r="J107" s="155"/>
      <c r="K107" s="146"/>
    </row>
    <row r="108">
      <c r="A108" s="154"/>
      <c r="B108" s="155"/>
      <c r="C108" s="155"/>
      <c r="D108" s="156" t="s">
        <v>308</v>
      </c>
      <c r="E108" s="156" t="s">
        <v>309</v>
      </c>
      <c r="F108" s="155"/>
      <c r="G108" s="157" t="n">
        <v>0.71421</v>
      </c>
      <c r="H108" s="155"/>
      <c r="I108" s="155"/>
      <c r="J108" s="155"/>
      <c r="K108" s="146"/>
    </row>
    <row r="109">
      <c r="A109" s="9" t="s">
        <v>310</v>
      </c>
      <c r="B109" s="10" t="s">
        <v>84</v>
      </c>
      <c r="C109" s="10" t="s">
        <v>311</v>
      </c>
      <c r="D109" s="14" t="s">
        <v>312</v>
      </c>
      <c r="E109" s="10"/>
      <c r="F109" s="10" t="s">
        <v>159</v>
      </c>
      <c r="G109" s="111">
        <f>'Stavební rozpočet'!G109</f>
      </c>
      <c r="H109" s="111">
        <f>'Stavební rozpočet'!H109</f>
      </c>
      <c r="I109" s="111">
        <f>G109*H109</f>
      </c>
      <c r="J109" s="153" t="s">
        <v>134</v>
      </c>
      <c r="K109" s="146"/>
      <c r="Z109" s="111">
        <f>IF(AQ109="5",BJ109,0)</f>
      </c>
      <c r="AB109" s="111">
        <f>IF(AQ109="1",BH109,0)</f>
      </c>
      <c r="AC109" s="111">
        <f>IF(AQ109="1",BI109,0)</f>
      </c>
      <c r="AD109" s="111">
        <f>IF(AQ109="7",BH109,0)</f>
      </c>
      <c r="AE109" s="111">
        <f>IF(AQ109="7",BI109,0)</f>
      </c>
      <c r="AF109" s="111">
        <f>IF(AQ109="2",BH109,0)</f>
      </c>
      <c r="AG109" s="111">
        <f>IF(AQ109="2",BI109,0)</f>
      </c>
      <c r="AH109" s="111">
        <f>IF(AQ109="0",BJ109,0)</f>
      </c>
      <c r="AI109" s="132" t="s">
        <v>84</v>
      </c>
      <c r="AJ109" s="111">
        <f>IF(AN109=0,I109,0)</f>
      </c>
      <c r="AK109" s="111">
        <f>IF(AN109=12,I109,0)</f>
      </c>
      <c r="AL109" s="111">
        <f>IF(AN109=21,I109,0)</f>
      </c>
      <c r="AN109" s="111" t="n">
        <v>21</v>
      </c>
      <c r="AO109" s="111">
        <f>H109*0.905698149</f>
      </c>
      <c r="AP109" s="111">
        <f>H109*(1-0.905698149)</f>
      </c>
      <c r="AQ109" s="153" t="s">
        <v>130</v>
      </c>
      <c r="AV109" s="111">
        <f>AW109+AX109</f>
      </c>
      <c r="AW109" s="111">
        <f>G109*AO109</f>
      </c>
      <c r="AX109" s="111">
        <f>G109*AP109</f>
      </c>
      <c r="AY109" s="153" t="s">
        <v>293</v>
      </c>
      <c r="AZ109" s="153" t="s">
        <v>284</v>
      </c>
      <c r="BA109" s="132" t="s">
        <v>137</v>
      </c>
      <c r="BC109" s="111">
        <f>AW109+AX109</f>
      </c>
      <c r="BD109" s="111">
        <f>H109/(100-BE109)*100</f>
      </c>
      <c r="BE109" s="111" t="n">
        <v>0</v>
      </c>
      <c r="BF109" s="111">
        <f>109</f>
      </c>
      <c r="BH109" s="111">
        <f>G109*AO109</f>
      </c>
      <c r="BI109" s="111">
        <f>G109*AP109</f>
      </c>
      <c r="BJ109" s="111">
        <f>G109*H109</f>
      </c>
      <c r="BK109" s="111"/>
      <c r="BL109" s="111" t="n">
        <v>27</v>
      </c>
      <c r="BW109" s="111" t="n">
        <v>21</v>
      </c>
      <c r="BX109" s="14" t="s">
        <v>312</v>
      </c>
    </row>
    <row r="110">
      <c r="A110" s="154"/>
      <c r="B110" s="155"/>
      <c r="C110" s="155"/>
      <c r="D110" s="156" t="s">
        <v>313</v>
      </c>
      <c r="E110" s="156" t="s">
        <v>296</v>
      </c>
      <c r="F110" s="155"/>
      <c r="G110" s="157" t="n">
        <v>18.6156</v>
      </c>
      <c r="H110" s="155"/>
      <c r="I110" s="155"/>
      <c r="J110" s="155"/>
      <c r="K110" s="146"/>
    </row>
    <row r="111">
      <c r="A111" s="154"/>
      <c r="B111" s="155"/>
      <c r="C111" s="155"/>
      <c r="D111" s="156" t="s">
        <v>314</v>
      </c>
      <c r="E111" s="156" t="s">
        <v>296</v>
      </c>
      <c r="F111" s="155"/>
      <c r="G111" s="157" t="n">
        <v>19.9224</v>
      </c>
      <c r="H111" s="155"/>
      <c r="I111" s="155"/>
      <c r="J111" s="155"/>
      <c r="K111" s="146"/>
    </row>
    <row r="112">
      <c r="A112" s="154"/>
      <c r="B112" s="155"/>
      <c r="C112" s="155"/>
      <c r="D112" s="156" t="s">
        <v>315</v>
      </c>
      <c r="E112" s="156" t="s">
        <v>299</v>
      </c>
      <c r="F112" s="155"/>
      <c r="G112" s="157" t="n">
        <v>8.274</v>
      </c>
      <c r="H112" s="155"/>
      <c r="I112" s="155"/>
      <c r="J112" s="155"/>
      <c r="K112" s="146"/>
    </row>
    <row r="113">
      <c r="A113" s="154"/>
      <c r="B113" s="155"/>
      <c r="C113" s="155"/>
      <c r="D113" s="156" t="s">
        <v>316</v>
      </c>
      <c r="E113" s="156" t="s">
        <v>301</v>
      </c>
      <c r="F113" s="155"/>
      <c r="G113" s="157" t="n">
        <v>10.638</v>
      </c>
      <c r="H113" s="155"/>
      <c r="I113" s="155"/>
      <c r="J113" s="155"/>
      <c r="K113" s="146"/>
    </row>
    <row r="114">
      <c r="A114" s="154"/>
      <c r="B114" s="155"/>
      <c r="C114" s="155"/>
      <c r="D114" s="156" t="s">
        <v>317</v>
      </c>
      <c r="E114" s="156" t="s">
        <v>303</v>
      </c>
      <c r="F114" s="155"/>
      <c r="G114" s="157" t="n">
        <v>1.1058</v>
      </c>
      <c r="H114" s="155"/>
      <c r="I114" s="155"/>
      <c r="J114" s="155"/>
      <c r="K114" s="146"/>
    </row>
    <row r="115">
      <c r="A115" s="154"/>
      <c r="B115" s="155"/>
      <c r="C115" s="155"/>
      <c r="D115" s="156" t="s">
        <v>318</v>
      </c>
      <c r="E115" s="156" t="s">
        <v>305</v>
      </c>
      <c r="F115" s="155"/>
      <c r="G115" s="157" t="n">
        <v>2.106</v>
      </c>
      <c r="H115" s="155"/>
      <c r="I115" s="155"/>
      <c r="J115" s="155"/>
      <c r="K115" s="146"/>
    </row>
    <row r="116">
      <c r="A116" s="154"/>
      <c r="B116" s="155"/>
      <c r="C116" s="155"/>
      <c r="D116" s="156" t="s">
        <v>319</v>
      </c>
      <c r="E116" s="156" t="s">
        <v>296</v>
      </c>
      <c r="F116" s="155"/>
      <c r="G116" s="157" t="n">
        <v>2.1723</v>
      </c>
      <c r="H116" s="155"/>
      <c r="I116" s="155"/>
      <c r="J116" s="155"/>
      <c r="K116" s="146"/>
    </row>
    <row r="117">
      <c r="A117" s="154"/>
      <c r="B117" s="155"/>
      <c r="C117" s="155"/>
      <c r="D117" s="156" t="s">
        <v>320</v>
      </c>
      <c r="E117" s="156" t="s">
        <v>296</v>
      </c>
      <c r="F117" s="155"/>
      <c r="G117" s="157" t="n">
        <v>2.7636</v>
      </c>
      <c r="H117" s="155"/>
      <c r="I117" s="155"/>
      <c r="J117" s="155"/>
      <c r="K117" s="146"/>
    </row>
    <row r="118">
      <c r="A118" s="9" t="s">
        <v>288</v>
      </c>
      <c r="B118" s="10" t="s">
        <v>84</v>
      </c>
      <c r="C118" s="10" t="s">
        <v>321</v>
      </c>
      <c r="D118" s="14" t="s">
        <v>322</v>
      </c>
      <c r="E118" s="10"/>
      <c r="F118" s="10" t="s">
        <v>145</v>
      </c>
      <c r="G118" s="111">
        <f>'Stavební rozpočet'!G118</f>
      </c>
      <c r="H118" s="111">
        <f>'Stavební rozpočet'!H118</f>
      </c>
      <c r="I118" s="111">
        <f>G118*H118</f>
      </c>
      <c r="J118" s="153" t="s">
        <v>134</v>
      </c>
      <c r="K118" s="146"/>
      <c r="Z118" s="111">
        <f>IF(AQ118="5",BJ118,0)</f>
      </c>
      <c r="AB118" s="111">
        <f>IF(AQ118="1",BH118,0)</f>
      </c>
      <c r="AC118" s="111">
        <f>IF(AQ118="1",BI118,0)</f>
      </c>
      <c r="AD118" s="111">
        <f>IF(AQ118="7",BH118,0)</f>
      </c>
      <c r="AE118" s="111">
        <f>IF(AQ118="7",BI118,0)</f>
      </c>
      <c r="AF118" s="111">
        <f>IF(AQ118="2",BH118,0)</f>
      </c>
      <c r="AG118" s="111">
        <f>IF(AQ118="2",BI118,0)</f>
      </c>
      <c r="AH118" s="111">
        <f>IF(AQ118="0",BJ118,0)</f>
      </c>
      <c r="AI118" s="132" t="s">
        <v>84</v>
      </c>
      <c r="AJ118" s="111">
        <f>IF(AN118=0,I118,0)</f>
      </c>
      <c r="AK118" s="111">
        <f>IF(AN118=12,I118,0)</f>
      </c>
      <c r="AL118" s="111">
        <f>IF(AN118=21,I118,0)</f>
      </c>
      <c r="AN118" s="111" t="n">
        <v>21</v>
      </c>
      <c r="AO118" s="111">
        <f>H118*0.326232178</f>
      </c>
      <c r="AP118" s="111">
        <f>H118*(1-0.326232178)</f>
      </c>
      <c r="AQ118" s="153" t="s">
        <v>130</v>
      </c>
      <c r="AV118" s="111">
        <f>AW118+AX118</f>
      </c>
      <c r="AW118" s="111">
        <f>G118*AO118</f>
      </c>
      <c r="AX118" s="111">
        <f>G118*AP118</f>
      </c>
      <c r="AY118" s="153" t="s">
        <v>293</v>
      </c>
      <c r="AZ118" s="153" t="s">
        <v>284</v>
      </c>
      <c r="BA118" s="132" t="s">
        <v>137</v>
      </c>
      <c r="BC118" s="111">
        <f>AW118+AX118</f>
      </c>
      <c r="BD118" s="111">
        <f>H118/(100-BE118)*100</f>
      </c>
      <c r="BE118" s="111" t="n">
        <v>0</v>
      </c>
      <c r="BF118" s="111">
        <f>118</f>
      </c>
      <c r="BH118" s="111">
        <f>G118*AO118</f>
      </c>
      <c r="BI118" s="111">
        <f>G118*AP118</f>
      </c>
      <c r="BJ118" s="111">
        <f>G118*H118</f>
      </c>
      <c r="BK118" s="111"/>
      <c r="BL118" s="111" t="n">
        <v>27</v>
      </c>
      <c r="BW118" s="111" t="n">
        <v>21</v>
      </c>
      <c r="BX118" s="14" t="s">
        <v>322</v>
      </c>
    </row>
    <row r="119">
      <c r="A119" s="154"/>
      <c r="B119" s="155"/>
      <c r="C119" s="155"/>
      <c r="D119" s="156" t="s">
        <v>323</v>
      </c>
      <c r="E119" s="156" t="s">
        <v>296</v>
      </c>
      <c r="F119" s="155"/>
      <c r="G119" s="157" t="n">
        <v>62.052</v>
      </c>
      <c r="H119" s="155"/>
      <c r="I119" s="155"/>
      <c r="J119" s="155"/>
      <c r="K119" s="146"/>
    </row>
    <row r="120">
      <c r="A120" s="154"/>
      <c r="B120" s="155"/>
      <c r="C120" s="155"/>
      <c r="D120" s="156" t="s">
        <v>324</v>
      </c>
      <c r="E120" s="156" t="s">
        <v>296</v>
      </c>
      <c r="F120" s="155"/>
      <c r="G120" s="157" t="n">
        <v>66.408</v>
      </c>
      <c r="H120" s="155"/>
      <c r="I120" s="155"/>
      <c r="J120" s="155"/>
      <c r="K120" s="146"/>
    </row>
    <row r="121">
      <c r="A121" s="154"/>
      <c r="B121" s="155"/>
      <c r="C121" s="155"/>
      <c r="D121" s="156" t="s">
        <v>325</v>
      </c>
      <c r="E121" s="156" t="s">
        <v>299</v>
      </c>
      <c r="F121" s="155"/>
      <c r="G121" s="157" t="n">
        <v>23.64</v>
      </c>
      <c r="H121" s="155"/>
      <c r="I121" s="155"/>
      <c r="J121" s="155"/>
      <c r="K121" s="146"/>
    </row>
    <row r="122">
      <c r="A122" s="154"/>
      <c r="B122" s="155"/>
      <c r="C122" s="155"/>
      <c r="D122" s="156" t="s">
        <v>325</v>
      </c>
      <c r="E122" s="156" t="s">
        <v>301</v>
      </c>
      <c r="F122" s="155"/>
      <c r="G122" s="157" t="n">
        <v>23.64</v>
      </c>
      <c r="H122" s="155"/>
      <c r="I122" s="155"/>
      <c r="J122" s="155"/>
      <c r="K122" s="146"/>
    </row>
    <row r="123">
      <c r="A123" s="154"/>
      <c r="B123" s="155"/>
      <c r="C123" s="155"/>
      <c r="D123" s="156" t="s">
        <v>326</v>
      </c>
      <c r="E123" s="156" t="s">
        <v>303</v>
      </c>
      <c r="F123" s="155"/>
      <c r="G123" s="157" t="n">
        <v>2.328</v>
      </c>
      <c r="H123" s="155"/>
      <c r="I123" s="155"/>
      <c r="J123" s="155"/>
      <c r="K123" s="146"/>
    </row>
    <row r="124">
      <c r="A124" s="154"/>
      <c r="B124" s="155"/>
      <c r="C124" s="155"/>
      <c r="D124" s="156" t="s">
        <v>327</v>
      </c>
      <c r="E124" s="156" t="s">
        <v>305</v>
      </c>
      <c r="F124" s="155"/>
      <c r="G124" s="157" t="n">
        <v>8.424</v>
      </c>
      <c r="H124" s="155"/>
      <c r="I124" s="155"/>
      <c r="J124" s="155"/>
      <c r="K124" s="146"/>
    </row>
    <row r="125">
      <c r="A125" s="154"/>
      <c r="B125" s="155"/>
      <c r="C125" s="155"/>
      <c r="D125" s="156" t="s">
        <v>328</v>
      </c>
      <c r="E125" s="156" t="s">
        <v>296</v>
      </c>
      <c r="F125" s="155"/>
      <c r="G125" s="157" t="n">
        <v>6.684</v>
      </c>
      <c r="H125" s="155"/>
      <c r="I125" s="155"/>
      <c r="J125" s="155"/>
      <c r="K125" s="146"/>
    </row>
    <row r="126">
      <c r="A126" s="154"/>
      <c r="B126" s="155"/>
      <c r="C126" s="155"/>
      <c r="D126" s="156" t="s">
        <v>329</v>
      </c>
      <c r="E126" s="156" t="s">
        <v>296</v>
      </c>
      <c r="F126" s="155"/>
      <c r="G126" s="157" t="n">
        <v>7.896</v>
      </c>
      <c r="H126" s="155"/>
      <c r="I126" s="155"/>
      <c r="J126" s="155"/>
      <c r="K126" s="146"/>
    </row>
    <row r="127">
      <c r="A127" s="9" t="s">
        <v>330</v>
      </c>
      <c r="B127" s="10" t="s">
        <v>84</v>
      </c>
      <c r="C127" s="10" t="s">
        <v>331</v>
      </c>
      <c r="D127" s="14" t="s">
        <v>332</v>
      </c>
      <c r="E127" s="10"/>
      <c r="F127" s="10" t="s">
        <v>145</v>
      </c>
      <c r="G127" s="111">
        <f>'Stavební rozpočet'!G127</f>
      </c>
      <c r="H127" s="111">
        <f>'Stavební rozpočet'!H127</f>
      </c>
      <c r="I127" s="111">
        <f>G127*H127</f>
      </c>
      <c r="J127" s="153" t="s">
        <v>134</v>
      </c>
      <c r="K127" s="146"/>
      <c r="Z127" s="111">
        <f>IF(AQ127="5",BJ127,0)</f>
      </c>
      <c r="AB127" s="111">
        <f>IF(AQ127="1",BH127,0)</f>
      </c>
      <c r="AC127" s="111">
        <f>IF(AQ127="1",BI127,0)</f>
      </c>
      <c r="AD127" s="111">
        <f>IF(AQ127="7",BH127,0)</f>
      </c>
      <c r="AE127" s="111">
        <f>IF(AQ127="7",BI127,0)</f>
      </c>
      <c r="AF127" s="111">
        <f>IF(AQ127="2",BH127,0)</f>
      </c>
      <c r="AG127" s="111">
        <f>IF(AQ127="2",BI127,0)</f>
      </c>
      <c r="AH127" s="111">
        <f>IF(AQ127="0",BJ127,0)</f>
      </c>
      <c r="AI127" s="132" t="s">
        <v>84</v>
      </c>
      <c r="AJ127" s="111">
        <f>IF(AN127=0,I127,0)</f>
      </c>
      <c r="AK127" s="111">
        <f>IF(AN127=12,I127,0)</f>
      </c>
      <c r="AL127" s="111">
        <f>IF(AN127=21,I127,0)</f>
      </c>
      <c r="AN127" s="111" t="n">
        <v>21</v>
      </c>
      <c r="AO127" s="111">
        <f>H127*0</f>
      </c>
      <c r="AP127" s="111">
        <f>H127*(1-0)</f>
      </c>
      <c r="AQ127" s="153" t="s">
        <v>130</v>
      </c>
      <c r="AV127" s="111">
        <f>AW127+AX127</f>
      </c>
      <c r="AW127" s="111">
        <f>G127*AO127</f>
      </c>
      <c r="AX127" s="111">
        <f>G127*AP127</f>
      </c>
      <c r="AY127" s="153" t="s">
        <v>293</v>
      </c>
      <c r="AZ127" s="153" t="s">
        <v>284</v>
      </c>
      <c r="BA127" s="132" t="s">
        <v>137</v>
      </c>
      <c r="BC127" s="111">
        <f>AW127+AX127</f>
      </c>
      <c r="BD127" s="111">
        <f>H127/(100-BE127)*100</f>
      </c>
      <c r="BE127" s="111" t="n">
        <v>0</v>
      </c>
      <c r="BF127" s="111">
        <f>127</f>
      </c>
      <c r="BH127" s="111">
        <f>G127*AO127</f>
      </c>
      <c r="BI127" s="111">
        <f>G127*AP127</f>
      </c>
      <c r="BJ127" s="111">
        <f>G127*H127</f>
      </c>
      <c r="BK127" s="111"/>
      <c r="BL127" s="111" t="n">
        <v>27</v>
      </c>
      <c r="BW127" s="111" t="n">
        <v>21</v>
      </c>
      <c r="BX127" s="14" t="s">
        <v>332</v>
      </c>
    </row>
    <row r="128">
      <c r="A128" s="154"/>
      <c r="B128" s="155"/>
      <c r="C128" s="155"/>
      <c r="D128" s="156" t="s">
        <v>323</v>
      </c>
      <c r="E128" s="156" t="s">
        <v>296</v>
      </c>
      <c r="F128" s="155"/>
      <c r="G128" s="157" t="n">
        <v>62.052</v>
      </c>
      <c r="H128" s="155"/>
      <c r="I128" s="155"/>
      <c r="J128" s="155"/>
      <c r="K128" s="146"/>
    </row>
    <row r="129">
      <c r="A129" s="154"/>
      <c r="B129" s="155"/>
      <c r="C129" s="155"/>
      <c r="D129" s="156" t="s">
        <v>324</v>
      </c>
      <c r="E129" s="156" t="s">
        <v>296</v>
      </c>
      <c r="F129" s="155"/>
      <c r="G129" s="157" t="n">
        <v>66.408</v>
      </c>
      <c r="H129" s="155"/>
      <c r="I129" s="155"/>
      <c r="J129" s="155"/>
      <c r="K129" s="146"/>
    </row>
    <row r="130">
      <c r="A130" s="154"/>
      <c r="B130" s="155"/>
      <c r="C130" s="155"/>
      <c r="D130" s="156" t="s">
        <v>325</v>
      </c>
      <c r="E130" s="156" t="s">
        <v>299</v>
      </c>
      <c r="F130" s="155"/>
      <c r="G130" s="157" t="n">
        <v>23.64</v>
      </c>
      <c r="H130" s="155"/>
      <c r="I130" s="155"/>
      <c r="J130" s="155"/>
      <c r="K130" s="146"/>
    </row>
    <row r="131">
      <c r="A131" s="154"/>
      <c r="B131" s="155"/>
      <c r="C131" s="155"/>
      <c r="D131" s="156" t="s">
        <v>325</v>
      </c>
      <c r="E131" s="156" t="s">
        <v>301</v>
      </c>
      <c r="F131" s="155"/>
      <c r="G131" s="157" t="n">
        <v>23.64</v>
      </c>
      <c r="H131" s="155"/>
      <c r="I131" s="155"/>
      <c r="J131" s="155"/>
      <c r="K131" s="146"/>
    </row>
    <row r="132">
      <c r="A132" s="154"/>
      <c r="B132" s="155"/>
      <c r="C132" s="155"/>
      <c r="D132" s="156" t="s">
        <v>326</v>
      </c>
      <c r="E132" s="156" t="s">
        <v>303</v>
      </c>
      <c r="F132" s="155"/>
      <c r="G132" s="157" t="n">
        <v>2.328</v>
      </c>
      <c r="H132" s="155"/>
      <c r="I132" s="155"/>
      <c r="J132" s="155"/>
      <c r="K132" s="146"/>
    </row>
    <row r="133">
      <c r="A133" s="154"/>
      <c r="B133" s="155"/>
      <c r="C133" s="155"/>
      <c r="D133" s="156" t="s">
        <v>327</v>
      </c>
      <c r="E133" s="156" t="s">
        <v>305</v>
      </c>
      <c r="F133" s="155"/>
      <c r="G133" s="157" t="n">
        <v>8.424</v>
      </c>
      <c r="H133" s="155"/>
      <c r="I133" s="155"/>
      <c r="J133" s="155"/>
      <c r="K133" s="146"/>
    </row>
    <row r="134">
      <c r="A134" s="154"/>
      <c r="B134" s="155"/>
      <c r="C134" s="155"/>
      <c r="D134" s="156" t="s">
        <v>328</v>
      </c>
      <c r="E134" s="156" t="s">
        <v>296</v>
      </c>
      <c r="F134" s="155"/>
      <c r="G134" s="157" t="n">
        <v>6.684</v>
      </c>
      <c r="H134" s="155"/>
      <c r="I134" s="155"/>
      <c r="J134" s="155"/>
      <c r="K134" s="146"/>
    </row>
    <row r="135">
      <c r="A135" s="154"/>
      <c r="B135" s="155"/>
      <c r="C135" s="155"/>
      <c r="D135" s="156" t="s">
        <v>329</v>
      </c>
      <c r="E135" s="156" t="s">
        <v>296</v>
      </c>
      <c r="F135" s="155"/>
      <c r="G135" s="157" t="n">
        <v>7.896</v>
      </c>
      <c r="H135" s="155"/>
      <c r="I135" s="155"/>
      <c r="J135" s="155"/>
      <c r="K135" s="146"/>
    </row>
    <row r="136">
      <c r="A136" s="9" t="s">
        <v>333</v>
      </c>
      <c r="B136" s="10" t="s">
        <v>84</v>
      </c>
      <c r="C136" s="10" t="s">
        <v>334</v>
      </c>
      <c r="D136" s="14" t="s">
        <v>335</v>
      </c>
      <c r="E136" s="10"/>
      <c r="F136" s="10" t="s">
        <v>133</v>
      </c>
      <c r="G136" s="111">
        <f>'Stavební rozpočet'!G136</f>
      </c>
      <c r="H136" s="111">
        <f>'Stavební rozpočet'!H136</f>
      </c>
      <c r="I136" s="111">
        <f>G136*H136</f>
      </c>
      <c r="J136" s="153" t="s">
        <v>134</v>
      </c>
      <c r="K136" s="146"/>
      <c r="Z136" s="111">
        <f>IF(AQ136="5",BJ136,0)</f>
      </c>
      <c r="AB136" s="111">
        <f>IF(AQ136="1",BH136,0)</f>
      </c>
      <c r="AC136" s="111">
        <f>IF(AQ136="1",BI136,0)</f>
      </c>
      <c r="AD136" s="111">
        <f>IF(AQ136="7",BH136,0)</f>
      </c>
      <c r="AE136" s="111">
        <f>IF(AQ136="7",BI136,0)</f>
      </c>
      <c r="AF136" s="111">
        <f>IF(AQ136="2",BH136,0)</f>
      </c>
      <c r="AG136" s="111">
        <f>IF(AQ136="2",BI136,0)</f>
      </c>
      <c r="AH136" s="111">
        <f>IF(AQ136="0",BJ136,0)</f>
      </c>
      <c r="AI136" s="132" t="s">
        <v>84</v>
      </c>
      <c r="AJ136" s="111">
        <f>IF(AN136=0,I136,0)</f>
      </c>
      <c r="AK136" s="111">
        <f>IF(AN136=12,I136,0)</f>
      </c>
      <c r="AL136" s="111">
        <f>IF(AN136=21,I136,0)</f>
      </c>
      <c r="AN136" s="111" t="n">
        <v>21</v>
      </c>
      <c r="AO136" s="111">
        <f>H136*0.714729556</f>
      </c>
      <c r="AP136" s="111">
        <f>H136*(1-0.714729556)</f>
      </c>
      <c r="AQ136" s="153" t="s">
        <v>130</v>
      </c>
      <c r="AV136" s="111">
        <f>AW136+AX136</f>
      </c>
      <c r="AW136" s="111">
        <f>G136*AO136</f>
      </c>
      <c r="AX136" s="111">
        <f>G136*AP136</f>
      </c>
      <c r="AY136" s="153" t="s">
        <v>293</v>
      </c>
      <c r="AZ136" s="153" t="s">
        <v>284</v>
      </c>
      <c r="BA136" s="132" t="s">
        <v>137</v>
      </c>
      <c r="BC136" s="111">
        <f>AW136+AX136</f>
      </c>
      <c r="BD136" s="111">
        <f>H136/(100-BE136)*100</f>
      </c>
      <c r="BE136" s="111" t="n">
        <v>0</v>
      </c>
      <c r="BF136" s="111">
        <f>136</f>
      </c>
      <c r="BH136" s="111">
        <f>G136*AO136</f>
      </c>
      <c r="BI136" s="111">
        <f>G136*AP136</f>
      </c>
      <c r="BJ136" s="111">
        <f>G136*H136</f>
      </c>
      <c r="BK136" s="111"/>
      <c r="BL136" s="111" t="n">
        <v>27</v>
      </c>
      <c r="BW136" s="111" t="n">
        <v>21</v>
      </c>
      <c r="BX136" s="14" t="s">
        <v>335</v>
      </c>
    </row>
    <row r="137" customHeight="true" ht="13.5">
      <c r="A137" s="159"/>
      <c r="C137" s="160" t="s">
        <v>146</v>
      </c>
      <c r="D137" s="161" t="s">
        <v>336</v>
      </c>
      <c r="E137" s="156"/>
      <c r="F137" s="156"/>
      <c r="G137" s="156"/>
      <c r="H137" s="156"/>
      <c r="I137" s="156"/>
      <c r="J137" s="156"/>
      <c r="K137" s="163"/>
    </row>
    <row r="138">
      <c r="A138" s="154"/>
      <c r="B138" s="155"/>
      <c r="C138" s="155"/>
      <c r="D138" s="156" t="s">
        <v>4</v>
      </c>
      <c r="E138" s="156" t="s">
        <v>337</v>
      </c>
      <c r="F138" s="155"/>
      <c r="G138" s="157" t="n">
        <v>0</v>
      </c>
      <c r="H138" s="155"/>
      <c r="I138" s="155"/>
      <c r="J138" s="155"/>
      <c r="K138" s="146"/>
    </row>
    <row r="139">
      <c r="A139" s="154"/>
      <c r="B139" s="155"/>
      <c r="C139" s="155"/>
      <c r="D139" s="156" t="s">
        <v>338</v>
      </c>
      <c r="E139" s="156" t="s">
        <v>339</v>
      </c>
      <c r="F139" s="155"/>
      <c r="G139" s="157" t="n">
        <v>17</v>
      </c>
      <c r="H139" s="155"/>
      <c r="I139" s="155"/>
      <c r="J139" s="155"/>
      <c r="K139" s="146"/>
    </row>
    <row r="140">
      <c r="A140" s="154"/>
      <c r="B140" s="155"/>
      <c r="C140" s="155"/>
      <c r="D140" s="156" t="s">
        <v>340</v>
      </c>
      <c r="E140" s="156" t="s">
        <v>341</v>
      </c>
      <c r="F140" s="155"/>
      <c r="G140" s="157" t="n">
        <v>8</v>
      </c>
      <c r="H140" s="155"/>
      <c r="I140" s="155"/>
      <c r="J140" s="155"/>
      <c r="K140" s="146"/>
    </row>
    <row r="141">
      <c r="A141" s="9" t="s">
        <v>342</v>
      </c>
      <c r="B141" s="10" t="s">
        <v>84</v>
      </c>
      <c r="C141" s="10" t="s">
        <v>343</v>
      </c>
      <c r="D141" s="14" t="s">
        <v>344</v>
      </c>
      <c r="E141" s="10"/>
      <c r="F141" s="10" t="s">
        <v>229</v>
      </c>
      <c r="G141" s="111">
        <f>'Stavební rozpočet'!G141</f>
      </c>
      <c r="H141" s="111">
        <f>'Stavební rozpočet'!H141</f>
      </c>
      <c r="I141" s="111">
        <f>G141*H141</f>
      </c>
      <c r="J141" s="153" t="s">
        <v>134</v>
      </c>
      <c r="K141" s="146"/>
      <c r="Z141" s="111">
        <f>IF(AQ141="5",BJ141,0)</f>
      </c>
      <c r="AB141" s="111">
        <f>IF(AQ141="1",BH141,0)</f>
      </c>
      <c r="AC141" s="111">
        <f>IF(AQ141="1",BI141,0)</f>
      </c>
      <c r="AD141" s="111">
        <f>IF(AQ141="7",BH141,0)</f>
      </c>
      <c r="AE141" s="111">
        <f>IF(AQ141="7",BI141,0)</f>
      </c>
      <c r="AF141" s="111">
        <f>IF(AQ141="2",BH141,0)</f>
      </c>
      <c r="AG141" s="111">
        <f>IF(AQ141="2",BI141,0)</f>
      </c>
      <c r="AH141" s="111">
        <f>IF(AQ141="0",BJ141,0)</f>
      </c>
      <c r="AI141" s="132" t="s">
        <v>84</v>
      </c>
      <c r="AJ141" s="111">
        <f>IF(AN141=0,I141,0)</f>
      </c>
      <c r="AK141" s="111">
        <f>IF(AN141=12,I141,0)</f>
      </c>
      <c r="AL141" s="111">
        <f>IF(AN141=21,I141,0)</f>
      </c>
      <c r="AN141" s="111" t="n">
        <v>21</v>
      </c>
      <c r="AO141" s="111">
        <f>H141*0.628541484</f>
      </c>
      <c r="AP141" s="111">
        <f>H141*(1-0.628541484)</f>
      </c>
      <c r="AQ141" s="153" t="s">
        <v>130</v>
      </c>
      <c r="AV141" s="111">
        <f>AW141+AX141</f>
      </c>
      <c r="AW141" s="111">
        <f>G141*AO141</f>
      </c>
      <c r="AX141" s="111">
        <f>G141*AP141</f>
      </c>
      <c r="AY141" s="153" t="s">
        <v>293</v>
      </c>
      <c r="AZ141" s="153" t="s">
        <v>284</v>
      </c>
      <c r="BA141" s="132" t="s">
        <v>137</v>
      </c>
      <c r="BC141" s="111">
        <f>AW141+AX141</f>
      </c>
      <c r="BD141" s="111">
        <f>H141/(100-BE141)*100</f>
      </c>
      <c r="BE141" s="111" t="n">
        <v>0</v>
      </c>
      <c r="BF141" s="111">
        <f>141</f>
      </c>
      <c r="BH141" s="111">
        <f>G141*AO141</f>
      </c>
      <c r="BI141" s="111">
        <f>G141*AP141</f>
      </c>
      <c r="BJ141" s="111">
        <f>G141*H141</f>
      </c>
      <c r="BK141" s="111"/>
      <c r="BL141" s="111" t="n">
        <v>27</v>
      </c>
      <c r="BW141" s="111" t="n">
        <v>21</v>
      </c>
      <c r="BX141" s="14" t="s">
        <v>344</v>
      </c>
    </row>
    <row r="142" customHeight="true" ht="13.5">
      <c r="A142" s="159"/>
      <c r="C142" s="160" t="s">
        <v>146</v>
      </c>
      <c r="D142" s="161" t="s">
        <v>345</v>
      </c>
      <c r="E142" s="156"/>
      <c r="F142" s="156"/>
      <c r="G142" s="156"/>
      <c r="H142" s="156"/>
      <c r="I142" s="156"/>
      <c r="J142" s="156"/>
      <c r="K142" s="163"/>
    </row>
    <row r="143">
      <c r="A143" s="154"/>
      <c r="B143" s="155"/>
      <c r="C143" s="155"/>
      <c r="D143" s="156" t="s">
        <v>346</v>
      </c>
      <c r="E143" s="156" t="s">
        <v>347</v>
      </c>
      <c r="F143" s="155"/>
      <c r="G143" s="157" t="n">
        <v>4.33</v>
      </c>
      <c r="H143" s="155"/>
      <c r="I143" s="155"/>
      <c r="J143" s="155"/>
      <c r="K143" s="146"/>
    </row>
    <row r="144">
      <c r="A144" s="9" t="s">
        <v>348</v>
      </c>
      <c r="B144" s="10" t="s">
        <v>84</v>
      </c>
      <c r="C144" s="10" t="s">
        <v>349</v>
      </c>
      <c r="D144" s="14" t="s">
        <v>350</v>
      </c>
      <c r="E144" s="10"/>
      <c r="F144" s="10" t="s">
        <v>229</v>
      </c>
      <c r="G144" s="111">
        <f>'Stavební rozpočet'!G144</f>
      </c>
      <c r="H144" s="111">
        <f>'Stavební rozpočet'!H144</f>
      </c>
      <c r="I144" s="111">
        <f>G144*H144</f>
      </c>
      <c r="J144" s="153" t="s">
        <v>134</v>
      </c>
      <c r="K144" s="146"/>
      <c r="Z144" s="111">
        <f>IF(AQ144="5",BJ144,0)</f>
      </c>
      <c r="AB144" s="111">
        <f>IF(AQ144="1",BH144,0)</f>
      </c>
      <c r="AC144" s="111">
        <f>IF(AQ144="1",BI144,0)</f>
      </c>
      <c r="AD144" s="111">
        <f>IF(AQ144="7",BH144,0)</f>
      </c>
      <c r="AE144" s="111">
        <f>IF(AQ144="7",BI144,0)</f>
      </c>
      <c r="AF144" s="111">
        <f>IF(AQ144="2",BH144,0)</f>
      </c>
      <c r="AG144" s="111">
        <f>IF(AQ144="2",BI144,0)</f>
      </c>
      <c r="AH144" s="111">
        <f>IF(AQ144="0",BJ144,0)</f>
      </c>
      <c r="AI144" s="132" t="s">
        <v>84</v>
      </c>
      <c r="AJ144" s="111">
        <f>IF(AN144=0,I144,0)</f>
      </c>
      <c r="AK144" s="111">
        <f>IF(AN144=12,I144,0)</f>
      </c>
      <c r="AL144" s="111">
        <f>IF(AN144=21,I144,0)</f>
      </c>
      <c r="AN144" s="111" t="n">
        <v>21</v>
      </c>
      <c r="AO144" s="111">
        <f>H144*0.755482606</f>
      </c>
      <c r="AP144" s="111">
        <f>H144*(1-0.755482606)</f>
      </c>
      <c r="AQ144" s="153" t="s">
        <v>130</v>
      </c>
      <c r="AV144" s="111">
        <f>AW144+AX144</f>
      </c>
      <c r="AW144" s="111">
        <f>G144*AO144</f>
      </c>
      <c r="AX144" s="111">
        <f>G144*AP144</f>
      </c>
      <c r="AY144" s="153" t="s">
        <v>293</v>
      </c>
      <c r="AZ144" s="153" t="s">
        <v>284</v>
      </c>
      <c r="BA144" s="132" t="s">
        <v>137</v>
      </c>
      <c r="BC144" s="111">
        <f>AW144+AX144</f>
      </c>
      <c r="BD144" s="111">
        <f>H144/(100-BE144)*100</f>
      </c>
      <c r="BE144" s="111" t="n">
        <v>0</v>
      </c>
      <c r="BF144" s="111">
        <f>144</f>
      </c>
      <c r="BH144" s="111">
        <f>G144*AO144</f>
      </c>
      <c r="BI144" s="111">
        <f>G144*AP144</f>
      </c>
      <c r="BJ144" s="111">
        <f>G144*H144</f>
      </c>
      <c r="BK144" s="111"/>
      <c r="BL144" s="111" t="n">
        <v>27</v>
      </c>
      <c r="BW144" s="111" t="n">
        <v>21</v>
      </c>
      <c r="BX144" s="14" t="s">
        <v>350</v>
      </c>
    </row>
    <row r="145" customHeight="true" ht="13.5">
      <c r="A145" s="159"/>
      <c r="C145" s="160" t="s">
        <v>146</v>
      </c>
      <c r="D145" s="161" t="s">
        <v>351</v>
      </c>
      <c r="E145" s="156"/>
      <c r="F145" s="156"/>
      <c r="G145" s="156"/>
      <c r="H145" s="156"/>
      <c r="I145" s="156"/>
      <c r="J145" s="156"/>
      <c r="K145" s="163"/>
    </row>
    <row r="146">
      <c r="A146" s="154"/>
      <c r="B146" s="155"/>
      <c r="C146" s="155"/>
      <c r="D146" s="156" t="s">
        <v>352</v>
      </c>
      <c r="E146" s="156" t="s">
        <v>353</v>
      </c>
      <c r="F146" s="155"/>
      <c r="G146" s="157" t="n">
        <v>1.7611</v>
      </c>
      <c r="H146" s="155"/>
      <c r="I146" s="155"/>
      <c r="J146" s="155"/>
      <c r="K146" s="146"/>
    </row>
    <row r="147">
      <c r="A147" s="9" t="s">
        <v>354</v>
      </c>
      <c r="B147" s="10" t="s">
        <v>84</v>
      </c>
      <c r="C147" s="10" t="s">
        <v>355</v>
      </c>
      <c r="D147" s="14" t="s">
        <v>356</v>
      </c>
      <c r="E147" s="10"/>
      <c r="F147" s="10" t="s">
        <v>145</v>
      </c>
      <c r="G147" s="111">
        <f>'Stavební rozpočet'!G147</f>
      </c>
      <c r="H147" s="111">
        <f>'Stavební rozpočet'!H147</f>
      </c>
      <c r="I147" s="111">
        <f>G147*H147</f>
      </c>
      <c r="J147" s="153" t="s">
        <v>134</v>
      </c>
      <c r="K147" s="146"/>
      <c r="Z147" s="111">
        <f>IF(AQ147="5",BJ147,0)</f>
      </c>
      <c r="AB147" s="111">
        <f>IF(AQ147="1",BH147,0)</f>
      </c>
      <c r="AC147" s="111">
        <f>IF(AQ147="1",BI147,0)</f>
      </c>
      <c r="AD147" s="111">
        <f>IF(AQ147="7",BH147,0)</f>
      </c>
      <c r="AE147" s="111">
        <f>IF(AQ147="7",BI147,0)</f>
      </c>
      <c r="AF147" s="111">
        <f>IF(AQ147="2",BH147,0)</f>
      </c>
      <c r="AG147" s="111">
        <f>IF(AQ147="2",BI147,0)</f>
      </c>
      <c r="AH147" s="111">
        <f>IF(AQ147="0",BJ147,0)</f>
      </c>
      <c r="AI147" s="132" t="s">
        <v>84</v>
      </c>
      <c r="AJ147" s="111">
        <f>IF(AN147=0,I147,0)</f>
      </c>
      <c r="AK147" s="111">
        <f>IF(AN147=12,I147,0)</f>
      </c>
      <c r="AL147" s="111">
        <f>IF(AN147=21,I147,0)</f>
      </c>
      <c r="AN147" s="111" t="n">
        <v>21</v>
      </c>
      <c r="AO147" s="111">
        <f>H147*0.878712274</f>
      </c>
      <c r="AP147" s="111">
        <f>H147*(1-0.878712274)</f>
      </c>
      <c r="AQ147" s="153" t="s">
        <v>130</v>
      </c>
      <c r="AV147" s="111">
        <f>AW147+AX147</f>
      </c>
      <c r="AW147" s="111">
        <f>G147*AO147</f>
      </c>
      <c r="AX147" s="111">
        <f>G147*AP147</f>
      </c>
      <c r="AY147" s="153" t="s">
        <v>293</v>
      </c>
      <c r="AZ147" s="153" t="s">
        <v>284</v>
      </c>
      <c r="BA147" s="132" t="s">
        <v>137</v>
      </c>
      <c r="BC147" s="111">
        <f>AW147+AX147</f>
      </c>
      <c r="BD147" s="111">
        <f>H147/(100-BE147)*100</f>
      </c>
      <c r="BE147" s="111" t="n">
        <v>0</v>
      </c>
      <c r="BF147" s="111">
        <f>147</f>
      </c>
      <c r="BH147" s="111">
        <f>G147*AO147</f>
      </c>
      <c r="BI147" s="111">
        <f>G147*AP147</f>
      </c>
      <c r="BJ147" s="111">
        <f>G147*H147</f>
      </c>
      <c r="BK147" s="111"/>
      <c r="BL147" s="111" t="n">
        <v>27</v>
      </c>
      <c r="BW147" s="111" t="n">
        <v>21</v>
      </c>
      <c r="BX147" s="14" t="s">
        <v>356</v>
      </c>
    </row>
    <row r="148" customHeight="true" ht="13.5">
      <c r="A148" s="159"/>
      <c r="C148" s="160" t="s">
        <v>146</v>
      </c>
      <c r="D148" s="161" t="s">
        <v>357</v>
      </c>
      <c r="E148" s="156"/>
      <c r="F148" s="156"/>
      <c r="G148" s="156"/>
      <c r="H148" s="156"/>
      <c r="I148" s="156"/>
      <c r="J148" s="156"/>
      <c r="K148" s="163"/>
    </row>
    <row r="149">
      <c r="A149" s="154"/>
      <c r="B149" s="155"/>
      <c r="C149" s="155"/>
      <c r="D149" s="156" t="s">
        <v>358</v>
      </c>
      <c r="E149" s="156" t="s">
        <v>359</v>
      </c>
      <c r="F149" s="155"/>
      <c r="G149" s="157" t="n">
        <v>527.4</v>
      </c>
      <c r="H149" s="155"/>
      <c r="I149" s="155"/>
      <c r="J149" s="155"/>
      <c r="K149" s="146"/>
    </row>
    <row r="150">
      <c r="A150" s="9" t="s">
        <v>360</v>
      </c>
      <c r="B150" s="10" t="s">
        <v>84</v>
      </c>
      <c r="C150" s="10" t="s">
        <v>361</v>
      </c>
      <c r="D150" s="14" t="s">
        <v>362</v>
      </c>
      <c r="E150" s="10"/>
      <c r="F150" s="10" t="s">
        <v>159</v>
      </c>
      <c r="G150" s="111">
        <f>'Stavební rozpočet'!G150</f>
      </c>
      <c r="H150" s="111">
        <f>'Stavební rozpočet'!H150</f>
      </c>
      <c r="I150" s="111">
        <f>G150*H150</f>
      </c>
      <c r="J150" s="153" t="s">
        <v>134</v>
      </c>
      <c r="K150" s="146"/>
      <c r="Z150" s="111">
        <f>IF(AQ150="5",BJ150,0)</f>
      </c>
      <c r="AB150" s="111">
        <f>IF(AQ150="1",BH150,0)</f>
      </c>
      <c r="AC150" s="111">
        <f>IF(AQ150="1",BI150,0)</f>
      </c>
      <c r="AD150" s="111">
        <f>IF(AQ150="7",BH150,0)</f>
      </c>
      <c r="AE150" s="111">
        <f>IF(AQ150="7",BI150,0)</f>
      </c>
      <c r="AF150" s="111">
        <f>IF(AQ150="2",BH150,0)</f>
      </c>
      <c r="AG150" s="111">
        <f>IF(AQ150="2",BI150,0)</f>
      </c>
      <c r="AH150" s="111">
        <f>IF(AQ150="0",BJ150,0)</f>
      </c>
      <c r="AI150" s="132" t="s">
        <v>84</v>
      </c>
      <c r="AJ150" s="111">
        <f>IF(AN150=0,I150,0)</f>
      </c>
      <c r="AK150" s="111">
        <f>IF(AN150=12,I150,0)</f>
      </c>
      <c r="AL150" s="111">
        <f>IF(AN150=21,I150,0)</f>
      </c>
      <c r="AN150" s="111" t="n">
        <v>21</v>
      </c>
      <c r="AO150" s="111">
        <f>H150*0.925521645</f>
      </c>
      <c r="AP150" s="111">
        <f>H150*(1-0.925521645)</f>
      </c>
      <c r="AQ150" s="153" t="s">
        <v>130</v>
      </c>
      <c r="AV150" s="111">
        <f>AW150+AX150</f>
      </c>
      <c r="AW150" s="111">
        <f>G150*AO150</f>
      </c>
      <c r="AX150" s="111">
        <f>G150*AP150</f>
      </c>
      <c r="AY150" s="153" t="s">
        <v>293</v>
      </c>
      <c r="AZ150" s="153" t="s">
        <v>284</v>
      </c>
      <c r="BA150" s="132" t="s">
        <v>137</v>
      </c>
      <c r="BC150" s="111">
        <f>AW150+AX150</f>
      </c>
      <c r="BD150" s="111">
        <f>H150/(100-BE150)*100</f>
      </c>
      <c r="BE150" s="111" t="n">
        <v>0</v>
      </c>
      <c r="BF150" s="111">
        <f>150</f>
      </c>
      <c r="BH150" s="111">
        <f>G150*AO150</f>
      </c>
      <c r="BI150" s="111">
        <f>G150*AP150</f>
      </c>
      <c r="BJ150" s="111">
        <f>G150*H150</f>
      </c>
      <c r="BK150" s="111"/>
      <c r="BL150" s="111" t="n">
        <v>27</v>
      </c>
      <c r="BW150" s="111" t="n">
        <v>21</v>
      </c>
      <c r="BX150" s="14" t="s">
        <v>362</v>
      </c>
    </row>
    <row r="151" customHeight="true" ht="13.5">
      <c r="A151" s="159"/>
      <c r="C151" s="160" t="s">
        <v>146</v>
      </c>
      <c r="D151" s="161" t="s">
        <v>363</v>
      </c>
      <c r="E151" s="156"/>
      <c r="F151" s="156"/>
      <c r="G151" s="156"/>
      <c r="H151" s="156"/>
      <c r="I151" s="156"/>
      <c r="J151" s="156"/>
      <c r="K151" s="163"/>
    </row>
    <row r="152">
      <c r="A152" s="154"/>
      <c r="B152" s="155"/>
      <c r="C152" s="155"/>
      <c r="D152" s="156" t="s">
        <v>364</v>
      </c>
      <c r="E152" s="156" t="s">
        <v>365</v>
      </c>
      <c r="F152" s="155"/>
      <c r="G152" s="157" t="n">
        <v>79.11</v>
      </c>
      <c r="H152" s="155"/>
      <c r="I152" s="155"/>
      <c r="J152" s="155"/>
      <c r="K152" s="146"/>
    </row>
    <row r="153">
      <c r="A153" s="9" t="s">
        <v>366</v>
      </c>
      <c r="B153" s="10" t="s">
        <v>84</v>
      </c>
      <c r="C153" s="10" t="s">
        <v>367</v>
      </c>
      <c r="D153" s="14" t="s">
        <v>368</v>
      </c>
      <c r="E153" s="10"/>
      <c r="F153" s="10" t="s">
        <v>229</v>
      </c>
      <c r="G153" s="111">
        <f>'Stavební rozpočet'!G153</f>
      </c>
      <c r="H153" s="111">
        <f>'Stavební rozpočet'!H153</f>
      </c>
      <c r="I153" s="111">
        <f>G153*H153</f>
      </c>
      <c r="J153" s="153" t="s">
        <v>134</v>
      </c>
      <c r="K153" s="146"/>
      <c r="Z153" s="111">
        <f>IF(AQ153="5",BJ153,0)</f>
      </c>
      <c r="AB153" s="111">
        <f>IF(AQ153="1",BH153,0)</f>
      </c>
      <c r="AC153" s="111">
        <f>IF(AQ153="1",BI153,0)</f>
      </c>
      <c r="AD153" s="111">
        <f>IF(AQ153="7",BH153,0)</f>
      </c>
      <c r="AE153" s="111">
        <f>IF(AQ153="7",BI153,0)</f>
      </c>
      <c r="AF153" s="111">
        <f>IF(AQ153="2",BH153,0)</f>
      </c>
      <c r="AG153" s="111">
        <f>IF(AQ153="2",BI153,0)</f>
      </c>
      <c r="AH153" s="111">
        <f>IF(AQ153="0",BJ153,0)</f>
      </c>
      <c r="AI153" s="132" t="s">
        <v>84</v>
      </c>
      <c r="AJ153" s="111">
        <f>IF(AN153=0,I153,0)</f>
      </c>
      <c r="AK153" s="111">
        <f>IF(AN153=12,I153,0)</f>
      </c>
      <c r="AL153" s="111">
        <f>IF(AN153=21,I153,0)</f>
      </c>
      <c r="AN153" s="111" t="n">
        <v>21</v>
      </c>
      <c r="AO153" s="111">
        <f>H153*0.7840678</f>
      </c>
      <c r="AP153" s="111">
        <f>H153*(1-0.7840678)</f>
      </c>
      <c r="AQ153" s="153" t="s">
        <v>130</v>
      </c>
      <c r="AV153" s="111">
        <f>AW153+AX153</f>
      </c>
      <c r="AW153" s="111">
        <f>G153*AO153</f>
      </c>
      <c r="AX153" s="111">
        <f>G153*AP153</f>
      </c>
      <c r="AY153" s="153" t="s">
        <v>293</v>
      </c>
      <c r="AZ153" s="153" t="s">
        <v>284</v>
      </c>
      <c r="BA153" s="132" t="s">
        <v>137</v>
      </c>
      <c r="BC153" s="111">
        <f>AW153+AX153</f>
      </c>
      <c r="BD153" s="111">
        <f>H153/(100-BE153)*100</f>
      </c>
      <c r="BE153" s="111" t="n">
        <v>0</v>
      </c>
      <c r="BF153" s="111">
        <f>153</f>
      </c>
      <c r="BH153" s="111">
        <f>G153*AO153</f>
      </c>
      <c r="BI153" s="111">
        <f>G153*AP153</f>
      </c>
      <c r="BJ153" s="111">
        <f>G153*H153</f>
      </c>
      <c r="BK153" s="111"/>
      <c r="BL153" s="111" t="n">
        <v>27</v>
      </c>
      <c r="BW153" s="111" t="n">
        <v>21</v>
      </c>
      <c r="BX153" s="14" t="s">
        <v>368</v>
      </c>
    </row>
    <row r="154" customHeight="true" ht="13.5">
      <c r="A154" s="159"/>
      <c r="C154" s="160" t="s">
        <v>146</v>
      </c>
      <c r="D154" s="161" t="s">
        <v>369</v>
      </c>
      <c r="E154" s="156"/>
      <c r="F154" s="156"/>
      <c r="G154" s="156"/>
      <c r="H154" s="156"/>
      <c r="I154" s="156"/>
      <c r="J154" s="156"/>
      <c r="K154" s="163"/>
    </row>
    <row r="155">
      <c r="A155" s="154"/>
      <c r="B155" s="155"/>
      <c r="C155" s="155"/>
      <c r="D155" s="156" t="s">
        <v>370</v>
      </c>
      <c r="E155" s="156" t="s">
        <v>371</v>
      </c>
      <c r="F155" s="155"/>
      <c r="G155" s="157" t="n">
        <v>5.4164</v>
      </c>
      <c r="H155" s="155"/>
      <c r="I155" s="155"/>
      <c r="J155" s="155"/>
      <c r="K155" s="146"/>
    </row>
    <row r="156">
      <c r="A156" s="154"/>
      <c r="B156" s="155"/>
      <c r="C156" s="155"/>
      <c r="D156" s="156" t="s">
        <v>372</v>
      </c>
      <c r="E156" s="156" t="s">
        <v>373</v>
      </c>
      <c r="F156" s="155"/>
      <c r="G156" s="157" t="n">
        <v>0.41137</v>
      </c>
      <c r="H156" s="155"/>
      <c r="I156" s="155"/>
      <c r="J156" s="155"/>
      <c r="K156" s="146"/>
    </row>
    <row r="157">
      <c r="A157" s="9" t="s">
        <v>374</v>
      </c>
      <c r="B157" s="10" t="s">
        <v>84</v>
      </c>
      <c r="C157" s="10" t="s">
        <v>375</v>
      </c>
      <c r="D157" s="14" t="s">
        <v>376</v>
      </c>
      <c r="E157" s="10"/>
      <c r="F157" s="10" t="s">
        <v>145</v>
      </c>
      <c r="G157" s="111">
        <f>'Stavební rozpočet'!G157</f>
      </c>
      <c r="H157" s="111">
        <f>'Stavební rozpočet'!H157</f>
      </c>
      <c r="I157" s="111">
        <f>G157*H157</f>
      </c>
      <c r="J157" s="153" t="s">
        <v>134</v>
      </c>
      <c r="K157" s="146"/>
      <c r="Z157" s="111">
        <f>IF(AQ157="5",BJ157,0)</f>
      </c>
      <c r="AB157" s="111">
        <f>IF(AQ157="1",BH157,0)</f>
      </c>
      <c r="AC157" s="111">
        <f>IF(AQ157="1",BI157,0)</f>
      </c>
      <c r="AD157" s="111">
        <f>IF(AQ157="7",BH157,0)</f>
      </c>
      <c r="AE157" s="111">
        <f>IF(AQ157="7",BI157,0)</f>
      </c>
      <c r="AF157" s="111">
        <f>IF(AQ157="2",BH157,0)</f>
      </c>
      <c r="AG157" s="111">
        <f>IF(AQ157="2",BI157,0)</f>
      </c>
      <c r="AH157" s="111">
        <f>IF(AQ157="0",BJ157,0)</f>
      </c>
      <c r="AI157" s="132" t="s">
        <v>84</v>
      </c>
      <c r="AJ157" s="111">
        <f>IF(AN157=0,I157,0)</f>
      </c>
      <c r="AK157" s="111">
        <f>IF(AN157=12,I157,0)</f>
      </c>
      <c r="AL157" s="111">
        <f>IF(AN157=21,I157,0)</f>
      </c>
      <c r="AN157" s="111" t="n">
        <v>21</v>
      </c>
      <c r="AO157" s="111">
        <f>H157*0.251445644</f>
      </c>
      <c r="AP157" s="111">
        <f>H157*(1-0.251445644)</f>
      </c>
      <c r="AQ157" s="153" t="s">
        <v>130</v>
      </c>
      <c r="AV157" s="111">
        <f>AW157+AX157</f>
      </c>
      <c r="AW157" s="111">
        <f>G157*AO157</f>
      </c>
      <c r="AX157" s="111">
        <f>G157*AP157</f>
      </c>
      <c r="AY157" s="153" t="s">
        <v>293</v>
      </c>
      <c r="AZ157" s="153" t="s">
        <v>284</v>
      </c>
      <c r="BA157" s="132" t="s">
        <v>137</v>
      </c>
      <c r="BC157" s="111">
        <f>AW157+AX157</f>
      </c>
      <c r="BD157" s="111">
        <f>H157/(100-BE157)*100</f>
      </c>
      <c r="BE157" s="111" t="n">
        <v>0</v>
      </c>
      <c r="BF157" s="111">
        <f>157</f>
      </c>
      <c r="BH157" s="111">
        <f>G157*AO157</f>
      </c>
      <c r="BI157" s="111">
        <f>G157*AP157</f>
      </c>
      <c r="BJ157" s="111">
        <f>G157*H157</f>
      </c>
      <c r="BK157" s="111"/>
      <c r="BL157" s="111" t="n">
        <v>27</v>
      </c>
      <c r="BW157" s="111" t="n">
        <v>21</v>
      </c>
      <c r="BX157" s="14" t="s">
        <v>376</v>
      </c>
    </row>
    <row r="158">
      <c r="A158" s="154"/>
      <c r="B158" s="155"/>
      <c r="C158" s="155"/>
      <c r="D158" s="156" t="s">
        <v>377</v>
      </c>
      <c r="E158" s="156" t="s">
        <v>363</v>
      </c>
      <c r="F158" s="155"/>
      <c r="G158" s="157" t="n">
        <v>58.02</v>
      </c>
      <c r="H158" s="155"/>
      <c r="I158" s="155"/>
      <c r="J158" s="155"/>
      <c r="K158" s="146"/>
    </row>
    <row r="159">
      <c r="A159" s="9" t="s">
        <v>378</v>
      </c>
      <c r="B159" s="10" t="s">
        <v>84</v>
      </c>
      <c r="C159" s="10" t="s">
        <v>379</v>
      </c>
      <c r="D159" s="14" t="s">
        <v>380</v>
      </c>
      <c r="E159" s="10"/>
      <c r="F159" s="10" t="s">
        <v>145</v>
      </c>
      <c r="G159" s="111">
        <f>'Stavební rozpočet'!G159</f>
      </c>
      <c r="H159" s="111">
        <f>'Stavební rozpočet'!H159</f>
      </c>
      <c r="I159" s="111">
        <f>G159*H159</f>
      </c>
      <c r="J159" s="153" t="s">
        <v>134</v>
      </c>
      <c r="K159" s="146"/>
      <c r="Z159" s="111">
        <f>IF(AQ159="5",BJ159,0)</f>
      </c>
      <c r="AB159" s="111">
        <f>IF(AQ159="1",BH159,0)</f>
      </c>
      <c r="AC159" s="111">
        <f>IF(AQ159="1",BI159,0)</f>
      </c>
      <c r="AD159" s="111">
        <f>IF(AQ159="7",BH159,0)</f>
      </c>
      <c r="AE159" s="111">
        <f>IF(AQ159="7",BI159,0)</f>
      </c>
      <c r="AF159" s="111">
        <f>IF(AQ159="2",BH159,0)</f>
      </c>
      <c r="AG159" s="111">
        <f>IF(AQ159="2",BI159,0)</f>
      </c>
      <c r="AH159" s="111">
        <f>IF(AQ159="0",BJ159,0)</f>
      </c>
      <c r="AI159" s="132" t="s">
        <v>84</v>
      </c>
      <c r="AJ159" s="111">
        <f>IF(AN159=0,I159,0)</f>
      </c>
      <c r="AK159" s="111">
        <f>IF(AN159=12,I159,0)</f>
      </c>
      <c r="AL159" s="111">
        <f>IF(AN159=21,I159,0)</f>
      </c>
      <c r="AN159" s="111" t="n">
        <v>21</v>
      </c>
      <c r="AO159" s="111">
        <f>H159*0</f>
      </c>
      <c r="AP159" s="111">
        <f>H159*(1-0)</f>
      </c>
      <c r="AQ159" s="153" t="s">
        <v>130</v>
      </c>
      <c r="AV159" s="111">
        <f>AW159+AX159</f>
      </c>
      <c r="AW159" s="111">
        <f>G159*AO159</f>
      </c>
      <c r="AX159" s="111">
        <f>G159*AP159</f>
      </c>
      <c r="AY159" s="153" t="s">
        <v>293</v>
      </c>
      <c r="AZ159" s="153" t="s">
        <v>284</v>
      </c>
      <c r="BA159" s="132" t="s">
        <v>137</v>
      </c>
      <c r="BC159" s="111">
        <f>AW159+AX159</f>
      </c>
      <c r="BD159" s="111">
        <f>H159/(100-BE159)*100</f>
      </c>
      <c r="BE159" s="111" t="n">
        <v>0</v>
      </c>
      <c r="BF159" s="111">
        <f>159</f>
      </c>
      <c r="BH159" s="111">
        <f>G159*AO159</f>
      </c>
      <c r="BI159" s="111">
        <f>G159*AP159</f>
      </c>
      <c r="BJ159" s="111">
        <f>G159*H159</f>
      </c>
      <c r="BK159" s="111"/>
      <c r="BL159" s="111" t="n">
        <v>27</v>
      </c>
      <c r="BW159" s="111" t="n">
        <v>21</v>
      </c>
      <c r="BX159" s="14" t="s">
        <v>380</v>
      </c>
    </row>
    <row r="160">
      <c r="A160" s="154"/>
      <c r="B160" s="155"/>
      <c r="C160" s="155"/>
      <c r="D160" s="156" t="s">
        <v>377</v>
      </c>
      <c r="E160" s="156" t="s">
        <v>363</v>
      </c>
      <c r="F160" s="155"/>
      <c r="G160" s="157" t="n">
        <v>58.02</v>
      </c>
      <c r="H160" s="155"/>
      <c r="I160" s="155"/>
      <c r="J160" s="155"/>
      <c r="K160" s="146"/>
    </row>
    <row r="161">
      <c r="A161" s="9" t="s">
        <v>381</v>
      </c>
      <c r="B161" s="10" t="s">
        <v>84</v>
      </c>
      <c r="C161" s="10" t="s">
        <v>382</v>
      </c>
      <c r="D161" s="14" t="s">
        <v>383</v>
      </c>
      <c r="E161" s="10"/>
      <c r="F161" s="10" t="s">
        <v>159</v>
      </c>
      <c r="G161" s="111">
        <f>'Stavební rozpočet'!G161</f>
      </c>
      <c r="H161" s="111">
        <f>'Stavební rozpočet'!H161</f>
      </c>
      <c r="I161" s="111">
        <f>G161*H161</f>
      </c>
      <c r="J161" s="153" t="s">
        <v>134</v>
      </c>
      <c r="K161" s="146"/>
      <c r="Z161" s="111">
        <f>IF(AQ161="5",BJ161,0)</f>
      </c>
      <c r="AB161" s="111">
        <f>IF(AQ161="1",BH161,0)</f>
      </c>
      <c r="AC161" s="111">
        <f>IF(AQ161="1",BI161,0)</f>
      </c>
      <c r="AD161" s="111">
        <f>IF(AQ161="7",BH161,0)</f>
      </c>
      <c r="AE161" s="111">
        <f>IF(AQ161="7",BI161,0)</f>
      </c>
      <c r="AF161" s="111">
        <f>IF(AQ161="2",BH161,0)</f>
      </c>
      <c r="AG161" s="111">
        <f>IF(AQ161="2",BI161,0)</f>
      </c>
      <c r="AH161" s="111">
        <f>IF(AQ161="0",BJ161,0)</f>
      </c>
      <c r="AI161" s="132" t="s">
        <v>84</v>
      </c>
      <c r="AJ161" s="111">
        <f>IF(AN161=0,I161,0)</f>
      </c>
      <c r="AK161" s="111">
        <f>IF(AN161=12,I161,0)</f>
      </c>
      <c r="AL161" s="111">
        <f>IF(AN161=21,I161,0)</f>
      </c>
      <c r="AN161" s="111" t="n">
        <v>21</v>
      </c>
      <c r="AO161" s="111">
        <f>H161*0.468420243</f>
      </c>
      <c r="AP161" s="111">
        <f>H161*(1-0.468420243)</f>
      </c>
      <c r="AQ161" s="153" t="s">
        <v>130</v>
      </c>
      <c r="AV161" s="111">
        <f>AW161+AX161</f>
      </c>
      <c r="AW161" s="111">
        <f>G161*AO161</f>
      </c>
      <c r="AX161" s="111">
        <f>G161*AP161</f>
      </c>
      <c r="AY161" s="153" t="s">
        <v>293</v>
      </c>
      <c r="AZ161" s="153" t="s">
        <v>284</v>
      </c>
      <c r="BA161" s="132" t="s">
        <v>137</v>
      </c>
      <c r="BC161" s="111">
        <f>AW161+AX161</f>
      </c>
      <c r="BD161" s="111">
        <f>H161/(100-BE161)*100</f>
      </c>
      <c r="BE161" s="111" t="n">
        <v>0</v>
      </c>
      <c r="BF161" s="111">
        <f>161</f>
      </c>
      <c r="BH161" s="111">
        <f>G161*AO161</f>
      </c>
      <c r="BI161" s="111">
        <f>G161*AP161</f>
      </c>
      <c r="BJ161" s="111">
        <f>G161*H161</f>
      </c>
      <c r="BK161" s="111"/>
      <c r="BL161" s="111" t="n">
        <v>27</v>
      </c>
      <c r="BW161" s="111" t="n">
        <v>21</v>
      </c>
      <c r="BX161" s="14" t="s">
        <v>383</v>
      </c>
    </row>
    <row r="162" customHeight="true" ht="13.5">
      <c r="A162" s="159"/>
      <c r="C162" s="160" t="s">
        <v>146</v>
      </c>
      <c r="D162" s="161" t="s">
        <v>384</v>
      </c>
      <c r="E162" s="156"/>
      <c r="F162" s="156"/>
      <c r="G162" s="156"/>
      <c r="H162" s="156"/>
      <c r="I162" s="156"/>
      <c r="J162" s="156"/>
      <c r="K162" s="163"/>
    </row>
    <row r="163">
      <c r="A163" s="154"/>
      <c r="B163" s="155"/>
      <c r="C163" s="155"/>
      <c r="D163" s="156" t="s">
        <v>385</v>
      </c>
      <c r="E163" s="156" t="s">
        <v>386</v>
      </c>
      <c r="F163" s="155"/>
      <c r="G163" s="157" t="n">
        <v>3.6</v>
      </c>
      <c r="H163" s="155"/>
      <c r="I163" s="155"/>
      <c r="J163" s="155"/>
      <c r="K163" s="146"/>
    </row>
    <row r="164">
      <c r="A164" s="9" t="s">
        <v>387</v>
      </c>
      <c r="B164" s="10" t="s">
        <v>84</v>
      </c>
      <c r="C164" s="10" t="s">
        <v>388</v>
      </c>
      <c r="D164" s="14" t="s">
        <v>322</v>
      </c>
      <c r="E164" s="10"/>
      <c r="F164" s="10" t="s">
        <v>145</v>
      </c>
      <c r="G164" s="111">
        <f>'Stavební rozpočet'!G164</f>
      </c>
      <c r="H164" s="111">
        <f>'Stavební rozpočet'!H164</f>
      </c>
      <c r="I164" s="111">
        <f>G164*H164</f>
      </c>
      <c r="J164" s="153" t="s">
        <v>134</v>
      </c>
      <c r="K164" s="146"/>
      <c r="Z164" s="111">
        <f>IF(AQ164="5",BJ164,0)</f>
      </c>
      <c r="AB164" s="111">
        <f>IF(AQ164="1",BH164,0)</f>
      </c>
      <c r="AC164" s="111">
        <f>IF(AQ164="1",BI164,0)</f>
      </c>
      <c r="AD164" s="111">
        <f>IF(AQ164="7",BH164,0)</f>
      </c>
      <c r="AE164" s="111">
        <f>IF(AQ164="7",BI164,0)</f>
      </c>
      <c r="AF164" s="111">
        <f>IF(AQ164="2",BH164,0)</f>
      </c>
      <c r="AG164" s="111">
        <f>IF(AQ164="2",BI164,0)</f>
      </c>
      <c r="AH164" s="111">
        <f>IF(AQ164="0",BJ164,0)</f>
      </c>
      <c r="AI164" s="132" t="s">
        <v>84</v>
      </c>
      <c r="AJ164" s="111">
        <f>IF(AN164=0,I164,0)</f>
      </c>
      <c r="AK164" s="111">
        <f>IF(AN164=12,I164,0)</f>
      </c>
      <c r="AL164" s="111">
        <f>IF(AN164=21,I164,0)</f>
      </c>
      <c r="AN164" s="111" t="n">
        <v>21</v>
      </c>
      <c r="AO164" s="111">
        <f>H164*0.688930818</f>
      </c>
      <c r="AP164" s="111">
        <f>H164*(1-0.688930818)</f>
      </c>
      <c r="AQ164" s="153" t="s">
        <v>130</v>
      </c>
      <c r="AV164" s="111">
        <f>AW164+AX164</f>
      </c>
      <c r="AW164" s="111">
        <f>G164*AO164</f>
      </c>
      <c r="AX164" s="111">
        <f>G164*AP164</f>
      </c>
      <c r="AY164" s="153" t="s">
        <v>293</v>
      </c>
      <c r="AZ164" s="153" t="s">
        <v>284</v>
      </c>
      <c r="BA164" s="132" t="s">
        <v>137</v>
      </c>
      <c r="BC164" s="111">
        <f>AW164+AX164</f>
      </c>
      <c r="BD164" s="111">
        <f>H164/(100-BE164)*100</f>
      </c>
      <c r="BE164" s="111" t="n">
        <v>0</v>
      </c>
      <c r="BF164" s="111">
        <f>164</f>
      </c>
      <c r="BH164" s="111">
        <f>G164*AO164</f>
      </c>
      <c r="BI164" s="111">
        <f>G164*AP164</f>
      </c>
      <c r="BJ164" s="111">
        <f>G164*H164</f>
      </c>
      <c r="BK164" s="111"/>
      <c r="BL164" s="111" t="n">
        <v>27</v>
      </c>
      <c r="BW164" s="111" t="n">
        <v>21</v>
      </c>
      <c r="BX164" s="14" t="s">
        <v>322</v>
      </c>
    </row>
    <row r="165" customHeight="true" ht="13.5">
      <c r="A165" s="159"/>
      <c r="C165" s="160" t="s">
        <v>146</v>
      </c>
      <c r="D165" s="161" t="s">
        <v>389</v>
      </c>
      <c r="E165" s="156"/>
      <c r="F165" s="156"/>
      <c r="G165" s="156"/>
      <c r="H165" s="156"/>
      <c r="I165" s="156"/>
      <c r="J165" s="156"/>
      <c r="K165" s="163"/>
    </row>
    <row r="166">
      <c r="A166" s="154"/>
      <c r="B166" s="155"/>
      <c r="C166" s="155"/>
      <c r="D166" s="156" t="s">
        <v>390</v>
      </c>
      <c r="E166" s="156" t="s">
        <v>391</v>
      </c>
      <c r="F166" s="155"/>
      <c r="G166" s="157" t="n">
        <v>6</v>
      </c>
      <c r="H166" s="155"/>
      <c r="I166" s="155"/>
      <c r="J166" s="155"/>
      <c r="K166" s="146"/>
    </row>
    <row r="167">
      <c r="A167" s="9" t="s">
        <v>392</v>
      </c>
      <c r="B167" s="10" t="s">
        <v>84</v>
      </c>
      <c r="C167" s="10" t="s">
        <v>331</v>
      </c>
      <c r="D167" s="14" t="s">
        <v>332</v>
      </c>
      <c r="E167" s="10"/>
      <c r="F167" s="10" t="s">
        <v>145</v>
      </c>
      <c r="G167" s="111">
        <f>'Stavební rozpočet'!G167</f>
      </c>
      <c r="H167" s="111">
        <f>'Stavební rozpočet'!H167</f>
      </c>
      <c r="I167" s="111">
        <f>G167*H167</f>
      </c>
      <c r="J167" s="153" t="s">
        <v>134</v>
      </c>
      <c r="K167" s="146"/>
      <c r="Z167" s="111">
        <f>IF(AQ167="5",BJ167,0)</f>
      </c>
      <c r="AB167" s="111">
        <f>IF(AQ167="1",BH167,0)</f>
      </c>
      <c r="AC167" s="111">
        <f>IF(AQ167="1",BI167,0)</f>
      </c>
      <c r="AD167" s="111">
        <f>IF(AQ167="7",BH167,0)</f>
      </c>
      <c r="AE167" s="111">
        <f>IF(AQ167="7",BI167,0)</f>
      </c>
      <c r="AF167" s="111">
        <f>IF(AQ167="2",BH167,0)</f>
      </c>
      <c r="AG167" s="111">
        <f>IF(AQ167="2",BI167,0)</f>
      </c>
      <c r="AH167" s="111">
        <f>IF(AQ167="0",BJ167,0)</f>
      </c>
      <c r="AI167" s="132" t="s">
        <v>84</v>
      </c>
      <c r="AJ167" s="111">
        <f>IF(AN167=0,I167,0)</f>
      </c>
      <c r="AK167" s="111">
        <f>IF(AN167=12,I167,0)</f>
      </c>
      <c r="AL167" s="111">
        <f>IF(AN167=21,I167,0)</f>
      </c>
      <c r="AN167" s="111" t="n">
        <v>21</v>
      </c>
      <c r="AO167" s="111">
        <f>H167*0</f>
      </c>
      <c r="AP167" s="111">
        <f>H167*(1-0)</f>
      </c>
      <c r="AQ167" s="153" t="s">
        <v>130</v>
      </c>
      <c r="AV167" s="111">
        <f>AW167+AX167</f>
      </c>
      <c r="AW167" s="111">
        <f>G167*AO167</f>
      </c>
      <c r="AX167" s="111">
        <f>G167*AP167</f>
      </c>
      <c r="AY167" s="153" t="s">
        <v>293</v>
      </c>
      <c r="AZ167" s="153" t="s">
        <v>284</v>
      </c>
      <c r="BA167" s="132" t="s">
        <v>137</v>
      </c>
      <c r="BC167" s="111">
        <f>AW167+AX167</f>
      </c>
      <c r="BD167" s="111">
        <f>H167/(100-BE167)*100</f>
      </c>
      <c r="BE167" s="111" t="n">
        <v>0</v>
      </c>
      <c r="BF167" s="111">
        <f>167</f>
      </c>
      <c r="BH167" s="111">
        <f>G167*AO167</f>
      </c>
      <c r="BI167" s="111">
        <f>G167*AP167</f>
      </c>
      <c r="BJ167" s="111">
        <f>G167*H167</f>
      </c>
      <c r="BK167" s="111"/>
      <c r="BL167" s="111" t="n">
        <v>27</v>
      </c>
      <c r="BW167" s="111" t="n">
        <v>21</v>
      </c>
      <c r="BX167" s="14" t="s">
        <v>332</v>
      </c>
    </row>
    <row r="168" customHeight="true" ht="13.5">
      <c r="A168" s="159"/>
      <c r="C168" s="160" t="s">
        <v>146</v>
      </c>
      <c r="D168" s="161" t="s">
        <v>393</v>
      </c>
      <c r="E168" s="156"/>
      <c r="F168" s="156"/>
      <c r="G168" s="156"/>
      <c r="H168" s="156"/>
      <c r="I168" s="156"/>
      <c r="J168" s="156"/>
      <c r="K168" s="163"/>
    </row>
    <row r="169">
      <c r="A169" s="154"/>
      <c r="B169" s="155"/>
      <c r="C169" s="155"/>
      <c r="D169" s="156" t="s">
        <v>390</v>
      </c>
      <c r="E169" s="156" t="s">
        <v>391</v>
      </c>
      <c r="F169" s="155"/>
      <c r="G169" s="157" t="n">
        <v>6</v>
      </c>
      <c r="H169" s="155"/>
      <c r="I169" s="155"/>
      <c r="J169" s="155"/>
      <c r="K169" s="146"/>
    </row>
    <row r="170">
      <c r="A170" s="147" t="s">
        <v>4</v>
      </c>
      <c r="B170" s="148" t="s">
        <v>84</v>
      </c>
      <c r="C170" s="148" t="s">
        <v>348</v>
      </c>
      <c r="D170" s="149" t="s">
        <v>394</v>
      </c>
      <c r="E170" s="148"/>
      <c r="F170" s="150" t="s">
        <v>79</v>
      </c>
      <c r="G170" s="150" t="s">
        <v>79</v>
      </c>
      <c r="H170" s="150" t="s">
        <v>79</v>
      </c>
      <c r="I170" s="117">
        <f>SUM(I171:I241)</f>
      </c>
      <c r="J170" s="132" t="s">
        <v>4</v>
      </c>
      <c r="K170" s="146"/>
      <c r="AI170" s="132" t="s">
        <v>84</v>
      </c>
      <c r="AS170" s="117">
        <f>SUM(AJ171:AJ241)</f>
      </c>
      <c r="AT170" s="117">
        <f>SUM(AK171:AK241)</f>
      </c>
      <c r="AU170" s="117">
        <f>SUM(AL171:AL241)</f>
      </c>
    </row>
    <row r="171">
      <c r="A171" s="9" t="s">
        <v>395</v>
      </c>
      <c r="B171" s="10" t="s">
        <v>84</v>
      </c>
      <c r="C171" s="10" t="s">
        <v>396</v>
      </c>
      <c r="D171" s="14" t="s">
        <v>397</v>
      </c>
      <c r="E171" s="10"/>
      <c r="F171" s="10" t="s">
        <v>145</v>
      </c>
      <c r="G171" s="111">
        <f>'Stavební rozpočet'!G171</f>
      </c>
      <c r="H171" s="111">
        <f>'Stavební rozpočet'!H171</f>
      </c>
      <c r="I171" s="111">
        <f>G171*H171</f>
      </c>
      <c r="J171" s="153" t="s">
        <v>134</v>
      </c>
      <c r="K171" s="146"/>
      <c r="Z171" s="111">
        <f>IF(AQ171="5",BJ171,0)</f>
      </c>
      <c r="AB171" s="111">
        <f>IF(AQ171="1",BH171,0)</f>
      </c>
      <c r="AC171" s="111">
        <f>IF(AQ171="1",BI171,0)</f>
      </c>
      <c r="AD171" s="111">
        <f>IF(AQ171="7",BH171,0)</f>
      </c>
      <c r="AE171" s="111">
        <f>IF(AQ171="7",BI171,0)</f>
      </c>
      <c r="AF171" s="111">
        <f>IF(AQ171="2",BH171,0)</f>
      </c>
      <c r="AG171" s="111">
        <f>IF(AQ171="2",BI171,0)</f>
      </c>
      <c r="AH171" s="111">
        <f>IF(AQ171="0",BJ171,0)</f>
      </c>
      <c r="AI171" s="132" t="s">
        <v>84</v>
      </c>
      <c r="AJ171" s="111">
        <f>IF(AN171=0,I171,0)</f>
      </c>
      <c r="AK171" s="111">
        <f>IF(AN171=12,I171,0)</f>
      </c>
      <c r="AL171" s="111">
        <f>IF(AN171=21,I171,0)</f>
      </c>
      <c r="AN171" s="111" t="n">
        <v>21</v>
      </c>
      <c r="AO171" s="111">
        <f>H171*0.73061754</f>
      </c>
      <c r="AP171" s="111">
        <f>H171*(1-0.73061754)</f>
      </c>
      <c r="AQ171" s="153" t="s">
        <v>130</v>
      </c>
      <c r="AV171" s="111">
        <f>AW171+AX171</f>
      </c>
      <c r="AW171" s="111">
        <f>G171*AO171</f>
      </c>
      <c r="AX171" s="111">
        <f>G171*AP171</f>
      </c>
      <c r="AY171" s="153" t="s">
        <v>398</v>
      </c>
      <c r="AZ171" s="153" t="s">
        <v>399</v>
      </c>
      <c r="BA171" s="132" t="s">
        <v>137</v>
      </c>
      <c r="BC171" s="111">
        <f>AW171+AX171</f>
      </c>
      <c r="BD171" s="111">
        <f>H171/(100-BE171)*100</f>
      </c>
      <c r="BE171" s="111" t="n">
        <v>0</v>
      </c>
      <c r="BF171" s="111">
        <f>171</f>
      </c>
      <c r="BH171" s="111">
        <f>G171*AO171</f>
      </c>
      <c r="BI171" s="111">
        <f>G171*AP171</f>
      </c>
      <c r="BJ171" s="111">
        <f>G171*H171</f>
      </c>
      <c r="BK171" s="111"/>
      <c r="BL171" s="111" t="n">
        <v>31</v>
      </c>
      <c r="BW171" s="111" t="n">
        <v>21</v>
      </c>
      <c r="BX171" s="14" t="s">
        <v>397</v>
      </c>
    </row>
    <row r="172" customHeight="true" ht="13.5">
      <c r="A172" s="159"/>
      <c r="C172" s="160" t="s">
        <v>146</v>
      </c>
      <c r="D172" s="161" t="s">
        <v>400</v>
      </c>
      <c r="E172" s="156"/>
      <c r="F172" s="156"/>
      <c r="G172" s="156"/>
      <c r="H172" s="156"/>
      <c r="I172" s="156"/>
      <c r="J172" s="156"/>
      <c r="K172" s="163"/>
    </row>
    <row r="173">
      <c r="A173" s="154"/>
      <c r="B173" s="155"/>
      <c r="C173" s="155"/>
      <c r="D173" s="156" t="s">
        <v>401</v>
      </c>
      <c r="E173" s="156" t="s">
        <v>402</v>
      </c>
      <c r="F173" s="155"/>
      <c r="G173" s="157" t="n">
        <v>32.4</v>
      </c>
      <c r="H173" s="155"/>
      <c r="I173" s="155"/>
      <c r="J173" s="155"/>
      <c r="K173" s="146"/>
    </row>
    <row r="174">
      <c r="A174" s="154"/>
      <c r="B174" s="155"/>
      <c r="C174" s="155"/>
      <c r="D174" s="156" t="s">
        <v>403</v>
      </c>
      <c r="E174" s="156" t="s">
        <v>404</v>
      </c>
      <c r="F174" s="155"/>
      <c r="G174" s="157" t="n">
        <v>80.475</v>
      </c>
      <c r="H174" s="155"/>
      <c r="I174" s="155"/>
      <c r="J174" s="155"/>
      <c r="K174" s="146"/>
    </row>
    <row r="175">
      <c r="A175" s="154"/>
      <c r="B175" s="155"/>
      <c r="C175" s="155"/>
      <c r="D175" s="156" t="s">
        <v>405</v>
      </c>
      <c r="E175" s="156" t="s">
        <v>406</v>
      </c>
      <c r="F175" s="155"/>
      <c r="G175" s="157" t="n">
        <v>14.775</v>
      </c>
      <c r="H175" s="155"/>
      <c r="I175" s="155"/>
      <c r="J175" s="155"/>
      <c r="K175" s="146"/>
    </row>
    <row r="176">
      <c r="A176" s="9" t="s">
        <v>407</v>
      </c>
      <c r="B176" s="10" t="s">
        <v>84</v>
      </c>
      <c r="C176" s="10" t="s">
        <v>408</v>
      </c>
      <c r="D176" s="14" t="s">
        <v>409</v>
      </c>
      <c r="E176" s="10"/>
      <c r="F176" s="10" t="s">
        <v>145</v>
      </c>
      <c r="G176" s="111">
        <f>'Stavební rozpočet'!G176</f>
      </c>
      <c r="H176" s="111">
        <f>'Stavební rozpočet'!H176</f>
      </c>
      <c r="I176" s="111">
        <f>G176*H176</f>
      </c>
      <c r="J176" s="153" t="s">
        <v>134</v>
      </c>
      <c r="K176" s="146"/>
      <c r="Z176" s="111">
        <f>IF(AQ176="5",BJ176,0)</f>
      </c>
      <c r="AB176" s="111">
        <f>IF(AQ176="1",BH176,0)</f>
      </c>
      <c r="AC176" s="111">
        <f>IF(AQ176="1",BI176,0)</f>
      </c>
      <c r="AD176" s="111">
        <f>IF(AQ176="7",BH176,0)</f>
      </c>
      <c r="AE176" s="111">
        <f>IF(AQ176="7",BI176,0)</f>
      </c>
      <c r="AF176" s="111">
        <f>IF(AQ176="2",BH176,0)</f>
      </c>
      <c r="AG176" s="111">
        <f>IF(AQ176="2",BI176,0)</f>
      </c>
      <c r="AH176" s="111">
        <f>IF(AQ176="0",BJ176,0)</f>
      </c>
      <c r="AI176" s="132" t="s">
        <v>84</v>
      </c>
      <c r="AJ176" s="111">
        <f>IF(AN176=0,I176,0)</f>
      </c>
      <c r="AK176" s="111">
        <f>IF(AN176=12,I176,0)</f>
      </c>
      <c r="AL176" s="111">
        <f>IF(AN176=21,I176,0)</f>
      </c>
      <c r="AN176" s="111" t="n">
        <v>21</v>
      </c>
      <c r="AO176" s="111">
        <f>H176*0.75463664</f>
      </c>
      <c r="AP176" s="111">
        <f>H176*(1-0.75463664)</f>
      </c>
      <c r="AQ176" s="153" t="s">
        <v>130</v>
      </c>
      <c r="AV176" s="111">
        <f>AW176+AX176</f>
      </c>
      <c r="AW176" s="111">
        <f>G176*AO176</f>
      </c>
      <c r="AX176" s="111">
        <f>G176*AP176</f>
      </c>
      <c r="AY176" s="153" t="s">
        <v>398</v>
      </c>
      <c r="AZ176" s="153" t="s">
        <v>399</v>
      </c>
      <c r="BA176" s="132" t="s">
        <v>137</v>
      </c>
      <c r="BC176" s="111">
        <f>AW176+AX176</f>
      </c>
      <c r="BD176" s="111">
        <f>H176/(100-BE176)*100</f>
      </c>
      <c r="BE176" s="111" t="n">
        <v>0</v>
      </c>
      <c r="BF176" s="111">
        <f>176</f>
      </c>
      <c r="BH176" s="111">
        <f>G176*AO176</f>
      </c>
      <c r="BI176" s="111">
        <f>G176*AP176</f>
      </c>
      <c r="BJ176" s="111">
        <f>G176*H176</f>
      </c>
      <c r="BK176" s="111"/>
      <c r="BL176" s="111" t="n">
        <v>31</v>
      </c>
      <c r="BW176" s="111" t="n">
        <v>21</v>
      </c>
      <c r="BX176" s="14" t="s">
        <v>409</v>
      </c>
    </row>
    <row r="177" customHeight="true" ht="13.5">
      <c r="A177" s="159"/>
      <c r="C177" s="160" t="s">
        <v>146</v>
      </c>
      <c r="D177" s="161" t="s">
        <v>410</v>
      </c>
      <c r="E177" s="156"/>
      <c r="F177" s="156"/>
      <c r="G177" s="156"/>
      <c r="H177" s="156"/>
      <c r="I177" s="156"/>
      <c r="J177" s="156"/>
      <c r="K177" s="163"/>
    </row>
    <row r="178">
      <c r="A178" s="154"/>
      <c r="B178" s="155"/>
      <c r="C178" s="155"/>
      <c r="D178" s="156" t="s">
        <v>401</v>
      </c>
      <c r="E178" s="156" t="s">
        <v>402</v>
      </c>
      <c r="F178" s="155"/>
      <c r="G178" s="157" t="n">
        <v>32.4</v>
      </c>
      <c r="H178" s="155"/>
      <c r="I178" s="155"/>
      <c r="J178" s="155"/>
      <c r="K178" s="146"/>
    </row>
    <row r="179">
      <c r="A179" s="154"/>
      <c r="B179" s="155"/>
      <c r="C179" s="155"/>
      <c r="D179" s="156" t="s">
        <v>403</v>
      </c>
      <c r="E179" s="156" t="s">
        <v>404</v>
      </c>
      <c r="F179" s="155"/>
      <c r="G179" s="157" t="n">
        <v>80.475</v>
      </c>
      <c r="H179" s="155"/>
      <c r="I179" s="155"/>
      <c r="J179" s="155"/>
      <c r="K179" s="146"/>
    </row>
    <row r="180">
      <c r="A180" s="154"/>
      <c r="B180" s="155"/>
      <c r="C180" s="155"/>
      <c r="D180" s="156" t="s">
        <v>405</v>
      </c>
      <c r="E180" s="156" t="s">
        <v>406</v>
      </c>
      <c r="F180" s="155"/>
      <c r="G180" s="157" t="n">
        <v>14.775</v>
      </c>
      <c r="H180" s="155"/>
      <c r="I180" s="155"/>
      <c r="J180" s="155"/>
      <c r="K180" s="146"/>
    </row>
    <row r="181">
      <c r="A181" s="9" t="s">
        <v>411</v>
      </c>
      <c r="B181" s="10" t="s">
        <v>84</v>
      </c>
      <c r="C181" s="10" t="s">
        <v>412</v>
      </c>
      <c r="D181" s="14" t="s">
        <v>413</v>
      </c>
      <c r="E181" s="10"/>
      <c r="F181" s="10" t="s">
        <v>133</v>
      </c>
      <c r="G181" s="111">
        <f>'Stavební rozpočet'!G181</f>
      </c>
      <c r="H181" s="111">
        <f>'Stavební rozpočet'!H181</f>
      </c>
      <c r="I181" s="111">
        <f>G181*H181</f>
      </c>
      <c r="J181" s="153" t="s">
        <v>134</v>
      </c>
      <c r="K181" s="146"/>
      <c r="Z181" s="111">
        <f>IF(AQ181="5",BJ181,0)</f>
      </c>
      <c r="AB181" s="111">
        <f>IF(AQ181="1",BH181,0)</f>
      </c>
      <c r="AC181" s="111">
        <f>IF(AQ181="1",BI181,0)</f>
      </c>
      <c r="AD181" s="111">
        <f>IF(AQ181="7",BH181,0)</f>
      </c>
      <c r="AE181" s="111">
        <f>IF(AQ181="7",BI181,0)</f>
      </c>
      <c r="AF181" s="111">
        <f>IF(AQ181="2",BH181,0)</f>
      </c>
      <c r="AG181" s="111">
        <f>IF(AQ181="2",BI181,0)</f>
      </c>
      <c r="AH181" s="111">
        <f>IF(AQ181="0",BJ181,0)</f>
      </c>
      <c r="AI181" s="132" t="s">
        <v>84</v>
      </c>
      <c r="AJ181" s="111">
        <f>IF(AN181=0,I181,0)</f>
      </c>
      <c r="AK181" s="111">
        <f>IF(AN181=12,I181,0)</f>
      </c>
      <c r="AL181" s="111">
        <f>IF(AN181=21,I181,0)</f>
      </c>
      <c r="AN181" s="111" t="n">
        <v>21</v>
      </c>
      <c r="AO181" s="111">
        <f>H181*0.646746032</f>
      </c>
      <c r="AP181" s="111">
        <f>H181*(1-0.646746032)</f>
      </c>
      <c r="AQ181" s="153" t="s">
        <v>130</v>
      </c>
      <c r="AV181" s="111">
        <f>AW181+AX181</f>
      </c>
      <c r="AW181" s="111">
        <f>G181*AO181</f>
      </c>
      <c r="AX181" s="111">
        <f>G181*AP181</f>
      </c>
      <c r="AY181" s="153" t="s">
        <v>398</v>
      </c>
      <c r="AZ181" s="153" t="s">
        <v>399</v>
      </c>
      <c r="BA181" s="132" t="s">
        <v>137</v>
      </c>
      <c r="BC181" s="111">
        <f>AW181+AX181</f>
      </c>
      <c r="BD181" s="111">
        <f>H181/(100-BE181)*100</f>
      </c>
      <c r="BE181" s="111" t="n">
        <v>0</v>
      </c>
      <c r="BF181" s="111">
        <f>181</f>
      </c>
      <c r="BH181" s="111">
        <f>G181*AO181</f>
      </c>
      <c r="BI181" s="111">
        <f>G181*AP181</f>
      </c>
      <c r="BJ181" s="111">
        <f>G181*H181</f>
      </c>
      <c r="BK181" s="111"/>
      <c r="BL181" s="111" t="n">
        <v>31</v>
      </c>
      <c r="BW181" s="111" t="n">
        <v>21</v>
      </c>
      <c r="BX181" s="14" t="s">
        <v>413</v>
      </c>
    </row>
    <row r="182" customHeight="true" ht="13.5">
      <c r="A182" s="159"/>
      <c r="C182" s="160" t="s">
        <v>146</v>
      </c>
      <c r="D182" s="161" t="s">
        <v>414</v>
      </c>
      <c r="E182" s="156"/>
      <c r="F182" s="156"/>
      <c r="G182" s="156"/>
      <c r="H182" s="156"/>
      <c r="I182" s="156"/>
      <c r="J182" s="156"/>
      <c r="K182" s="163"/>
    </row>
    <row r="183">
      <c r="A183" s="154"/>
      <c r="B183" s="155"/>
      <c r="C183" s="155"/>
      <c r="D183" s="156" t="s">
        <v>415</v>
      </c>
      <c r="E183" s="156" t="s">
        <v>4</v>
      </c>
      <c r="F183" s="155"/>
      <c r="G183" s="157" t="n">
        <v>132</v>
      </c>
      <c r="H183" s="155"/>
      <c r="I183" s="155"/>
      <c r="J183" s="155"/>
      <c r="K183" s="146"/>
    </row>
    <row r="184">
      <c r="A184" s="9" t="s">
        <v>416</v>
      </c>
      <c r="B184" s="10" t="s">
        <v>84</v>
      </c>
      <c r="C184" s="10" t="s">
        <v>417</v>
      </c>
      <c r="D184" s="14" t="s">
        <v>418</v>
      </c>
      <c r="E184" s="10"/>
      <c r="F184" s="10" t="s">
        <v>145</v>
      </c>
      <c r="G184" s="111">
        <f>'Stavební rozpočet'!G184</f>
      </c>
      <c r="H184" s="111">
        <f>'Stavební rozpočet'!H184</f>
      </c>
      <c r="I184" s="111">
        <f>G184*H184</f>
      </c>
      <c r="J184" s="153" t="s">
        <v>134</v>
      </c>
      <c r="K184" s="146"/>
      <c r="Z184" s="111">
        <f>IF(AQ184="5",BJ184,0)</f>
      </c>
      <c r="AB184" s="111">
        <f>IF(AQ184="1",BH184,0)</f>
      </c>
      <c r="AC184" s="111">
        <f>IF(AQ184="1",BI184,0)</f>
      </c>
      <c r="AD184" s="111">
        <f>IF(AQ184="7",BH184,0)</f>
      </c>
      <c r="AE184" s="111">
        <f>IF(AQ184="7",BI184,0)</f>
      </c>
      <c r="AF184" s="111">
        <f>IF(AQ184="2",BH184,0)</f>
      </c>
      <c r="AG184" s="111">
        <f>IF(AQ184="2",BI184,0)</f>
      </c>
      <c r="AH184" s="111">
        <f>IF(AQ184="0",BJ184,0)</f>
      </c>
      <c r="AI184" s="132" t="s">
        <v>84</v>
      </c>
      <c r="AJ184" s="111">
        <f>IF(AN184=0,I184,0)</f>
      </c>
      <c r="AK184" s="111">
        <f>IF(AN184=12,I184,0)</f>
      </c>
      <c r="AL184" s="111">
        <f>IF(AN184=21,I184,0)</f>
      </c>
      <c r="AN184" s="111" t="n">
        <v>21</v>
      </c>
      <c r="AO184" s="111">
        <f>H184*0.842836027</f>
      </c>
      <c r="AP184" s="111">
        <f>H184*(1-0.842836027)</f>
      </c>
      <c r="AQ184" s="153" t="s">
        <v>130</v>
      </c>
      <c r="AV184" s="111">
        <f>AW184+AX184</f>
      </c>
      <c r="AW184" s="111">
        <f>G184*AO184</f>
      </c>
      <c r="AX184" s="111">
        <f>G184*AP184</f>
      </c>
      <c r="AY184" s="153" t="s">
        <v>398</v>
      </c>
      <c r="AZ184" s="153" t="s">
        <v>399</v>
      </c>
      <c r="BA184" s="132" t="s">
        <v>137</v>
      </c>
      <c r="BC184" s="111">
        <f>AW184+AX184</f>
      </c>
      <c r="BD184" s="111">
        <f>H184/(100-BE184)*100</f>
      </c>
      <c r="BE184" s="111" t="n">
        <v>0</v>
      </c>
      <c r="BF184" s="111">
        <f>184</f>
      </c>
      <c r="BH184" s="111">
        <f>G184*AO184</f>
      </c>
      <c r="BI184" s="111">
        <f>G184*AP184</f>
      </c>
      <c r="BJ184" s="111">
        <f>G184*H184</f>
      </c>
      <c r="BK184" s="111"/>
      <c r="BL184" s="111" t="n">
        <v>31</v>
      </c>
      <c r="BW184" s="111" t="n">
        <v>21</v>
      </c>
      <c r="BX184" s="14" t="s">
        <v>418</v>
      </c>
    </row>
    <row r="185" customHeight="true" ht="13.5">
      <c r="A185" s="159"/>
      <c r="C185" s="160" t="s">
        <v>146</v>
      </c>
      <c r="D185" s="161" t="s">
        <v>419</v>
      </c>
      <c r="E185" s="156"/>
      <c r="F185" s="156"/>
      <c r="G185" s="156"/>
      <c r="H185" s="156"/>
      <c r="I185" s="156"/>
      <c r="J185" s="156"/>
      <c r="K185" s="163"/>
    </row>
    <row r="186">
      <c r="A186" s="154"/>
      <c r="B186" s="155"/>
      <c r="C186" s="155"/>
      <c r="D186" s="156" t="s">
        <v>4</v>
      </c>
      <c r="E186" s="156" t="s">
        <v>420</v>
      </c>
      <c r="F186" s="155"/>
      <c r="G186" s="157" t="n">
        <v>0</v>
      </c>
      <c r="H186" s="155"/>
      <c r="I186" s="155"/>
      <c r="J186" s="155"/>
      <c r="K186" s="146"/>
    </row>
    <row r="187">
      <c r="A187" s="154"/>
      <c r="B187" s="155"/>
      <c r="C187" s="155"/>
      <c r="D187" s="156" t="s">
        <v>4</v>
      </c>
      <c r="E187" s="156" t="s">
        <v>421</v>
      </c>
      <c r="F187" s="155"/>
      <c r="G187" s="157" t="n">
        <v>0</v>
      </c>
      <c r="H187" s="155"/>
      <c r="I187" s="155"/>
      <c r="J187" s="155"/>
      <c r="K187" s="146"/>
    </row>
    <row r="188">
      <c r="A188" s="154"/>
      <c r="B188" s="155"/>
      <c r="C188" s="155"/>
      <c r="D188" s="156" t="s">
        <v>422</v>
      </c>
      <c r="E188" s="156" t="s">
        <v>402</v>
      </c>
      <c r="F188" s="155"/>
      <c r="G188" s="157" t="n">
        <v>16.075</v>
      </c>
      <c r="H188" s="155"/>
      <c r="I188" s="155"/>
      <c r="J188" s="155"/>
      <c r="K188" s="146"/>
    </row>
    <row r="189">
      <c r="A189" s="154"/>
      <c r="B189" s="155"/>
      <c r="C189" s="155"/>
      <c r="D189" s="156" t="s">
        <v>423</v>
      </c>
      <c r="E189" s="156" t="s">
        <v>424</v>
      </c>
      <c r="F189" s="155"/>
      <c r="G189" s="157" t="n">
        <v>57.128</v>
      </c>
      <c r="H189" s="155"/>
      <c r="I189" s="155"/>
      <c r="J189" s="155"/>
      <c r="K189" s="146"/>
    </row>
    <row r="190">
      <c r="A190" s="154"/>
      <c r="B190" s="155"/>
      <c r="C190" s="155"/>
      <c r="D190" s="156" t="s">
        <v>4</v>
      </c>
      <c r="E190" s="156" t="s">
        <v>425</v>
      </c>
      <c r="F190" s="155"/>
      <c r="G190" s="157" t="n">
        <v>0</v>
      </c>
      <c r="H190" s="155"/>
      <c r="I190" s="155"/>
      <c r="J190" s="155"/>
      <c r="K190" s="146"/>
    </row>
    <row r="191">
      <c r="A191" s="154"/>
      <c r="B191" s="155"/>
      <c r="C191" s="155"/>
      <c r="D191" s="156" t="s">
        <v>426</v>
      </c>
      <c r="E191" s="156" t="s">
        <v>427</v>
      </c>
      <c r="F191" s="155"/>
      <c r="G191" s="157" t="n">
        <v>34.175</v>
      </c>
      <c r="H191" s="155"/>
      <c r="I191" s="155"/>
      <c r="J191" s="155"/>
      <c r="K191" s="146"/>
    </row>
    <row r="192">
      <c r="A192" s="154"/>
      <c r="B192" s="155"/>
      <c r="C192" s="155"/>
      <c r="D192" s="156" t="s">
        <v>428</v>
      </c>
      <c r="E192" s="156" t="s">
        <v>429</v>
      </c>
      <c r="F192" s="155"/>
      <c r="G192" s="157" t="n">
        <v>45.695</v>
      </c>
      <c r="H192" s="155"/>
      <c r="I192" s="155"/>
      <c r="J192" s="155"/>
      <c r="K192" s="146"/>
    </row>
    <row r="193">
      <c r="A193" s="154"/>
      <c r="B193" s="155"/>
      <c r="C193" s="155"/>
      <c r="D193" s="156" t="s">
        <v>430</v>
      </c>
      <c r="E193" s="156" t="s">
        <v>431</v>
      </c>
      <c r="F193" s="155"/>
      <c r="G193" s="157" t="n">
        <v>48.33</v>
      </c>
      <c r="H193" s="155"/>
      <c r="I193" s="155"/>
      <c r="J193" s="155"/>
      <c r="K193" s="146"/>
    </row>
    <row r="194">
      <c r="A194" s="154"/>
      <c r="B194" s="155"/>
      <c r="C194" s="155"/>
      <c r="D194" s="156" t="s">
        <v>432</v>
      </c>
      <c r="E194" s="156" t="s">
        <v>433</v>
      </c>
      <c r="F194" s="155"/>
      <c r="G194" s="157" t="n">
        <v>58.7085</v>
      </c>
      <c r="H194" s="155"/>
      <c r="I194" s="155"/>
      <c r="J194" s="155"/>
      <c r="K194" s="146"/>
    </row>
    <row r="195">
      <c r="A195" s="154"/>
      <c r="B195" s="155"/>
      <c r="C195" s="155"/>
      <c r="D195" s="156" t="s">
        <v>4</v>
      </c>
      <c r="E195" s="156" t="s">
        <v>434</v>
      </c>
      <c r="F195" s="155"/>
      <c r="G195" s="157" t="n">
        <v>0</v>
      </c>
      <c r="H195" s="155"/>
      <c r="I195" s="155"/>
      <c r="J195" s="155"/>
      <c r="K195" s="146"/>
    </row>
    <row r="196">
      <c r="A196" s="154"/>
      <c r="B196" s="155"/>
      <c r="C196" s="155"/>
      <c r="D196" s="156" t="s">
        <v>435</v>
      </c>
      <c r="E196" s="156" t="s">
        <v>436</v>
      </c>
      <c r="F196" s="155"/>
      <c r="G196" s="157" t="n">
        <v>8.292</v>
      </c>
      <c r="H196" s="155"/>
      <c r="I196" s="155"/>
      <c r="J196" s="155"/>
      <c r="K196" s="146"/>
    </row>
    <row r="197">
      <c r="A197" s="154"/>
      <c r="B197" s="155"/>
      <c r="C197" s="155"/>
      <c r="D197" s="156" t="s">
        <v>437</v>
      </c>
      <c r="E197" s="156" t="s">
        <v>438</v>
      </c>
      <c r="F197" s="155"/>
      <c r="G197" s="157" t="n">
        <v>-13.295</v>
      </c>
      <c r="H197" s="155"/>
      <c r="I197" s="155"/>
      <c r="J197" s="155"/>
      <c r="K197" s="146"/>
    </row>
    <row r="198">
      <c r="A198" s="154"/>
      <c r="B198" s="155"/>
      <c r="C198" s="155"/>
      <c r="D198" s="156" t="s">
        <v>439</v>
      </c>
      <c r="E198" s="156" t="s">
        <v>440</v>
      </c>
      <c r="F198" s="155"/>
      <c r="G198" s="157" t="n">
        <v>135.95925</v>
      </c>
      <c r="H198" s="155"/>
      <c r="I198" s="155"/>
      <c r="J198" s="155"/>
      <c r="K198" s="146"/>
    </row>
    <row r="199">
      <c r="A199" s="154"/>
      <c r="B199" s="155"/>
      <c r="C199" s="155"/>
      <c r="D199" s="156" t="s">
        <v>441</v>
      </c>
      <c r="E199" s="156" t="s">
        <v>442</v>
      </c>
      <c r="F199" s="155"/>
      <c r="G199" s="157" t="n">
        <v>-14.05</v>
      </c>
      <c r="H199" s="155"/>
      <c r="I199" s="155"/>
      <c r="J199" s="155"/>
      <c r="K199" s="146"/>
    </row>
    <row r="200">
      <c r="A200" s="154"/>
      <c r="B200" s="155"/>
      <c r="C200" s="155"/>
      <c r="D200" s="156" t="s">
        <v>443</v>
      </c>
      <c r="E200" s="156" t="s">
        <v>442</v>
      </c>
      <c r="F200" s="155"/>
      <c r="G200" s="157" t="n">
        <v>-12.765</v>
      </c>
      <c r="H200" s="155"/>
      <c r="I200" s="155"/>
      <c r="J200" s="155"/>
      <c r="K200" s="146"/>
    </row>
    <row r="201">
      <c r="A201" s="9" t="s">
        <v>444</v>
      </c>
      <c r="B201" s="10" t="s">
        <v>84</v>
      </c>
      <c r="C201" s="10" t="s">
        <v>445</v>
      </c>
      <c r="D201" s="14" t="s">
        <v>446</v>
      </c>
      <c r="E201" s="10"/>
      <c r="F201" s="10" t="s">
        <v>282</v>
      </c>
      <c r="G201" s="111">
        <f>'Stavební rozpočet'!G201</f>
      </c>
      <c r="H201" s="111">
        <f>'Stavební rozpočet'!H201</f>
      </c>
      <c r="I201" s="111">
        <f>G201*H201</f>
      </c>
      <c r="J201" s="153" t="s">
        <v>134</v>
      </c>
      <c r="K201" s="146"/>
      <c r="Z201" s="111">
        <f>IF(AQ201="5",BJ201,0)</f>
      </c>
      <c r="AB201" s="111">
        <f>IF(AQ201="1",BH201,0)</f>
      </c>
      <c r="AC201" s="111">
        <f>IF(AQ201="1",BI201,0)</f>
      </c>
      <c r="AD201" s="111">
        <f>IF(AQ201="7",BH201,0)</f>
      </c>
      <c r="AE201" s="111">
        <f>IF(AQ201="7",BI201,0)</f>
      </c>
      <c r="AF201" s="111">
        <f>IF(AQ201="2",BH201,0)</f>
      </c>
      <c r="AG201" s="111">
        <f>IF(AQ201="2",BI201,0)</f>
      </c>
      <c r="AH201" s="111">
        <f>IF(AQ201="0",BJ201,0)</f>
      </c>
      <c r="AI201" s="132" t="s">
        <v>84</v>
      </c>
      <c r="AJ201" s="111">
        <f>IF(AN201=0,I201,0)</f>
      </c>
      <c r="AK201" s="111">
        <f>IF(AN201=12,I201,0)</f>
      </c>
      <c r="AL201" s="111">
        <f>IF(AN201=21,I201,0)</f>
      </c>
      <c r="AN201" s="111" t="n">
        <v>21</v>
      </c>
      <c r="AO201" s="111">
        <f>H201*0.214774194</f>
      </c>
      <c r="AP201" s="111">
        <f>H201*(1-0.214774194)</f>
      </c>
      <c r="AQ201" s="153" t="s">
        <v>130</v>
      </c>
      <c r="AV201" s="111">
        <f>AW201+AX201</f>
      </c>
      <c r="AW201" s="111">
        <f>G201*AO201</f>
      </c>
      <c r="AX201" s="111">
        <f>G201*AP201</f>
      </c>
      <c r="AY201" s="153" t="s">
        <v>398</v>
      </c>
      <c r="AZ201" s="153" t="s">
        <v>399</v>
      </c>
      <c r="BA201" s="132" t="s">
        <v>137</v>
      </c>
      <c r="BC201" s="111">
        <f>AW201+AX201</f>
      </c>
      <c r="BD201" s="111">
        <f>H201/(100-BE201)*100</f>
      </c>
      <c r="BE201" s="111" t="n">
        <v>0</v>
      </c>
      <c r="BF201" s="111">
        <f>201</f>
      </c>
      <c r="BH201" s="111">
        <f>G201*AO201</f>
      </c>
      <c r="BI201" s="111">
        <f>G201*AP201</f>
      </c>
      <c r="BJ201" s="111">
        <f>G201*H201</f>
      </c>
      <c r="BK201" s="111"/>
      <c r="BL201" s="111" t="n">
        <v>31</v>
      </c>
      <c r="BW201" s="111" t="n">
        <v>21</v>
      </c>
      <c r="BX201" s="14" t="s">
        <v>446</v>
      </c>
    </row>
    <row r="202" customHeight="true" ht="13.5">
      <c r="A202" s="159"/>
      <c r="C202" s="160" t="s">
        <v>146</v>
      </c>
      <c r="D202" s="161" t="s">
        <v>447</v>
      </c>
      <c r="E202" s="156"/>
      <c r="F202" s="156"/>
      <c r="G202" s="156"/>
      <c r="H202" s="156"/>
      <c r="I202" s="156"/>
      <c r="J202" s="156"/>
      <c r="K202" s="163"/>
    </row>
    <row r="203">
      <c r="A203" s="154"/>
      <c r="B203" s="155"/>
      <c r="C203" s="155"/>
      <c r="D203" s="156" t="s">
        <v>448</v>
      </c>
      <c r="E203" s="156" t="s">
        <v>421</v>
      </c>
      <c r="F203" s="155"/>
      <c r="G203" s="157" t="n">
        <v>37.05</v>
      </c>
      <c r="H203" s="155"/>
      <c r="I203" s="155"/>
      <c r="J203" s="155"/>
      <c r="K203" s="146"/>
    </row>
    <row r="204">
      <c r="A204" s="154"/>
      <c r="B204" s="155"/>
      <c r="C204" s="155"/>
      <c r="D204" s="156" t="s">
        <v>449</v>
      </c>
      <c r="E204" s="156" t="s">
        <v>425</v>
      </c>
      <c r="F204" s="155"/>
      <c r="G204" s="157" t="n">
        <v>29.6</v>
      </c>
      <c r="H204" s="155"/>
      <c r="I204" s="155"/>
      <c r="J204" s="155"/>
      <c r="K204" s="146"/>
    </row>
    <row r="205">
      <c r="A205" s="9" t="s">
        <v>450</v>
      </c>
      <c r="B205" s="10" t="s">
        <v>84</v>
      </c>
      <c r="C205" s="10" t="s">
        <v>451</v>
      </c>
      <c r="D205" s="14" t="s">
        <v>452</v>
      </c>
      <c r="E205" s="10"/>
      <c r="F205" s="10" t="s">
        <v>133</v>
      </c>
      <c r="G205" s="111">
        <f>'Stavební rozpočet'!G205</f>
      </c>
      <c r="H205" s="111">
        <f>'Stavební rozpočet'!H205</f>
      </c>
      <c r="I205" s="111">
        <f>G205*H205</f>
      </c>
      <c r="J205" s="153" t="s">
        <v>134</v>
      </c>
      <c r="K205" s="146"/>
      <c r="Z205" s="111">
        <f>IF(AQ205="5",BJ205,0)</f>
      </c>
      <c r="AB205" s="111">
        <f>IF(AQ205="1",BH205,0)</f>
      </c>
      <c r="AC205" s="111">
        <f>IF(AQ205="1",BI205,0)</f>
      </c>
      <c r="AD205" s="111">
        <f>IF(AQ205="7",BH205,0)</f>
      </c>
      <c r="AE205" s="111">
        <f>IF(AQ205="7",BI205,0)</f>
      </c>
      <c r="AF205" s="111">
        <f>IF(AQ205="2",BH205,0)</f>
      </c>
      <c r="AG205" s="111">
        <f>IF(AQ205="2",BI205,0)</f>
      </c>
      <c r="AH205" s="111">
        <f>IF(AQ205="0",BJ205,0)</f>
      </c>
      <c r="AI205" s="132" t="s">
        <v>84</v>
      </c>
      <c r="AJ205" s="111">
        <f>IF(AN205=0,I205,0)</f>
      </c>
      <c r="AK205" s="111">
        <f>IF(AN205=12,I205,0)</f>
      </c>
      <c r="AL205" s="111">
        <f>IF(AN205=21,I205,0)</f>
      </c>
      <c r="AN205" s="111" t="n">
        <v>21</v>
      </c>
      <c r="AO205" s="111">
        <f>H205*0.897602564</f>
      </c>
      <c r="AP205" s="111">
        <f>H205*(1-0.897602564)</f>
      </c>
      <c r="AQ205" s="153" t="s">
        <v>130</v>
      </c>
      <c r="AV205" s="111">
        <f>AW205+AX205</f>
      </c>
      <c r="AW205" s="111">
        <f>G205*AO205</f>
      </c>
      <c r="AX205" s="111">
        <f>G205*AP205</f>
      </c>
      <c r="AY205" s="153" t="s">
        <v>398</v>
      </c>
      <c r="AZ205" s="153" t="s">
        <v>399</v>
      </c>
      <c r="BA205" s="132" t="s">
        <v>137</v>
      </c>
      <c r="BC205" s="111">
        <f>AW205+AX205</f>
      </c>
      <c r="BD205" s="111">
        <f>H205/(100-BE205)*100</f>
      </c>
      <c r="BE205" s="111" t="n">
        <v>0</v>
      </c>
      <c r="BF205" s="111">
        <f>205</f>
      </c>
      <c r="BH205" s="111">
        <f>G205*AO205</f>
      </c>
      <c r="BI205" s="111">
        <f>G205*AP205</f>
      </c>
      <c r="BJ205" s="111">
        <f>G205*H205</f>
      </c>
      <c r="BK205" s="111"/>
      <c r="BL205" s="111" t="n">
        <v>31</v>
      </c>
      <c r="BW205" s="111" t="n">
        <v>21</v>
      </c>
      <c r="BX205" s="14" t="s">
        <v>452</v>
      </c>
    </row>
    <row r="206">
      <c r="A206" s="154"/>
      <c r="B206" s="155"/>
      <c r="C206" s="155"/>
      <c r="D206" s="156" t="s">
        <v>176</v>
      </c>
      <c r="E206" s="156" t="s">
        <v>453</v>
      </c>
      <c r="F206" s="155"/>
      <c r="G206" s="157" t="n">
        <v>8</v>
      </c>
      <c r="H206" s="155"/>
      <c r="I206" s="155"/>
      <c r="J206" s="155"/>
      <c r="K206" s="146"/>
    </row>
    <row r="207">
      <c r="A207" s="154"/>
      <c r="B207" s="155"/>
      <c r="C207" s="155"/>
      <c r="D207" s="156" t="s">
        <v>140</v>
      </c>
      <c r="E207" s="156" t="s">
        <v>454</v>
      </c>
      <c r="F207" s="155"/>
      <c r="G207" s="157" t="n">
        <v>2</v>
      </c>
      <c r="H207" s="155"/>
      <c r="I207" s="155"/>
      <c r="J207" s="155"/>
      <c r="K207" s="146"/>
    </row>
    <row r="208">
      <c r="A208" s="9" t="s">
        <v>455</v>
      </c>
      <c r="B208" s="10" t="s">
        <v>84</v>
      </c>
      <c r="C208" s="10" t="s">
        <v>456</v>
      </c>
      <c r="D208" s="14" t="s">
        <v>457</v>
      </c>
      <c r="E208" s="10"/>
      <c r="F208" s="10" t="s">
        <v>133</v>
      </c>
      <c r="G208" s="111">
        <f>'Stavební rozpočet'!G208</f>
      </c>
      <c r="H208" s="111">
        <f>'Stavební rozpočet'!H208</f>
      </c>
      <c r="I208" s="111">
        <f>G208*H208</f>
      </c>
      <c r="J208" s="153" t="s">
        <v>134</v>
      </c>
      <c r="K208" s="146"/>
      <c r="Z208" s="111">
        <f>IF(AQ208="5",BJ208,0)</f>
      </c>
      <c r="AB208" s="111">
        <f>IF(AQ208="1",BH208,0)</f>
      </c>
      <c r="AC208" s="111">
        <f>IF(AQ208="1",BI208,0)</f>
      </c>
      <c r="AD208" s="111">
        <f>IF(AQ208="7",BH208,0)</f>
      </c>
      <c r="AE208" s="111">
        <f>IF(AQ208="7",BI208,0)</f>
      </c>
      <c r="AF208" s="111">
        <f>IF(AQ208="2",BH208,0)</f>
      </c>
      <c r="AG208" s="111">
        <f>IF(AQ208="2",BI208,0)</f>
      </c>
      <c r="AH208" s="111">
        <f>IF(AQ208="0",BJ208,0)</f>
      </c>
      <c r="AI208" s="132" t="s">
        <v>84</v>
      </c>
      <c r="AJ208" s="111">
        <f>IF(AN208=0,I208,0)</f>
      </c>
      <c r="AK208" s="111">
        <f>IF(AN208=12,I208,0)</f>
      </c>
      <c r="AL208" s="111">
        <f>IF(AN208=21,I208,0)</f>
      </c>
      <c r="AN208" s="111" t="n">
        <v>21</v>
      </c>
      <c r="AO208" s="111">
        <f>H208*0.883926531</f>
      </c>
      <c r="AP208" s="111">
        <f>H208*(1-0.883926531)</f>
      </c>
      <c r="AQ208" s="153" t="s">
        <v>130</v>
      </c>
      <c r="AV208" s="111">
        <f>AW208+AX208</f>
      </c>
      <c r="AW208" s="111">
        <f>G208*AO208</f>
      </c>
      <c r="AX208" s="111">
        <f>G208*AP208</f>
      </c>
      <c r="AY208" s="153" t="s">
        <v>398</v>
      </c>
      <c r="AZ208" s="153" t="s">
        <v>399</v>
      </c>
      <c r="BA208" s="132" t="s">
        <v>137</v>
      </c>
      <c r="BC208" s="111">
        <f>AW208+AX208</f>
      </c>
      <c r="BD208" s="111">
        <f>H208/(100-BE208)*100</f>
      </c>
      <c r="BE208" s="111" t="n">
        <v>0</v>
      </c>
      <c r="BF208" s="111">
        <f>208</f>
      </c>
      <c r="BH208" s="111">
        <f>G208*AO208</f>
      </c>
      <c r="BI208" s="111">
        <f>G208*AP208</f>
      </c>
      <c r="BJ208" s="111">
        <f>G208*H208</f>
      </c>
      <c r="BK208" s="111"/>
      <c r="BL208" s="111" t="n">
        <v>31</v>
      </c>
      <c r="BW208" s="111" t="n">
        <v>21</v>
      </c>
      <c r="BX208" s="14" t="s">
        <v>457</v>
      </c>
    </row>
    <row r="209">
      <c r="A209" s="154"/>
      <c r="B209" s="155"/>
      <c r="C209" s="155"/>
      <c r="D209" s="156" t="s">
        <v>279</v>
      </c>
      <c r="E209" s="156" t="s">
        <v>458</v>
      </c>
      <c r="F209" s="155"/>
      <c r="G209" s="157" t="n">
        <v>24</v>
      </c>
      <c r="H209" s="155"/>
      <c r="I209" s="155"/>
      <c r="J209" s="155"/>
      <c r="K209" s="146"/>
    </row>
    <row r="210">
      <c r="A210" s="154"/>
      <c r="B210" s="155"/>
      <c r="C210" s="155"/>
      <c r="D210" s="156" t="s">
        <v>279</v>
      </c>
      <c r="E210" s="156" t="s">
        <v>459</v>
      </c>
      <c r="F210" s="155"/>
      <c r="G210" s="157" t="n">
        <v>24</v>
      </c>
      <c r="H210" s="155"/>
      <c r="I210" s="155"/>
      <c r="J210" s="155"/>
      <c r="K210" s="146"/>
    </row>
    <row r="211">
      <c r="A211" s="9" t="s">
        <v>460</v>
      </c>
      <c r="B211" s="10" t="s">
        <v>84</v>
      </c>
      <c r="C211" s="10" t="s">
        <v>461</v>
      </c>
      <c r="D211" s="14" t="s">
        <v>462</v>
      </c>
      <c r="E211" s="10"/>
      <c r="F211" s="10" t="s">
        <v>133</v>
      </c>
      <c r="G211" s="111">
        <f>'Stavební rozpočet'!G211</f>
      </c>
      <c r="H211" s="111">
        <f>'Stavební rozpočet'!H211</f>
      </c>
      <c r="I211" s="111">
        <f>G211*H211</f>
      </c>
      <c r="J211" s="153" t="s">
        <v>134</v>
      </c>
      <c r="K211" s="146"/>
      <c r="Z211" s="111">
        <f>IF(AQ211="5",BJ211,0)</f>
      </c>
      <c r="AB211" s="111">
        <f>IF(AQ211="1",BH211,0)</f>
      </c>
      <c r="AC211" s="111">
        <f>IF(AQ211="1",BI211,0)</f>
      </c>
      <c r="AD211" s="111">
        <f>IF(AQ211="7",BH211,0)</f>
      </c>
      <c r="AE211" s="111">
        <f>IF(AQ211="7",BI211,0)</f>
      </c>
      <c r="AF211" s="111">
        <f>IF(AQ211="2",BH211,0)</f>
      </c>
      <c r="AG211" s="111">
        <f>IF(AQ211="2",BI211,0)</f>
      </c>
      <c r="AH211" s="111">
        <f>IF(AQ211="0",BJ211,0)</f>
      </c>
      <c r="AI211" s="132" t="s">
        <v>84</v>
      </c>
      <c r="AJ211" s="111">
        <f>IF(AN211=0,I211,0)</f>
      </c>
      <c r="AK211" s="111">
        <f>IF(AN211=12,I211,0)</f>
      </c>
      <c r="AL211" s="111">
        <f>IF(AN211=21,I211,0)</f>
      </c>
      <c r="AN211" s="111" t="n">
        <v>21</v>
      </c>
      <c r="AO211" s="111">
        <f>H211*0.86007085</f>
      </c>
      <c r="AP211" s="111">
        <f>H211*(1-0.86007085)</f>
      </c>
      <c r="AQ211" s="153" t="s">
        <v>130</v>
      </c>
      <c r="AV211" s="111">
        <f>AW211+AX211</f>
      </c>
      <c r="AW211" s="111">
        <f>G211*AO211</f>
      </c>
      <c r="AX211" s="111">
        <f>G211*AP211</f>
      </c>
      <c r="AY211" s="153" t="s">
        <v>398</v>
      </c>
      <c r="AZ211" s="153" t="s">
        <v>399</v>
      </c>
      <c r="BA211" s="132" t="s">
        <v>137</v>
      </c>
      <c r="BC211" s="111">
        <f>AW211+AX211</f>
      </c>
      <c r="BD211" s="111">
        <f>H211/(100-BE211)*100</f>
      </c>
      <c r="BE211" s="111" t="n">
        <v>0</v>
      </c>
      <c r="BF211" s="111">
        <f>211</f>
      </c>
      <c r="BH211" s="111">
        <f>G211*AO211</f>
      </c>
      <c r="BI211" s="111">
        <f>G211*AP211</f>
      </c>
      <c r="BJ211" s="111">
        <f>G211*H211</f>
      </c>
      <c r="BK211" s="111"/>
      <c r="BL211" s="111" t="n">
        <v>31</v>
      </c>
      <c r="BW211" s="111" t="n">
        <v>21</v>
      </c>
      <c r="BX211" s="14" t="s">
        <v>462</v>
      </c>
    </row>
    <row r="212">
      <c r="A212" s="154"/>
      <c r="B212" s="155"/>
      <c r="C212" s="155"/>
      <c r="D212" s="156" t="s">
        <v>463</v>
      </c>
      <c r="E212" s="156" t="s">
        <v>464</v>
      </c>
      <c r="F212" s="155"/>
      <c r="G212" s="157" t="n">
        <v>14</v>
      </c>
      <c r="H212" s="155"/>
      <c r="I212" s="155"/>
      <c r="J212" s="155"/>
      <c r="K212" s="146"/>
    </row>
    <row r="213">
      <c r="A213" s="154"/>
      <c r="B213" s="155"/>
      <c r="C213" s="155"/>
      <c r="D213" s="156" t="s">
        <v>202</v>
      </c>
      <c r="E213" s="156" t="s">
        <v>465</v>
      </c>
      <c r="F213" s="155"/>
      <c r="G213" s="157" t="n">
        <v>16</v>
      </c>
      <c r="H213" s="155"/>
      <c r="I213" s="155"/>
      <c r="J213" s="155"/>
      <c r="K213" s="146"/>
    </row>
    <row r="214">
      <c r="A214" s="9" t="s">
        <v>466</v>
      </c>
      <c r="B214" s="10" t="s">
        <v>84</v>
      </c>
      <c r="C214" s="10" t="s">
        <v>467</v>
      </c>
      <c r="D214" s="14" t="s">
        <v>468</v>
      </c>
      <c r="E214" s="10"/>
      <c r="F214" s="10" t="s">
        <v>133</v>
      </c>
      <c r="G214" s="111">
        <f>'Stavební rozpočet'!G214</f>
      </c>
      <c r="H214" s="111">
        <f>'Stavební rozpočet'!H214</f>
      </c>
      <c r="I214" s="111">
        <f>G214*H214</f>
      </c>
      <c r="J214" s="153" t="s">
        <v>134</v>
      </c>
      <c r="K214" s="146"/>
      <c r="Z214" s="111">
        <f>IF(AQ214="5",BJ214,0)</f>
      </c>
      <c r="AB214" s="111">
        <f>IF(AQ214="1",BH214,0)</f>
      </c>
      <c r="AC214" s="111">
        <f>IF(AQ214="1",BI214,0)</f>
      </c>
      <c r="AD214" s="111">
        <f>IF(AQ214="7",BH214,0)</f>
      </c>
      <c r="AE214" s="111">
        <f>IF(AQ214="7",BI214,0)</f>
      </c>
      <c r="AF214" s="111">
        <f>IF(AQ214="2",BH214,0)</f>
      </c>
      <c r="AG214" s="111">
        <f>IF(AQ214="2",BI214,0)</f>
      </c>
      <c r="AH214" s="111">
        <f>IF(AQ214="0",BJ214,0)</f>
      </c>
      <c r="AI214" s="132" t="s">
        <v>84</v>
      </c>
      <c r="AJ214" s="111">
        <f>IF(AN214=0,I214,0)</f>
      </c>
      <c r="AK214" s="111">
        <f>IF(AN214=12,I214,0)</f>
      </c>
      <c r="AL214" s="111">
        <f>IF(AN214=21,I214,0)</f>
      </c>
      <c r="AN214" s="111" t="n">
        <v>21</v>
      </c>
      <c r="AO214" s="111">
        <f>H214*0.842592701</f>
      </c>
      <c r="AP214" s="111">
        <f>H214*(1-0.842592701)</f>
      </c>
      <c r="AQ214" s="153" t="s">
        <v>130</v>
      </c>
      <c r="AV214" s="111">
        <f>AW214+AX214</f>
      </c>
      <c r="AW214" s="111">
        <f>G214*AO214</f>
      </c>
      <c r="AX214" s="111">
        <f>G214*AP214</f>
      </c>
      <c r="AY214" s="153" t="s">
        <v>398</v>
      </c>
      <c r="AZ214" s="153" t="s">
        <v>399</v>
      </c>
      <c r="BA214" s="132" t="s">
        <v>137</v>
      </c>
      <c r="BC214" s="111">
        <f>AW214+AX214</f>
      </c>
      <c r="BD214" s="111">
        <f>H214/(100-BE214)*100</f>
      </c>
      <c r="BE214" s="111" t="n">
        <v>0</v>
      </c>
      <c r="BF214" s="111">
        <f>214</f>
      </c>
      <c r="BH214" s="111">
        <f>G214*AO214</f>
      </c>
      <c r="BI214" s="111">
        <f>G214*AP214</f>
      </c>
      <c r="BJ214" s="111">
        <f>G214*H214</f>
      </c>
      <c r="BK214" s="111"/>
      <c r="BL214" s="111" t="n">
        <v>31</v>
      </c>
      <c r="BW214" s="111" t="n">
        <v>21</v>
      </c>
      <c r="BX214" s="14" t="s">
        <v>468</v>
      </c>
    </row>
    <row r="215">
      <c r="A215" s="154"/>
      <c r="B215" s="155"/>
      <c r="C215" s="155"/>
      <c r="D215" s="156" t="s">
        <v>469</v>
      </c>
      <c r="E215" s="156" t="s">
        <v>470</v>
      </c>
      <c r="F215" s="155"/>
      <c r="G215" s="157" t="n">
        <v>21</v>
      </c>
      <c r="H215" s="155"/>
      <c r="I215" s="155"/>
      <c r="J215" s="155"/>
      <c r="K215" s="146"/>
    </row>
    <row r="216">
      <c r="A216" s="154"/>
      <c r="B216" s="155"/>
      <c r="C216" s="155"/>
      <c r="D216" s="156" t="s">
        <v>140</v>
      </c>
      <c r="E216" s="156" t="s">
        <v>471</v>
      </c>
      <c r="F216" s="155"/>
      <c r="G216" s="157" t="n">
        <v>2</v>
      </c>
      <c r="H216" s="155"/>
      <c r="I216" s="155"/>
      <c r="J216" s="155"/>
      <c r="K216" s="146"/>
    </row>
    <row r="217">
      <c r="A217" s="9" t="s">
        <v>472</v>
      </c>
      <c r="B217" s="10" t="s">
        <v>84</v>
      </c>
      <c r="C217" s="10" t="s">
        <v>473</v>
      </c>
      <c r="D217" s="14" t="s">
        <v>474</v>
      </c>
      <c r="E217" s="10"/>
      <c r="F217" s="10" t="s">
        <v>133</v>
      </c>
      <c r="G217" s="111">
        <f>'Stavební rozpočet'!G217</f>
      </c>
      <c r="H217" s="111">
        <f>'Stavební rozpočet'!H217</f>
      </c>
      <c r="I217" s="111">
        <f>G217*H217</f>
      </c>
      <c r="J217" s="153" t="s">
        <v>134</v>
      </c>
      <c r="K217" s="146"/>
      <c r="Z217" s="111">
        <f>IF(AQ217="5",BJ217,0)</f>
      </c>
      <c r="AB217" s="111">
        <f>IF(AQ217="1",BH217,0)</f>
      </c>
      <c r="AC217" s="111">
        <f>IF(AQ217="1",BI217,0)</f>
      </c>
      <c r="AD217" s="111">
        <f>IF(AQ217="7",BH217,0)</f>
      </c>
      <c r="AE217" s="111">
        <f>IF(AQ217="7",BI217,0)</f>
      </c>
      <c r="AF217" s="111">
        <f>IF(AQ217="2",BH217,0)</f>
      </c>
      <c r="AG217" s="111">
        <f>IF(AQ217="2",BI217,0)</f>
      </c>
      <c r="AH217" s="111">
        <f>IF(AQ217="0",BJ217,0)</f>
      </c>
      <c r="AI217" s="132" t="s">
        <v>84</v>
      </c>
      <c r="AJ217" s="111">
        <f>IF(AN217=0,I217,0)</f>
      </c>
      <c r="AK217" s="111">
        <f>IF(AN217=12,I217,0)</f>
      </c>
      <c r="AL217" s="111">
        <f>IF(AN217=21,I217,0)</f>
      </c>
      <c r="AN217" s="111" t="n">
        <v>21</v>
      </c>
      <c r="AO217" s="111">
        <f>H217*0.908882883</f>
      </c>
      <c r="AP217" s="111">
        <f>H217*(1-0.908882883)</f>
      </c>
      <c r="AQ217" s="153" t="s">
        <v>130</v>
      </c>
      <c r="AV217" s="111">
        <f>AW217+AX217</f>
      </c>
      <c r="AW217" s="111">
        <f>G217*AO217</f>
      </c>
      <c r="AX217" s="111">
        <f>G217*AP217</f>
      </c>
      <c r="AY217" s="153" t="s">
        <v>398</v>
      </c>
      <c r="AZ217" s="153" t="s">
        <v>399</v>
      </c>
      <c r="BA217" s="132" t="s">
        <v>137</v>
      </c>
      <c r="BC217" s="111">
        <f>AW217+AX217</f>
      </c>
      <c r="BD217" s="111">
        <f>H217/(100-BE217)*100</f>
      </c>
      <c r="BE217" s="111" t="n">
        <v>0</v>
      </c>
      <c r="BF217" s="111">
        <f>217</f>
      </c>
      <c r="BH217" s="111">
        <f>G217*AO217</f>
      </c>
      <c r="BI217" s="111">
        <f>G217*AP217</f>
      </c>
      <c r="BJ217" s="111">
        <f>G217*H217</f>
      </c>
      <c r="BK217" s="111"/>
      <c r="BL217" s="111" t="n">
        <v>31</v>
      </c>
      <c r="BW217" s="111" t="n">
        <v>21</v>
      </c>
      <c r="BX217" s="14" t="s">
        <v>474</v>
      </c>
    </row>
    <row r="218">
      <c r="A218" s="154"/>
      <c r="B218" s="155"/>
      <c r="C218" s="155"/>
      <c r="D218" s="156" t="s">
        <v>149</v>
      </c>
      <c r="E218" s="156" t="s">
        <v>475</v>
      </c>
      <c r="F218" s="155"/>
      <c r="G218" s="157" t="n">
        <v>4</v>
      </c>
      <c r="H218" s="155"/>
      <c r="I218" s="155"/>
      <c r="J218" s="155"/>
      <c r="K218" s="146"/>
    </row>
    <row r="219">
      <c r="A219" s="9" t="s">
        <v>148</v>
      </c>
      <c r="B219" s="10" t="s">
        <v>84</v>
      </c>
      <c r="C219" s="10" t="s">
        <v>476</v>
      </c>
      <c r="D219" s="14" t="s">
        <v>477</v>
      </c>
      <c r="E219" s="10"/>
      <c r="F219" s="10" t="s">
        <v>133</v>
      </c>
      <c r="G219" s="111">
        <f>'Stavební rozpočet'!G219</f>
      </c>
      <c r="H219" s="111">
        <f>'Stavební rozpočet'!H219</f>
      </c>
      <c r="I219" s="111">
        <f>G219*H219</f>
      </c>
      <c r="J219" s="153" t="s">
        <v>134</v>
      </c>
      <c r="K219" s="146"/>
      <c r="Z219" s="111">
        <f>IF(AQ219="5",BJ219,0)</f>
      </c>
      <c r="AB219" s="111">
        <f>IF(AQ219="1",BH219,0)</f>
      </c>
      <c r="AC219" s="111">
        <f>IF(AQ219="1",BI219,0)</f>
      </c>
      <c r="AD219" s="111">
        <f>IF(AQ219="7",BH219,0)</f>
      </c>
      <c r="AE219" s="111">
        <f>IF(AQ219="7",BI219,0)</f>
      </c>
      <c r="AF219" s="111">
        <f>IF(AQ219="2",BH219,0)</f>
      </c>
      <c r="AG219" s="111">
        <f>IF(AQ219="2",BI219,0)</f>
      </c>
      <c r="AH219" s="111">
        <f>IF(AQ219="0",BJ219,0)</f>
      </c>
      <c r="AI219" s="132" t="s">
        <v>84</v>
      </c>
      <c r="AJ219" s="111">
        <f>IF(AN219=0,I219,0)</f>
      </c>
      <c r="AK219" s="111">
        <f>IF(AN219=12,I219,0)</f>
      </c>
      <c r="AL219" s="111">
        <f>IF(AN219=21,I219,0)</f>
      </c>
      <c r="AN219" s="111" t="n">
        <v>21</v>
      </c>
      <c r="AO219" s="111">
        <f>H219*0.803426796</f>
      </c>
      <c r="AP219" s="111">
        <f>H219*(1-0.803426796)</f>
      </c>
      <c r="AQ219" s="153" t="s">
        <v>130</v>
      </c>
      <c r="AV219" s="111">
        <f>AW219+AX219</f>
      </c>
      <c r="AW219" s="111">
        <f>G219*AO219</f>
      </c>
      <c r="AX219" s="111">
        <f>G219*AP219</f>
      </c>
      <c r="AY219" s="153" t="s">
        <v>398</v>
      </c>
      <c r="AZ219" s="153" t="s">
        <v>399</v>
      </c>
      <c r="BA219" s="132" t="s">
        <v>137</v>
      </c>
      <c r="BC219" s="111">
        <f>AW219+AX219</f>
      </c>
      <c r="BD219" s="111">
        <f>H219/(100-BE219)*100</f>
      </c>
      <c r="BE219" s="111" t="n">
        <v>0</v>
      </c>
      <c r="BF219" s="111">
        <f>219</f>
      </c>
      <c r="BH219" s="111">
        <f>G219*AO219</f>
      </c>
      <c r="BI219" s="111">
        <f>G219*AP219</f>
      </c>
      <c r="BJ219" s="111">
        <f>G219*H219</f>
      </c>
      <c r="BK219" s="111"/>
      <c r="BL219" s="111" t="n">
        <v>31</v>
      </c>
      <c r="BW219" s="111" t="n">
        <v>21</v>
      </c>
      <c r="BX219" s="14" t="s">
        <v>477</v>
      </c>
    </row>
    <row r="220">
      <c r="A220" s="154"/>
      <c r="B220" s="155"/>
      <c r="C220" s="155"/>
      <c r="D220" s="156" t="s">
        <v>138</v>
      </c>
      <c r="E220" s="156" t="s">
        <v>478</v>
      </c>
      <c r="F220" s="155"/>
      <c r="G220" s="157" t="n">
        <v>3</v>
      </c>
      <c r="H220" s="155"/>
      <c r="I220" s="155"/>
      <c r="J220" s="155"/>
      <c r="K220" s="146"/>
    </row>
    <row r="221">
      <c r="A221" s="154"/>
      <c r="B221" s="155"/>
      <c r="C221" s="155"/>
      <c r="D221" s="156" t="s">
        <v>140</v>
      </c>
      <c r="E221" s="156" t="s">
        <v>479</v>
      </c>
      <c r="F221" s="155"/>
      <c r="G221" s="157" t="n">
        <v>2</v>
      </c>
      <c r="H221" s="155"/>
      <c r="I221" s="155"/>
      <c r="J221" s="155"/>
      <c r="K221" s="146"/>
    </row>
    <row r="222">
      <c r="A222" s="9" t="s">
        <v>480</v>
      </c>
      <c r="B222" s="10" t="s">
        <v>84</v>
      </c>
      <c r="C222" s="10" t="s">
        <v>481</v>
      </c>
      <c r="D222" s="14" t="s">
        <v>482</v>
      </c>
      <c r="E222" s="10"/>
      <c r="F222" s="10" t="s">
        <v>133</v>
      </c>
      <c r="G222" s="111">
        <f>'Stavební rozpočet'!G222</f>
      </c>
      <c r="H222" s="111">
        <f>'Stavební rozpočet'!H222</f>
      </c>
      <c r="I222" s="111">
        <f>G222*H222</f>
      </c>
      <c r="J222" s="153" t="s">
        <v>134</v>
      </c>
      <c r="K222" s="146"/>
      <c r="Z222" s="111">
        <f>IF(AQ222="5",BJ222,0)</f>
      </c>
      <c r="AB222" s="111">
        <f>IF(AQ222="1",BH222,0)</f>
      </c>
      <c r="AC222" s="111">
        <f>IF(AQ222="1",BI222,0)</f>
      </c>
      <c r="AD222" s="111">
        <f>IF(AQ222="7",BH222,0)</f>
      </c>
      <c r="AE222" s="111">
        <f>IF(AQ222="7",BI222,0)</f>
      </c>
      <c r="AF222" s="111">
        <f>IF(AQ222="2",BH222,0)</f>
      </c>
      <c r="AG222" s="111">
        <f>IF(AQ222="2",BI222,0)</f>
      </c>
      <c r="AH222" s="111">
        <f>IF(AQ222="0",BJ222,0)</f>
      </c>
      <c r="AI222" s="132" t="s">
        <v>84</v>
      </c>
      <c r="AJ222" s="111">
        <f>IF(AN222=0,I222,0)</f>
      </c>
      <c r="AK222" s="111">
        <f>IF(AN222=12,I222,0)</f>
      </c>
      <c r="AL222" s="111">
        <f>IF(AN222=21,I222,0)</f>
      </c>
      <c r="AN222" s="111" t="n">
        <v>21</v>
      </c>
      <c r="AO222" s="111">
        <f>H222*0.90713834</f>
      </c>
      <c r="AP222" s="111">
        <f>H222*(1-0.90713834)</f>
      </c>
      <c r="AQ222" s="153" t="s">
        <v>130</v>
      </c>
      <c r="AV222" s="111">
        <f>AW222+AX222</f>
      </c>
      <c r="AW222" s="111">
        <f>G222*AO222</f>
      </c>
      <c r="AX222" s="111">
        <f>G222*AP222</f>
      </c>
      <c r="AY222" s="153" t="s">
        <v>398</v>
      </c>
      <c r="AZ222" s="153" t="s">
        <v>399</v>
      </c>
      <c r="BA222" s="132" t="s">
        <v>137</v>
      </c>
      <c r="BC222" s="111">
        <f>AW222+AX222</f>
      </c>
      <c r="BD222" s="111">
        <f>H222/(100-BE222)*100</f>
      </c>
      <c r="BE222" s="111" t="n">
        <v>0</v>
      </c>
      <c r="BF222" s="111">
        <f>222</f>
      </c>
      <c r="BH222" s="111">
        <f>G222*AO222</f>
      </c>
      <c r="BI222" s="111">
        <f>G222*AP222</f>
      </c>
      <c r="BJ222" s="111">
        <f>G222*H222</f>
      </c>
      <c r="BK222" s="111"/>
      <c r="BL222" s="111" t="n">
        <v>31</v>
      </c>
      <c r="BW222" s="111" t="n">
        <v>21</v>
      </c>
      <c r="BX222" s="14" t="s">
        <v>482</v>
      </c>
    </row>
    <row r="223">
      <c r="A223" s="154"/>
      <c r="B223" s="155"/>
      <c r="C223" s="155"/>
      <c r="D223" s="156" t="s">
        <v>149</v>
      </c>
      <c r="E223" s="156" t="s">
        <v>483</v>
      </c>
      <c r="F223" s="155"/>
      <c r="G223" s="157" t="n">
        <v>4</v>
      </c>
      <c r="H223" s="155"/>
      <c r="I223" s="155"/>
      <c r="J223" s="155"/>
      <c r="K223" s="146"/>
    </row>
    <row r="224">
      <c r="A224" s="9" t="s">
        <v>484</v>
      </c>
      <c r="B224" s="10" t="s">
        <v>84</v>
      </c>
      <c r="C224" s="10" t="s">
        <v>485</v>
      </c>
      <c r="D224" s="14" t="s">
        <v>486</v>
      </c>
      <c r="E224" s="10"/>
      <c r="F224" s="10" t="s">
        <v>133</v>
      </c>
      <c r="G224" s="111">
        <f>'Stavební rozpočet'!G224</f>
      </c>
      <c r="H224" s="111">
        <f>'Stavební rozpočet'!H224</f>
      </c>
      <c r="I224" s="111">
        <f>G224*H224</f>
      </c>
      <c r="J224" s="153" t="s">
        <v>134</v>
      </c>
      <c r="K224" s="146"/>
      <c r="Z224" s="111">
        <f>IF(AQ224="5",BJ224,0)</f>
      </c>
      <c r="AB224" s="111">
        <f>IF(AQ224="1",BH224,0)</f>
      </c>
      <c r="AC224" s="111">
        <f>IF(AQ224="1",BI224,0)</f>
      </c>
      <c r="AD224" s="111">
        <f>IF(AQ224="7",BH224,0)</f>
      </c>
      <c r="AE224" s="111">
        <f>IF(AQ224="7",BI224,0)</f>
      </c>
      <c r="AF224" s="111">
        <f>IF(AQ224="2",BH224,0)</f>
      </c>
      <c r="AG224" s="111">
        <f>IF(AQ224="2",BI224,0)</f>
      </c>
      <c r="AH224" s="111">
        <f>IF(AQ224="0",BJ224,0)</f>
      </c>
      <c r="AI224" s="132" t="s">
        <v>84</v>
      </c>
      <c r="AJ224" s="111">
        <f>IF(AN224=0,I224,0)</f>
      </c>
      <c r="AK224" s="111">
        <f>IF(AN224=12,I224,0)</f>
      </c>
      <c r="AL224" s="111">
        <f>IF(AN224=21,I224,0)</f>
      </c>
      <c r="AN224" s="111" t="n">
        <v>21</v>
      </c>
      <c r="AO224" s="111">
        <f>H224*0.855883845</f>
      </c>
      <c r="AP224" s="111">
        <f>H224*(1-0.855883845)</f>
      </c>
      <c r="AQ224" s="153" t="s">
        <v>130</v>
      </c>
      <c r="AV224" s="111">
        <f>AW224+AX224</f>
      </c>
      <c r="AW224" s="111">
        <f>G224*AO224</f>
      </c>
      <c r="AX224" s="111">
        <f>G224*AP224</f>
      </c>
      <c r="AY224" s="153" t="s">
        <v>398</v>
      </c>
      <c r="AZ224" s="153" t="s">
        <v>399</v>
      </c>
      <c r="BA224" s="132" t="s">
        <v>137</v>
      </c>
      <c r="BC224" s="111">
        <f>AW224+AX224</f>
      </c>
      <c r="BD224" s="111">
        <f>H224/(100-BE224)*100</f>
      </c>
      <c r="BE224" s="111" t="n">
        <v>0</v>
      </c>
      <c r="BF224" s="111">
        <f>224</f>
      </c>
      <c r="BH224" s="111">
        <f>G224*AO224</f>
      </c>
      <c r="BI224" s="111">
        <f>G224*AP224</f>
      </c>
      <c r="BJ224" s="111">
        <f>G224*H224</f>
      </c>
      <c r="BK224" s="111"/>
      <c r="BL224" s="111" t="n">
        <v>31</v>
      </c>
      <c r="BW224" s="111" t="n">
        <v>21</v>
      </c>
      <c r="BX224" s="14" t="s">
        <v>486</v>
      </c>
    </row>
    <row r="225">
      <c r="A225" s="154"/>
      <c r="B225" s="155"/>
      <c r="C225" s="155"/>
      <c r="D225" s="156" t="s">
        <v>140</v>
      </c>
      <c r="E225" s="156" t="s">
        <v>487</v>
      </c>
      <c r="F225" s="155"/>
      <c r="G225" s="157" t="n">
        <v>2</v>
      </c>
      <c r="H225" s="155"/>
      <c r="I225" s="155"/>
      <c r="J225" s="155"/>
      <c r="K225" s="146"/>
    </row>
    <row r="226">
      <c r="A226" s="9" t="s">
        <v>488</v>
      </c>
      <c r="B226" s="10" t="s">
        <v>84</v>
      </c>
      <c r="C226" s="10" t="s">
        <v>489</v>
      </c>
      <c r="D226" s="14" t="s">
        <v>490</v>
      </c>
      <c r="E226" s="10"/>
      <c r="F226" s="10" t="s">
        <v>145</v>
      </c>
      <c r="G226" s="111">
        <f>'Stavební rozpočet'!G226</f>
      </c>
      <c r="H226" s="111">
        <f>'Stavební rozpočet'!H226</f>
      </c>
      <c r="I226" s="111">
        <f>G226*H226</f>
      </c>
      <c r="J226" s="153" t="s">
        <v>134</v>
      </c>
      <c r="K226" s="146"/>
      <c r="Z226" s="111">
        <f>IF(AQ226="5",BJ226,0)</f>
      </c>
      <c r="AB226" s="111">
        <f>IF(AQ226="1",BH226,0)</f>
      </c>
      <c r="AC226" s="111">
        <f>IF(AQ226="1",BI226,0)</f>
      </c>
      <c r="AD226" s="111">
        <f>IF(AQ226="7",BH226,0)</f>
      </c>
      <c r="AE226" s="111">
        <f>IF(AQ226="7",BI226,0)</f>
      </c>
      <c r="AF226" s="111">
        <f>IF(AQ226="2",BH226,0)</f>
      </c>
      <c r="AG226" s="111">
        <f>IF(AQ226="2",BI226,0)</f>
      </c>
      <c r="AH226" s="111">
        <f>IF(AQ226="0",BJ226,0)</f>
      </c>
      <c r="AI226" s="132" t="s">
        <v>84</v>
      </c>
      <c r="AJ226" s="111">
        <f>IF(AN226=0,I226,0)</f>
      </c>
      <c r="AK226" s="111">
        <f>IF(AN226=12,I226,0)</f>
      </c>
      <c r="AL226" s="111">
        <f>IF(AN226=21,I226,0)</f>
      </c>
      <c r="AN226" s="111" t="n">
        <v>21</v>
      </c>
      <c r="AO226" s="111">
        <f>H226*0.84064692</f>
      </c>
      <c r="AP226" s="111">
        <f>H226*(1-0.84064692)</f>
      </c>
      <c r="AQ226" s="153" t="s">
        <v>130</v>
      </c>
      <c r="AV226" s="111">
        <f>AW226+AX226</f>
      </c>
      <c r="AW226" s="111">
        <f>G226*AO226</f>
      </c>
      <c r="AX226" s="111">
        <f>G226*AP226</f>
      </c>
      <c r="AY226" s="153" t="s">
        <v>398</v>
      </c>
      <c r="AZ226" s="153" t="s">
        <v>399</v>
      </c>
      <c r="BA226" s="132" t="s">
        <v>137</v>
      </c>
      <c r="BC226" s="111">
        <f>AW226+AX226</f>
      </c>
      <c r="BD226" s="111">
        <f>H226/(100-BE226)*100</f>
      </c>
      <c r="BE226" s="111" t="n">
        <v>0</v>
      </c>
      <c r="BF226" s="111">
        <f>226</f>
      </c>
      <c r="BH226" s="111">
        <f>G226*AO226</f>
      </c>
      <c r="BI226" s="111">
        <f>G226*AP226</f>
      </c>
      <c r="BJ226" s="111">
        <f>G226*H226</f>
      </c>
      <c r="BK226" s="111"/>
      <c r="BL226" s="111" t="n">
        <v>31</v>
      </c>
      <c r="BW226" s="111" t="n">
        <v>21</v>
      </c>
      <c r="BX226" s="14" t="s">
        <v>490</v>
      </c>
    </row>
    <row r="227" customHeight="true" ht="13.5">
      <c r="A227" s="159"/>
      <c r="C227" s="160" t="s">
        <v>146</v>
      </c>
      <c r="D227" s="161" t="s">
        <v>491</v>
      </c>
      <c r="E227" s="156"/>
      <c r="F227" s="156"/>
      <c r="G227" s="156"/>
      <c r="H227" s="156"/>
      <c r="I227" s="156"/>
      <c r="J227" s="156"/>
      <c r="K227" s="163"/>
    </row>
    <row r="228">
      <c r="A228" s="154"/>
      <c r="B228" s="155"/>
      <c r="C228" s="155"/>
      <c r="D228" s="156" t="s">
        <v>492</v>
      </c>
      <c r="E228" s="156" t="s">
        <v>493</v>
      </c>
      <c r="F228" s="155"/>
      <c r="G228" s="157" t="n">
        <v>16.288</v>
      </c>
      <c r="H228" s="155"/>
      <c r="I228" s="155"/>
      <c r="J228" s="155"/>
      <c r="K228" s="146"/>
    </row>
    <row r="229">
      <c r="A229" s="9" t="s">
        <v>494</v>
      </c>
      <c r="B229" s="10" t="s">
        <v>84</v>
      </c>
      <c r="C229" s="10" t="s">
        <v>495</v>
      </c>
      <c r="D229" s="14" t="s">
        <v>496</v>
      </c>
      <c r="E229" s="10"/>
      <c r="F229" s="10" t="s">
        <v>282</v>
      </c>
      <c r="G229" s="111">
        <f>'Stavební rozpočet'!G229</f>
      </c>
      <c r="H229" s="111">
        <f>'Stavební rozpočet'!H229</f>
      </c>
      <c r="I229" s="111">
        <f>G229*H229</f>
      </c>
      <c r="J229" s="153" t="s">
        <v>134</v>
      </c>
      <c r="K229" s="146"/>
      <c r="Z229" s="111">
        <f>IF(AQ229="5",BJ229,0)</f>
      </c>
      <c r="AB229" s="111">
        <f>IF(AQ229="1",BH229,0)</f>
      </c>
      <c r="AC229" s="111">
        <f>IF(AQ229="1",BI229,0)</f>
      </c>
      <c r="AD229" s="111">
        <f>IF(AQ229="7",BH229,0)</f>
      </c>
      <c r="AE229" s="111">
        <f>IF(AQ229="7",BI229,0)</f>
      </c>
      <c r="AF229" s="111">
        <f>IF(AQ229="2",BH229,0)</f>
      </c>
      <c r="AG229" s="111">
        <f>IF(AQ229="2",BI229,0)</f>
      </c>
      <c r="AH229" s="111">
        <f>IF(AQ229="0",BJ229,0)</f>
      </c>
      <c r="AI229" s="132" t="s">
        <v>84</v>
      </c>
      <c r="AJ229" s="111">
        <f>IF(AN229=0,I229,0)</f>
      </c>
      <c r="AK229" s="111">
        <f>IF(AN229=12,I229,0)</f>
      </c>
      <c r="AL229" s="111">
        <f>IF(AN229=21,I229,0)</f>
      </c>
      <c r="AN229" s="111" t="n">
        <v>21</v>
      </c>
      <c r="AO229" s="111">
        <f>H229*0.214774194</f>
      </c>
      <c r="AP229" s="111">
        <f>H229*(1-0.214774194)</f>
      </c>
      <c r="AQ229" s="153" t="s">
        <v>130</v>
      </c>
      <c r="AV229" s="111">
        <f>AW229+AX229</f>
      </c>
      <c r="AW229" s="111">
        <f>G229*AO229</f>
      </c>
      <c r="AX229" s="111">
        <f>G229*AP229</f>
      </c>
      <c r="AY229" s="153" t="s">
        <v>398</v>
      </c>
      <c r="AZ229" s="153" t="s">
        <v>399</v>
      </c>
      <c r="BA229" s="132" t="s">
        <v>137</v>
      </c>
      <c r="BC229" s="111">
        <f>AW229+AX229</f>
      </c>
      <c r="BD229" s="111">
        <f>H229/(100-BE229)*100</f>
      </c>
      <c r="BE229" s="111" t="n">
        <v>0</v>
      </c>
      <c r="BF229" s="111">
        <f>229</f>
      </c>
      <c r="BH229" s="111">
        <f>G229*AO229</f>
      </c>
      <c r="BI229" s="111">
        <f>G229*AP229</f>
      </c>
      <c r="BJ229" s="111">
        <f>G229*H229</f>
      </c>
      <c r="BK229" s="111"/>
      <c r="BL229" s="111" t="n">
        <v>31</v>
      </c>
      <c r="BW229" s="111" t="n">
        <v>21</v>
      </c>
      <c r="BX229" s="14" t="s">
        <v>496</v>
      </c>
    </row>
    <row r="230">
      <c r="A230" s="154"/>
      <c r="B230" s="155"/>
      <c r="C230" s="155"/>
      <c r="D230" s="156" t="s">
        <v>497</v>
      </c>
      <c r="E230" s="156" t="s">
        <v>493</v>
      </c>
      <c r="F230" s="155"/>
      <c r="G230" s="157" t="n">
        <v>21.65</v>
      </c>
      <c r="H230" s="155"/>
      <c r="I230" s="155"/>
      <c r="J230" s="155"/>
      <c r="K230" s="146"/>
    </row>
    <row r="231">
      <c r="A231" s="9" t="s">
        <v>498</v>
      </c>
      <c r="B231" s="10" t="s">
        <v>84</v>
      </c>
      <c r="C231" s="10" t="s">
        <v>499</v>
      </c>
      <c r="D231" s="14" t="s">
        <v>500</v>
      </c>
      <c r="E231" s="10"/>
      <c r="F231" s="10" t="s">
        <v>133</v>
      </c>
      <c r="G231" s="111">
        <f>'Stavební rozpočet'!G231</f>
      </c>
      <c r="H231" s="111">
        <f>'Stavební rozpočet'!H231</f>
      </c>
      <c r="I231" s="111">
        <f>G231*H231</f>
      </c>
      <c r="J231" s="153" t="s">
        <v>134</v>
      </c>
      <c r="K231" s="146"/>
      <c r="Z231" s="111">
        <f>IF(AQ231="5",BJ231,0)</f>
      </c>
      <c r="AB231" s="111">
        <f>IF(AQ231="1",BH231,0)</f>
      </c>
      <c r="AC231" s="111">
        <f>IF(AQ231="1",BI231,0)</f>
      </c>
      <c r="AD231" s="111">
        <f>IF(AQ231="7",BH231,0)</f>
      </c>
      <c r="AE231" s="111">
        <f>IF(AQ231="7",BI231,0)</f>
      </c>
      <c r="AF231" s="111">
        <f>IF(AQ231="2",BH231,0)</f>
      </c>
      <c r="AG231" s="111">
        <f>IF(AQ231="2",BI231,0)</f>
      </c>
      <c r="AH231" s="111">
        <f>IF(AQ231="0",BJ231,0)</f>
      </c>
      <c r="AI231" s="132" t="s">
        <v>84</v>
      </c>
      <c r="AJ231" s="111">
        <f>IF(AN231=0,I231,0)</f>
      </c>
      <c r="AK231" s="111">
        <f>IF(AN231=12,I231,0)</f>
      </c>
      <c r="AL231" s="111">
        <f>IF(AN231=21,I231,0)</f>
      </c>
      <c r="AN231" s="111" t="n">
        <v>21</v>
      </c>
      <c r="AO231" s="111">
        <f>H231*0.3501962</f>
      </c>
      <c r="AP231" s="111">
        <f>H231*(1-0.3501962)</f>
      </c>
      <c r="AQ231" s="153" t="s">
        <v>130</v>
      </c>
      <c r="AV231" s="111">
        <f>AW231+AX231</f>
      </c>
      <c r="AW231" s="111">
        <f>G231*AO231</f>
      </c>
      <c r="AX231" s="111">
        <f>G231*AP231</f>
      </c>
      <c r="AY231" s="153" t="s">
        <v>398</v>
      </c>
      <c r="AZ231" s="153" t="s">
        <v>399</v>
      </c>
      <c r="BA231" s="132" t="s">
        <v>137</v>
      </c>
      <c r="BC231" s="111">
        <f>AW231+AX231</f>
      </c>
      <c r="BD231" s="111">
        <f>H231/(100-BE231)*100</f>
      </c>
      <c r="BE231" s="111" t="n">
        <v>0</v>
      </c>
      <c r="BF231" s="111">
        <f>231</f>
      </c>
      <c r="BH231" s="111">
        <f>G231*AO231</f>
      </c>
      <c r="BI231" s="111">
        <f>G231*AP231</f>
      </c>
      <c r="BJ231" s="111">
        <f>G231*H231</f>
      </c>
      <c r="BK231" s="111"/>
      <c r="BL231" s="111" t="n">
        <v>31</v>
      </c>
      <c r="BW231" s="111" t="n">
        <v>21</v>
      </c>
      <c r="BX231" s="14" t="s">
        <v>500</v>
      </c>
    </row>
    <row r="232" customHeight="true" ht="13.5">
      <c r="A232" s="159"/>
      <c r="C232" s="160" t="s">
        <v>146</v>
      </c>
      <c r="D232" s="161" t="s">
        <v>501</v>
      </c>
      <c r="E232" s="156"/>
      <c r="F232" s="156"/>
      <c r="G232" s="156"/>
      <c r="H232" s="156"/>
      <c r="I232" s="156"/>
      <c r="J232" s="156"/>
      <c r="K232" s="163"/>
    </row>
    <row r="233">
      <c r="A233" s="154"/>
      <c r="B233" s="155"/>
      <c r="C233" s="155"/>
      <c r="D233" s="156" t="s">
        <v>156</v>
      </c>
      <c r="E233" s="156" t="s">
        <v>502</v>
      </c>
      <c r="F233" s="155"/>
      <c r="G233" s="157" t="n">
        <v>5</v>
      </c>
      <c r="H233" s="155"/>
      <c r="I233" s="155"/>
      <c r="J233" s="155"/>
      <c r="K233" s="146"/>
    </row>
    <row r="234">
      <c r="A234" s="154"/>
      <c r="B234" s="155"/>
      <c r="C234" s="155"/>
      <c r="D234" s="156" t="s">
        <v>149</v>
      </c>
      <c r="E234" s="156" t="s">
        <v>503</v>
      </c>
      <c r="F234" s="155"/>
      <c r="G234" s="157" t="n">
        <v>4</v>
      </c>
      <c r="H234" s="155"/>
      <c r="I234" s="155"/>
      <c r="J234" s="155"/>
      <c r="K234" s="146"/>
    </row>
    <row r="235">
      <c r="A235" s="9" t="s">
        <v>504</v>
      </c>
      <c r="B235" s="10" t="s">
        <v>84</v>
      </c>
      <c r="C235" s="10" t="s">
        <v>505</v>
      </c>
      <c r="D235" s="14" t="s">
        <v>506</v>
      </c>
      <c r="E235" s="10"/>
      <c r="F235" s="10" t="s">
        <v>133</v>
      </c>
      <c r="G235" s="111">
        <f>'Stavební rozpočet'!G235</f>
      </c>
      <c r="H235" s="111">
        <f>'Stavební rozpočet'!H235</f>
      </c>
      <c r="I235" s="111">
        <f>G235*H235</f>
      </c>
      <c r="J235" s="153" t="s">
        <v>134</v>
      </c>
      <c r="K235" s="146"/>
      <c r="Z235" s="111">
        <f>IF(AQ235="5",BJ235,0)</f>
      </c>
      <c r="AB235" s="111">
        <f>IF(AQ235="1",BH235,0)</f>
      </c>
      <c r="AC235" s="111">
        <f>IF(AQ235="1",BI235,0)</f>
      </c>
      <c r="AD235" s="111">
        <f>IF(AQ235="7",BH235,0)</f>
      </c>
      <c r="AE235" s="111">
        <f>IF(AQ235="7",BI235,0)</f>
      </c>
      <c r="AF235" s="111">
        <f>IF(AQ235="2",BH235,0)</f>
      </c>
      <c r="AG235" s="111">
        <f>IF(AQ235="2",BI235,0)</f>
      </c>
      <c r="AH235" s="111">
        <f>IF(AQ235="0",BJ235,0)</f>
      </c>
      <c r="AI235" s="132" t="s">
        <v>84</v>
      </c>
      <c r="AJ235" s="111">
        <f>IF(AN235=0,I235,0)</f>
      </c>
      <c r="AK235" s="111">
        <f>IF(AN235=12,I235,0)</f>
      </c>
      <c r="AL235" s="111">
        <f>IF(AN235=21,I235,0)</f>
      </c>
      <c r="AN235" s="111" t="n">
        <v>21</v>
      </c>
      <c r="AO235" s="111">
        <f>H235*1</f>
      </c>
      <c r="AP235" s="111">
        <f>H235*(1-1)</f>
      </c>
      <c r="AQ235" s="153" t="s">
        <v>130</v>
      </c>
      <c r="AV235" s="111">
        <f>AW235+AX235</f>
      </c>
      <c r="AW235" s="111">
        <f>G235*AO235</f>
      </c>
      <c r="AX235" s="111">
        <f>G235*AP235</f>
      </c>
      <c r="AY235" s="153" t="s">
        <v>398</v>
      </c>
      <c r="AZ235" s="153" t="s">
        <v>399</v>
      </c>
      <c r="BA235" s="132" t="s">
        <v>137</v>
      </c>
      <c r="BC235" s="111">
        <f>AW235+AX235</f>
      </c>
      <c r="BD235" s="111">
        <f>H235/(100-BE235)*100</f>
      </c>
      <c r="BE235" s="111" t="n">
        <v>0</v>
      </c>
      <c r="BF235" s="111">
        <f>235</f>
      </c>
      <c r="BH235" s="111">
        <f>G235*AO235</f>
      </c>
      <c r="BI235" s="111">
        <f>G235*AP235</f>
      </c>
      <c r="BJ235" s="111">
        <f>G235*H235</f>
      </c>
      <c r="BK235" s="111"/>
      <c r="BL235" s="111" t="n">
        <v>31</v>
      </c>
      <c r="BW235" s="111" t="n">
        <v>21</v>
      </c>
      <c r="BX235" s="14" t="s">
        <v>506</v>
      </c>
    </row>
    <row r="236">
      <c r="A236" s="154"/>
      <c r="B236" s="155"/>
      <c r="C236" s="155"/>
      <c r="D236" s="156" t="s">
        <v>156</v>
      </c>
      <c r="E236" s="156" t="s">
        <v>507</v>
      </c>
      <c r="F236" s="155"/>
      <c r="G236" s="157" t="n">
        <v>5</v>
      </c>
      <c r="H236" s="155"/>
      <c r="I236" s="155"/>
      <c r="J236" s="155"/>
      <c r="K236" s="146"/>
    </row>
    <row r="237">
      <c r="A237" s="154"/>
      <c r="B237" s="155"/>
      <c r="C237" s="155"/>
      <c r="D237" s="156" t="s">
        <v>149</v>
      </c>
      <c r="E237" s="156" t="s">
        <v>508</v>
      </c>
      <c r="F237" s="155"/>
      <c r="G237" s="157" t="n">
        <v>4</v>
      </c>
      <c r="H237" s="155"/>
      <c r="I237" s="155"/>
      <c r="J237" s="155"/>
      <c r="K237" s="146"/>
    </row>
    <row r="238">
      <c r="A238" s="9" t="s">
        <v>509</v>
      </c>
      <c r="B238" s="10" t="s">
        <v>84</v>
      </c>
      <c r="C238" s="10" t="s">
        <v>510</v>
      </c>
      <c r="D238" s="14" t="s">
        <v>511</v>
      </c>
      <c r="E238" s="10"/>
      <c r="F238" s="10" t="s">
        <v>133</v>
      </c>
      <c r="G238" s="111">
        <f>'Stavební rozpočet'!G238</f>
      </c>
      <c r="H238" s="111">
        <f>'Stavební rozpočet'!H238</f>
      </c>
      <c r="I238" s="111">
        <f>G238*H238</f>
      </c>
      <c r="J238" s="153" t="s">
        <v>134</v>
      </c>
      <c r="K238" s="146"/>
      <c r="Z238" s="111">
        <f>IF(AQ238="5",BJ238,0)</f>
      </c>
      <c r="AB238" s="111">
        <f>IF(AQ238="1",BH238,0)</f>
      </c>
      <c r="AC238" s="111">
        <f>IF(AQ238="1",BI238,0)</f>
      </c>
      <c r="AD238" s="111">
        <f>IF(AQ238="7",BH238,0)</f>
      </c>
      <c r="AE238" s="111">
        <f>IF(AQ238="7",BI238,0)</f>
      </c>
      <c r="AF238" s="111">
        <f>IF(AQ238="2",BH238,0)</f>
      </c>
      <c r="AG238" s="111">
        <f>IF(AQ238="2",BI238,0)</f>
      </c>
      <c r="AH238" s="111">
        <f>IF(AQ238="0",BJ238,0)</f>
      </c>
      <c r="AI238" s="132" t="s">
        <v>84</v>
      </c>
      <c r="AJ238" s="111">
        <f>IF(AN238=0,I238,0)</f>
      </c>
      <c r="AK238" s="111">
        <f>IF(AN238=12,I238,0)</f>
      </c>
      <c r="AL238" s="111">
        <f>IF(AN238=21,I238,0)</f>
      </c>
      <c r="AN238" s="111" t="n">
        <v>21</v>
      </c>
      <c r="AO238" s="111">
        <f>H238*0.023311149</f>
      </c>
      <c r="AP238" s="111">
        <f>H238*(1-0.023311149)</f>
      </c>
      <c r="AQ238" s="153" t="s">
        <v>140</v>
      </c>
      <c r="AV238" s="111">
        <f>AW238+AX238</f>
      </c>
      <c r="AW238" s="111">
        <f>G238*AO238</f>
      </c>
      <c r="AX238" s="111">
        <f>G238*AP238</f>
      </c>
      <c r="AY238" s="153" t="s">
        <v>398</v>
      </c>
      <c r="AZ238" s="153" t="s">
        <v>399</v>
      </c>
      <c r="BA238" s="132" t="s">
        <v>137</v>
      </c>
      <c r="BC238" s="111">
        <f>AW238+AX238</f>
      </c>
      <c r="BD238" s="111">
        <f>H238/(100-BE238)*100</f>
      </c>
      <c r="BE238" s="111" t="n">
        <v>0</v>
      </c>
      <c r="BF238" s="111">
        <f>238</f>
      </c>
      <c r="BH238" s="111">
        <f>G238*AO238</f>
      </c>
      <c r="BI238" s="111">
        <f>G238*AP238</f>
      </c>
      <c r="BJ238" s="111">
        <f>G238*H238</f>
      </c>
      <c r="BK238" s="111"/>
      <c r="BL238" s="111" t="n">
        <v>31</v>
      </c>
      <c r="BW238" s="111" t="n">
        <v>21</v>
      </c>
      <c r="BX238" s="14" t="s">
        <v>511</v>
      </c>
    </row>
    <row r="239" customHeight="true" ht="13.5">
      <c r="A239" s="159"/>
      <c r="C239" s="160" t="s">
        <v>146</v>
      </c>
      <c r="D239" s="161" t="s">
        <v>512</v>
      </c>
      <c r="E239" s="156"/>
      <c r="F239" s="156"/>
      <c r="G239" s="156"/>
      <c r="H239" s="156"/>
      <c r="I239" s="156"/>
      <c r="J239" s="156"/>
      <c r="K239" s="163"/>
    </row>
    <row r="240">
      <c r="A240" s="154"/>
      <c r="B240" s="155"/>
      <c r="C240" s="155"/>
      <c r="D240" s="156" t="s">
        <v>513</v>
      </c>
      <c r="E240" s="156" t="s">
        <v>514</v>
      </c>
      <c r="F240" s="155"/>
      <c r="G240" s="157" t="n">
        <v>2</v>
      </c>
      <c r="H240" s="155"/>
      <c r="I240" s="155"/>
      <c r="J240" s="155"/>
      <c r="K240" s="146"/>
    </row>
    <row r="241">
      <c r="A241" s="9" t="s">
        <v>515</v>
      </c>
      <c r="B241" s="10" t="s">
        <v>84</v>
      </c>
      <c r="C241" s="10" t="s">
        <v>516</v>
      </c>
      <c r="D241" s="14" t="s">
        <v>517</v>
      </c>
      <c r="E241" s="10"/>
      <c r="F241" s="10" t="s">
        <v>133</v>
      </c>
      <c r="G241" s="111">
        <f>'Stavební rozpočet'!G241</f>
      </c>
      <c r="H241" s="111">
        <f>'Stavební rozpočet'!H241</f>
      </c>
      <c r="I241" s="111">
        <f>G241*H241</f>
      </c>
      <c r="J241" s="153" t="s">
        <v>134</v>
      </c>
      <c r="K241" s="146"/>
      <c r="Z241" s="111">
        <f>IF(AQ241="5",BJ241,0)</f>
      </c>
      <c r="AB241" s="111">
        <f>IF(AQ241="1",BH241,0)</f>
      </c>
      <c r="AC241" s="111">
        <f>IF(AQ241="1",BI241,0)</f>
      </c>
      <c r="AD241" s="111">
        <f>IF(AQ241="7",BH241,0)</f>
      </c>
      <c r="AE241" s="111">
        <f>IF(AQ241="7",BI241,0)</f>
      </c>
      <c r="AF241" s="111">
        <f>IF(AQ241="2",BH241,0)</f>
      </c>
      <c r="AG241" s="111">
        <f>IF(AQ241="2",BI241,0)</f>
      </c>
      <c r="AH241" s="111">
        <f>IF(AQ241="0",BJ241,0)</f>
      </c>
      <c r="AI241" s="132" t="s">
        <v>84</v>
      </c>
      <c r="AJ241" s="111">
        <f>IF(AN241=0,I241,0)</f>
      </c>
      <c r="AK241" s="111">
        <f>IF(AN241=12,I241,0)</f>
      </c>
      <c r="AL241" s="111">
        <f>IF(AN241=21,I241,0)</f>
      </c>
      <c r="AN241" s="111" t="n">
        <v>21</v>
      </c>
      <c r="AO241" s="111">
        <f>H241*0.029520898</f>
      </c>
      <c r="AP241" s="111">
        <f>H241*(1-0.029520898)</f>
      </c>
      <c r="AQ241" s="153" t="s">
        <v>140</v>
      </c>
      <c r="AV241" s="111">
        <f>AW241+AX241</f>
      </c>
      <c r="AW241" s="111">
        <f>G241*AO241</f>
      </c>
      <c r="AX241" s="111">
        <f>G241*AP241</f>
      </c>
      <c r="AY241" s="153" t="s">
        <v>398</v>
      </c>
      <c r="AZ241" s="153" t="s">
        <v>399</v>
      </c>
      <c r="BA241" s="132" t="s">
        <v>137</v>
      </c>
      <c r="BC241" s="111">
        <f>AW241+AX241</f>
      </c>
      <c r="BD241" s="111">
        <f>H241/(100-BE241)*100</f>
      </c>
      <c r="BE241" s="111" t="n">
        <v>0</v>
      </c>
      <c r="BF241" s="111">
        <f>241</f>
      </c>
      <c r="BH241" s="111">
        <f>G241*AO241</f>
      </c>
      <c r="BI241" s="111">
        <f>G241*AP241</f>
      </c>
      <c r="BJ241" s="111">
        <f>G241*H241</f>
      </c>
      <c r="BK241" s="111"/>
      <c r="BL241" s="111" t="n">
        <v>31</v>
      </c>
      <c r="BW241" s="111" t="n">
        <v>21</v>
      </c>
      <c r="BX241" s="14" t="s">
        <v>517</v>
      </c>
    </row>
    <row r="242" customHeight="true" ht="13.5">
      <c r="A242" s="159"/>
      <c r="C242" s="160" t="s">
        <v>146</v>
      </c>
      <c r="D242" s="161" t="s">
        <v>512</v>
      </c>
      <c r="E242" s="156"/>
      <c r="F242" s="156"/>
      <c r="G242" s="156"/>
      <c r="H242" s="156"/>
      <c r="I242" s="156"/>
      <c r="J242" s="156"/>
      <c r="K242" s="163"/>
    </row>
    <row r="243">
      <c r="A243" s="154"/>
      <c r="B243" s="155"/>
      <c r="C243" s="155"/>
      <c r="D243" s="156" t="s">
        <v>518</v>
      </c>
      <c r="E243" s="156" t="s">
        <v>519</v>
      </c>
      <c r="F243" s="155"/>
      <c r="G243" s="157" t="n">
        <v>4</v>
      </c>
      <c r="H243" s="155"/>
      <c r="I243" s="155"/>
      <c r="J243" s="155"/>
      <c r="K243" s="146"/>
    </row>
    <row r="244">
      <c r="A244" s="154"/>
      <c r="B244" s="155"/>
      <c r="C244" s="155"/>
      <c r="D244" s="156" t="s">
        <v>520</v>
      </c>
      <c r="E244" s="156" t="s">
        <v>521</v>
      </c>
      <c r="F244" s="155"/>
      <c r="G244" s="157" t="n">
        <v>6</v>
      </c>
      <c r="H244" s="155"/>
      <c r="I244" s="155"/>
      <c r="J244" s="155"/>
      <c r="K244" s="146"/>
    </row>
    <row r="245">
      <c r="A245" s="154"/>
      <c r="B245" s="155"/>
      <c r="C245" s="155"/>
      <c r="D245" s="156" t="s">
        <v>522</v>
      </c>
      <c r="E245" s="156" t="s">
        <v>523</v>
      </c>
      <c r="F245" s="155"/>
      <c r="G245" s="157" t="n">
        <v>3</v>
      </c>
      <c r="H245" s="155"/>
      <c r="I245" s="155"/>
      <c r="J245" s="155"/>
      <c r="K245" s="146"/>
    </row>
    <row r="246">
      <c r="A246" s="147" t="s">
        <v>4</v>
      </c>
      <c r="B246" s="148" t="s">
        <v>84</v>
      </c>
      <c r="C246" s="148" t="s">
        <v>360</v>
      </c>
      <c r="D246" s="149" t="s">
        <v>524</v>
      </c>
      <c r="E246" s="148"/>
      <c r="F246" s="150" t="s">
        <v>79</v>
      </c>
      <c r="G246" s="150" t="s">
        <v>79</v>
      </c>
      <c r="H246" s="150" t="s">
        <v>79</v>
      </c>
      <c r="I246" s="117">
        <f>SUM(I247:I259)</f>
      </c>
      <c r="J246" s="132" t="s">
        <v>4</v>
      </c>
      <c r="K246" s="146"/>
      <c r="AI246" s="132" t="s">
        <v>84</v>
      </c>
      <c r="AS246" s="117">
        <f>SUM(AJ247:AJ259)</f>
      </c>
      <c r="AT246" s="117">
        <f>SUM(AK247:AK259)</f>
      </c>
      <c r="AU246" s="117">
        <f>SUM(AL247:AL259)</f>
      </c>
    </row>
    <row r="247">
      <c r="A247" s="9" t="s">
        <v>525</v>
      </c>
      <c r="B247" s="10" t="s">
        <v>84</v>
      </c>
      <c r="C247" s="10" t="s">
        <v>526</v>
      </c>
      <c r="D247" s="14" t="s">
        <v>527</v>
      </c>
      <c r="E247" s="10"/>
      <c r="F247" s="10" t="s">
        <v>145</v>
      </c>
      <c r="G247" s="111">
        <f>'Stavební rozpočet'!G247</f>
      </c>
      <c r="H247" s="111">
        <f>'Stavební rozpočet'!H247</f>
      </c>
      <c r="I247" s="111">
        <f>G247*H247</f>
      </c>
      <c r="J247" s="153" t="s">
        <v>134</v>
      </c>
      <c r="K247" s="146"/>
      <c r="Z247" s="111">
        <f>IF(AQ247="5",BJ247,0)</f>
      </c>
      <c r="AB247" s="111">
        <f>IF(AQ247="1",BH247,0)</f>
      </c>
      <c r="AC247" s="111">
        <f>IF(AQ247="1",BI247,0)</f>
      </c>
      <c r="AD247" s="111">
        <f>IF(AQ247="7",BH247,0)</f>
      </c>
      <c r="AE247" s="111">
        <f>IF(AQ247="7",BI247,0)</f>
      </c>
      <c r="AF247" s="111">
        <f>IF(AQ247="2",BH247,0)</f>
      </c>
      <c r="AG247" s="111">
        <f>IF(AQ247="2",BI247,0)</f>
      </c>
      <c r="AH247" s="111">
        <f>IF(AQ247="0",BJ247,0)</f>
      </c>
      <c r="AI247" s="132" t="s">
        <v>84</v>
      </c>
      <c r="AJ247" s="111">
        <f>IF(AN247=0,I247,0)</f>
      </c>
      <c r="AK247" s="111">
        <f>IF(AN247=12,I247,0)</f>
      </c>
      <c r="AL247" s="111">
        <f>IF(AN247=21,I247,0)</f>
      </c>
      <c r="AN247" s="111" t="n">
        <v>21</v>
      </c>
      <c r="AO247" s="111">
        <f>H247*0.344589426</f>
      </c>
      <c r="AP247" s="111">
        <f>H247*(1-0.344589426)</f>
      </c>
      <c r="AQ247" s="153" t="s">
        <v>130</v>
      </c>
      <c r="AV247" s="111">
        <f>AW247+AX247</f>
      </c>
      <c r="AW247" s="111">
        <f>G247*AO247</f>
      </c>
      <c r="AX247" s="111">
        <f>G247*AP247</f>
      </c>
      <c r="AY247" s="153" t="s">
        <v>528</v>
      </c>
      <c r="AZ247" s="153" t="s">
        <v>399</v>
      </c>
      <c r="BA247" s="132" t="s">
        <v>137</v>
      </c>
      <c r="BC247" s="111">
        <f>AW247+AX247</f>
      </c>
      <c r="BD247" s="111">
        <f>H247/(100-BE247)*100</f>
      </c>
      <c r="BE247" s="111" t="n">
        <v>0</v>
      </c>
      <c r="BF247" s="111">
        <f>247</f>
      </c>
      <c r="BH247" s="111">
        <f>G247*AO247</f>
      </c>
      <c r="BI247" s="111">
        <f>G247*AP247</f>
      </c>
      <c r="BJ247" s="111">
        <f>G247*H247</f>
      </c>
      <c r="BK247" s="111"/>
      <c r="BL247" s="111" t="n">
        <v>33</v>
      </c>
      <c r="BW247" s="111" t="n">
        <v>21</v>
      </c>
      <c r="BX247" s="14" t="s">
        <v>527</v>
      </c>
    </row>
    <row r="248">
      <c r="A248" s="154"/>
      <c r="B248" s="155"/>
      <c r="C248" s="155"/>
      <c r="D248" s="156" t="s">
        <v>529</v>
      </c>
      <c r="E248" s="156" t="s">
        <v>530</v>
      </c>
      <c r="F248" s="155"/>
      <c r="G248" s="157" t="n">
        <v>187.2</v>
      </c>
      <c r="H248" s="155"/>
      <c r="I248" s="155"/>
      <c r="J248" s="155"/>
      <c r="K248" s="146"/>
    </row>
    <row r="249">
      <c r="A249" s="9" t="s">
        <v>531</v>
      </c>
      <c r="B249" s="10" t="s">
        <v>84</v>
      </c>
      <c r="C249" s="10" t="s">
        <v>532</v>
      </c>
      <c r="D249" s="14" t="s">
        <v>533</v>
      </c>
      <c r="E249" s="10"/>
      <c r="F249" s="10" t="s">
        <v>145</v>
      </c>
      <c r="G249" s="111">
        <f>'Stavební rozpočet'!G249</f>
      </c>
      <c r="H249" s="111">
        <f>'Stavební rozpočet'!H249</f>
      </c>
      <c r="I249" s="111">
        <f>G249*H249</f>
      </c>
      <c r="J249" s="153" t="s">
        <v>134</v>
      </c>
      <c r="K249" s="146"/>
      <c r="Z249" s="111">
        <f>IF(AQ249="5",BJ249,0)</f>
      </c>
      <c r="AB249" s="111">
        <f>IF(AQ249="1",BH249,0)</f>
      </c>
      <c r="AC249" s="111">
        <f>IF(AQ249="1",BI249,0)</f>
      </c>
      <c r="AD249" s="111">
        <f>IF(AQ249="7",BH249,0)</f>
      </c>
      <c r="AE249" s="111">
        <f>IF(AQ249="7",BI249,0)</f>
      </c>
      <c r="AF249" s="111">
        <f>IF(AQ249="2",BH249,0)</f>
      </c>
      <c r="AG249" s="111">
        <f>IF(AQ249="2",BI249,0)</f>
      </c>
      <c r="AH249" s="111">
        <f>IF(AQ249="0",BJ249,0)</f>
      </c>
      <c r="AI249" s="132" t="s">
        <v>84</v>
      </c>
      <c r="AJ249" s="111">
        <f>IF(AN249=0,I249,0)</f>
      </c>
      <c r="AK249" s="111">
        <f>IF(AN249=12,I249,0)</f>
      </c>
      <c r="AL249" s="111">
        <f>IF(AN249=21,I249,0)</f>
      </c>
      <c r="AN249" s="111" t="n">
        <v>21</v>
      </c>
      <c r="AO249" s="111">
        <f>H249*0.012403846</f>
      </c>
      <c r="AP249" s="111">
        <f>H249*(1-0.012403846)</f>
      </c>
      <c r="AQ249" s="153" t="s">
        <v>130</v>
      </c>
      <c r="AV249" s="111">
        <f>AW249+AX249</f>
      </c>
      <c r="AW249" s="111">
        <f>G249*AO249</f>
      </c>
      <c r="AX249" s="111">
        <f>G249*AP249</f>
      </c>
      <c r="AY249" s="153" t="s">
        <v>528</v>
      </c>
      <c r="AZ249" s="153" t="s">
        <v>399</v>
      </c>
      <c r="BA249" s="132" t="s">
        <v>137</v>
      </c>
      <c r="BC249" s="111">
        <f>AW249+AX249</f>
      </c>
      <c r="BD249" s="111">
        <f>H249/(100-BE249)*100</f>
      </c>
      <c r="BE249" s="111" t="n">
        <v>0</v>
      </c>
      <c r="BF249" s="111">
        <f>249</f>
      </c>
      <c r="BH249" s="111">
        <f>G249*AO249</f>
      </c>
      <c r="BI249" s="111">
        <f>G249*AP249</f>
      </c>
      <c r="BJ249" s="111">
        <f>G249*H249</f>
      </c>
      <c r="BK249" s="111"/>
      <c r="BL249" s="111" t="n">
        <v>33</v>
      </c>
      <c r="BW249" s="111" t="n">
        <v>21</v>
      </c>
      <c r="BX249" s="14" t="s">
        <v>533</v>
      </c>
    </row>
    <row r="250">
      <c r="A250" s="154"/>
      <c r="B250" s="155"/>
      <c r="C250" s="155"/>
      <c r="D250" s="156" t="s">
        <v>529</v>
      </c>
      <c r="E250" s="156" t="s">
        <v>530</v>
      </c>
      <c r="F250" s="155"/>
      <c r="G250" s="157" t="n">
        <v>187.2</v>
      </c>
      <c r="H250" s="155"/>
      <c r="I250" s="155"/>
      <c r="J250" s="155"/>
      <c r="K250" s="146"/>
    </row>
    <row r="251">
      <c r="A251" s="9" t="s">
        <v>534</v>
      </c>
      <c r="B251" s="10" t="s">
        <v>84</v>
      </c>
      <c r="C251" s="10" t="s">
        <v>535</v>
      </c>
      <c r="D251" s="14" t="s">
        <v>536</v>
      </c>
      <c r="E251" s="10"/>
      <c r="F251" s="10" t="s">
        <v>229</v>
      </c>
      <c r="G251" s="111">
        <f>'Stavební rozpočet'!G251</f>
      </c>
      <c r="H251" s="111">
        <f>'Stavební rozpočet'!H251</f>
      </c>
      <c r="I251" s="111">
        <f>G251*H251</f>
      </c>
      <c r="J251" s="153" t="s">
        <v>134</v>
      </c>
      <c r="K251" s="146"/>
      <c r="Z251" s="111">
        <f>IF(AQ251="5",BJ251,0)</f>
      </c>
      <c r="AB251" s="111">
        <f>IF(AQ251="1",BH251,0)</f>
      </c>
      <c r="AC251" s="111">
        <f>IF(AQ251="1",BI251,0)</f>
      </c>
      <c r="AD251" s="111">
        <f>IF(AQ251="7",BH251,0)</f>
      </c>
      <c r="AE251" s="111">
        <f>IF(AQ251="7",BI251,0)</f>
      </c>
      <c r="AF251" s="111">
        <f>IF(AQ251="2",BH251,0)</f>
      </c>
      <c r="AG251" s="111">
        <f>IF(AQ251="2",BI251,0)</f>
      </c>
      <c r="AH251" s="111">
        <f>IF(AQ251="0",BJ251,0)</f>
      </c>
      <c r="AI251" s="132" t="s">
        <v>84</v>
      </c>
      <c r="AJ251" s="111">
        <f>IF(AN251=0,I251,0)</f>
      </c>
      <c r="AK251" s="111">
        <f>IF(AN251=12,I251,0)</f>
      </c>
      <c r="AL251" s="111">
        <f>IF(AN251=21,I251,0)</f>
      </c>
      <c r="AN251" s="111" t="n">
        <v>21</v>
      </c>
      <c r="AO251" s="111">
        <f>H251*0.710204208</f>
      </c>
      <c r="AP251" s="111">
        <f>H251*(1-0.710204208)</f>
      </c>
      <c r="AQ251" s="153" t="s">
        <v>130</v>
      </c>
      <c r="AV251" s="111">
        <f>AW251+AX251</f>
      </c>
      <c r="AW251" s="111">
        <f>G251*AO251</f>
      </c>
      <c r="AX251" s="111">
        <f>G251*AP251</f>
      </c>
      <c r="AY251" s="153" t="s">
        <v>528</v>
      </c>
      <c r="AZ251" s="153" t="s">
        <v>399</v>
      </c>
      <c r="BA251" s="132" t="s">
        <v>137</v>
      </c>
      <c r="BC251" s="111">
        <f>AW251+AX251</f>
      </c>
      <c r="BD251" s="111">
        <f>H251/(100-BE251)*100</f>
      </c>
      <c r="BE251" s="111" t="n">
        <v>0</v>
      </c>
      <c r="BF251" s="111">
        <f>251</f>
      </c>
      <c r="BH251" s="111">
        <f>G251*AO251</f>
      </c>
      <c r="BI251" s="111">
        <f>G251*AP251</f>
      </c>
      <c r="BJ251" s="111">
        <f>G251*H251</f>
      </c>
      <c r="BK251" s="111"/>
      <c r="BL251" s="111" t="n">
        <v>33</v>
      </c>
      <c r="BW251" s="111" t="n">
        <v>21</v>
      </c>
      <c r="BX251" s="14" t="s">
        <v>536</v>
      </c>
    </row>
    <row r="252">
      <c r="A252" s="154"/>
      <c r="B252" s="155"/>
      <c r="C252" s="155"/>
      <c r="D252" s="156" t="s">
        <v>537</v>
      </c>
      <c r="E252" s="156" t="s">
        <v>538</v>
      </c>
      <c r="F252" s="155"/>
      <c r="G252" s="157" t="n">
        <v>1.8</v>
      </c>
      <c r="H252" s="155"/>
      <c r="I252" s="155"/>
      <c r="J252" s="155"/>
      <c r="K252" s="146"/>
    </row>
    <row r="253">
      <c r="A253" s="9" t="s">
        <v>539</v>
      </c>
      <c r="B253" s="10" t="s">
        <v>84</v>
      </c>
      <c r="C253" s="10" t="s">
        <v>540</v>
      </c>
      <c r="D253" s="14" t="s">
        <v>541</v>
      </c>
      <c r="E253" s="10"/>
      <c r="F253" s="10" t="s">
        <v>159</v>
      </c>
      <c r="G253" s="111">
        <f>'Stavební rozpočet'!G253</f>
      </c>
      <c r="H253" s="111">
        <f>'Stavební rozpočet'!H253</f>
      </c>
      <c r="I253" s="111">
        <f>G253*H253</f>
      </c>
      <c r="J253" s="153" t="s">
        <v>134</v>
      </c>
      <c r="K253" s="146"/>
      <c r="Z253" s="111">
        <f>IF(AQ253="5",BJ253,0)</f>
      </c>
      <c r="AB253" s="111">
        <f>IF(AQ253="1",BH253,0)</f>
      </c>
      <c r="AC253" s="111">
        <f>IF(AQ253="1",BI253,0)</f>
      </c>
      <c r="AD253" s="111">
        <f>IF(AQ253="7",BH253,0)</f>
      </c>
      <c r="AE253" s="111">
        <f>IF(AQ253="7",BI253,0)</f>
      </c>
      <c r="AF253" s="111">
        <f>IF(AQ253="2",BH253,0)</f>
      </c>
      <c r="AG253" s="111">
        <f>IF(AQ253="2",BI253,0)</f>
      </c>
      <c r="AH253" s="111">
        <f>IF(AQ253="0",BJ253,0)</f>
      </c>
      <c r="AI253" s="132" t="s">
        <v>84</v>
      </c>
      <c r="AJ253" s="111">
        <f>IF(AN253=0,I253,0)</f>
      </c>
      <c r="AK253" s="111">
        <f>IF(AN253=12,I253,0)</f>
      </c>
      <c r="AL253" s="111">
        <f>IF(AN253=21,I253,0)</f>
      </c>
      <c r="AN253" s="111" t="n">
        <v>21</v>
      </c>
      <c r="AO253" s="111">
        <f>H253*0.786302698</f>
      </c>
      <c r="AP253" s="111">
        <f>H253*(1-0.786302698)</f>
      </c>
      <c r="AQ253" s="153" t="s">
        <v>130</v>
      </c>
      <c r="AV253" s="111">
        <f>AW253+AX253</f>
      </c>
      <c r="AW253" s="111">
        <f>G253*AO253</f>
      </c>
      <c r="AX253" s="111">
        <f>G253*AP253</f>
      </c>
      <c r="AY253" s="153" t="s">
        <v>528</v>
      </c>
      <c r="AZ253" s="153" t="s">
        <v>399</v>
      </c>
      <c r="BA253" s="132" t="s">
        <v>137</v>
      </c>
      <c r="BC253" s="111">
        <f>AW253+AX253</f>
      </c>
      <c r="BD253" s="111">
        <f>H253/(100-BE253)*100</f>
      </c>
      <c r="BE253" s="111" t="n">
        <v>0</v>
      </c>
      <c r="BF253" s="111">
        <f>253</f>
      </c>
      <c r="BH253" s="111">
        <f>G253*AO253</f>
      </c>
      <c r="BI253" s="111">
        <f>G253*AP253</f>
      </c>
      <c r="BJ253" s="111">
        <f>G253*H253</f>
      </c>
      <c r="BK253" s="111"/>
      <c r="BL253" s="111" t="n">
        <v>33</v>
      </c>
      <c r="BW253" s="111" t="n">
        <v>21</v>
      </c>
      <c r="BX253" s="14" t="s">
        <v>541</v>
      </c>
    </row>
    <row r="254">
      <c r="A254" s="154"/>
      <c r="B254" s="155"/>
      <c r="C254" s="155"/>
      <c r="D254" s="156" t="s">
        <v>542</v>
      </c>
      <c r="E254" s="156" t="s">
        <v>530</v>
      </c>
      <c r="F254" s="155"/>
      <c r="G254" s="157" t="n">
        <v>14.976</v>
      </c>
      <c r="H254" s="155"/>
      <c r="I254" s="155"/>
      <c r="J254" s="155"/>
      <c r="K254" s="146"/>
    </row>
    <row r="255">
      <c r="A255" s="9" t="s">
        <v>543</v>
      </c>
      <c r="B255" s="10" t="s">
        <v>84</v>
      </c>
      <c r="C255" s="10" t="s">
        <v>544</v>
      </c>
      <c r="D255" s="14" t="s">
        <v>545</v>
      </c>
      <c r="E255" s="10"/>
      <c r="F255" s="10" t="s">
        <v>145</v>
      </c>
      <c r="G255" s="111">
        <f>'Stavební rozpočet'!G255</f>
      </c>
      <c r="H255" s="111">
        <f>'Stavební rozpočet'!H255</f>
      </c>
      <c r="I255" s="111">
        <f>G255*H255</f>
      </c>
      <c r="J255" s="153" t="s">
        <v>134</v>
      </c>
      <c r="K255" s="146"/>
      <c r="Z255" s="111">
        <f>IF(AQ255="5",BJ255,0)</f>
      </c>
      <c r="AB255" s="111">
        <f>IF(AQ255="1",BH255,0)</f>
      </c>
      <c r="AC255" s="111">
        <f>IF(AQ255="1",BI255,0)</f>
      </c>
      <c r="AD255" s="111">
        <f>IF(AQ255="7",BH255,0)</f>
      </c>
      <c r="AE255" s="111">
        <f>IF(AQ255="7",BI255,0)</f>
      </c>
      <c r="AF255" s="111">
        <f>IF(AQ255="2",BH255,0)</f>
      </c>
      <c r="AG255" s="111">
        <f>IF(AQ255="2",BI255,0)</f>
      </c>
      <c r="AH255" s="111">
        <f>IF(AQ255="0",BJ255,0)</f>
      </c>
      <c r="AI255" s="132" t="s">
        <v>84</v>
      </c>
      <c r="AJ255" s="111">
        <f>IF(AN255=0,I255,0)</f>
      </c>
      <c r="AK255" s="111">
        <f>IF(AN255=12,I255,0)</f>
      </c>
      <c r="AL255" s="111">
        <f>IF(AN255=21,I255,0)</f>
      </c>
      <c r="AN255" s="111" t="n">
        <v>21</v>
      </c>
      <c r="AO255" s="111">
        <f>H255*0.093228346</f>
      </c>
      <c r="AP255" s="111">
        <f>H255*(1-0.093228346)</f>
      </c>
      <c r="AQ255" s="153" t="s">
        <v>130</v>
      </c>
      <c r="AV255" s="111">
        <f>AW255+AX255</f>
      </c>
      <c r="AW255" s="111">
        <f>G255*AO255</f>
      </c>
      <c r="AX255" s="111">
        <f>G255*AP255</f>
      </c>
      <c r="AY255" s="153" t="s">
        <v>528</v>
      </c>
      <c r="AZ255" s="153" t="s">
        <v>399</v>
      </c>
      <c r="BA255" s="132" t="s">
        <v>137</v>
      </c>
      <c r="BC255" s="111">
        <f>AW255+AX255</f>
      </c>
      <c r="BD255" s="111">
        <f>H255/(100-BE255)*100</f>
      </c>
      <c r="BE255" s="111" t="n">
        <v>0</v>
      </c>
      <c r="BF255" s="111">
        <f>255</f>
      </c>
      <c r="BH255" s="111">
        <f>G255*AO255</f>
      </c>
      <c r="BI255" s="111">
        <f>G255*AP255</f>
      </c>
      <c r="BJ255" s="111">
        <f>G255*H255</f>
      </c>
      <c r="BK255" s="111"/>
      <c r="BL255" s="111" t="n">
        <v>33</v>
      </c>
      <c r="BW255" s="111" t="n">
        <v>21</v>
      </c>
      <c r="BX255" s="14" t="s">
        <v>545</v>
      </c>
    </row>
    <row r="256">
      <c r="A256" s="154"/>
      <c r="B256" s="155"/>
      <c r="C256" s="155"/>
      <c r="D256" s="156" t="s">
        <v>529</v>
      </c>
      <c r="E256" s="156" t="s">
        <v>530</v>
      </c>
      <c r="F256" s="155"/>
      <c r="G256" s="157" t="n">
        <v>187.2</v>
      </c>
      <c r="H256" s="155"/>
      <c r="I256" s="155"/>
      <c r="J256" s="155"/>
      <c r="K256" s="146"/>
    </row>
    <row r="257">
      <c r="A257" s="9" t="s">
        <v>546</v>
      </c>
      <c r="B257" s="10" t="s">
        <v>84</v>
      </c>
      <c r="C257" s="10" t="s">
        <v>547</v>
      </c>
      <c r="D257" s="14" t="s">
        <v>548</v>
      </c>
      <c r="E257" s="10"/>
      <c r="F257" s="10" t="s">
        <v>145</v>
      </c>
      <c r="G257" s="111">
        <f>'Stavební rozpočet'!G257</f>
      </c>
      <c r="H257" s="111">
        <f>'Stavební rozpočet'!H257</f>
      </c>
      <c r="I257" s="111">
        <f>G257*H257</f>
      </c>
      <c r="J257" s="153" t="s">
        <v>134</v>
      </c>
      <c r="K257" s="146"/>
      <c r="Z257" s="111">
        <f>IF(AQ257="5",BJ257,0)</f>
      </c>
      <c r="AB257" s="111">
        <f>IF(AQ257="1",BH257,0)</f>
      </c>
      <c r="AC257" s="111">
        <f>IF(AQ257="1",BI257,0)</f>
      </c>
      <c r="AD257" s="111">
        <f>IF(AQ257="7",BH257,0)</f>
      </c>
      <c r="AE257" s="111">
        <f>IF(AQ257="7",BI257,0)</f>
      </c>
      <c r="AF257" s="111">
        <f>IF(AQ257="2",BH257,0)</f>
      </c>
      <c r="AG257" s="111">
        <f>IF(AQ257="2",BI257,0)</f>
      </c>
      <c r="AH257" s="111">
        <f>IF(AQ257="0",BJ257,0)</f>
      </c>
      <c r="AI257" s="132" t="s">
        <v>84</v>
      </c>
      <c r="AJ257" s="111">
        <f>IF(AN257=0,I257,0)</f>
      </c>
      <c r="AK257" s="111">
        <f>IF(AN257=12,I257,0)</f>
      </c>
      <c r="AL257" s="111">
        <f>IF(AN257=21,I257,0)</f>
      </c>
      <c r="AN257" s="111" t="n">
        <v>21</v>
      </c>
      <c r="AO257" s="111">
        <f>H257*0.037262457</f>
      </c>
      <c r="AP257" s="111">
        <f>H257*(1-0.037262457)</f>
      </c>
      <c r="AQ257" s="153" t="s">
        <v>130</v>
      </c>
      <c r="AV257" s="111">
        <f>AW257+AX257</f>
      </c>
      <c r="AW257" s="111">
        <f>G257*AO257</f>
      </c>
      <c r="AX257" s="111">
        <f>G257*AP257</f>
      </c>
      <c r="AY257" s="153" t="s">
        <v>528</v>
      </c>
      <c r="AZ257" s="153" t="s">
        <v>399</v>
      </c>
      <c r="BA257" s="132" t="s">
        <v>137</v>
      </c>
      <c r="BC257" s="111">
        <f>AW257+AX257</f>
      </c>
      <c r="BD257" s="111">
        <f>H257/(100-BE257)*100</f>
      </c>
      <c r="BE257" s="111" t="n">
        <v>0</v>
      </c>
      <c r="BF257" s="111">
        <f>257</f>
      </c>
      <c r="BH257" s="111">
        <f>G257*AO257</f>
      </c>
      <c r="BI257" s="111">
        <f>G257*AP257</f>
      </c>
      <c r="BJ257" s="111">
        <f>G257*H257</f>
      </c>
      <c r="BK257" s="111"/>
      <c r="BL257" s="111" t="n">
        <v>33</v>
      </c>
      <c r="BW257" s="111" t="n">
        <v>21</v>
      </c>
      <c r="BX257" s="14" t="s">
        <v>548</v>
      </c>
    </row>
    <row r="258">
      <c r="A258" s="154"/>
      <c r="B258" s="155"/>
      <c r="C258" s="155"/>
      <c r="D258" s="156" t="s">
        <v>529</v>
      </c>
      <c r="E258" s="156" t="s">
        <v>530</v>
      </c>
      <c r="F258" s="155"/>
      <c r="G258" s="157" t="n">
        <v>187.2</v>
      </c>
      <c r="H258" s="155"/>
      <c r="I258" s="155"/>
      <c r="J258" s="155"/>
      <c r="K258" s="146"/>
    </row>
    <row r="259">
      <c r="A259" s="9" t="s">
        <v>549</v>
      </c>
      <c r="B259" s="10" t="s">
        <v>84</v>
      </c>
      <c r="C259" s="10" t="s">
        <v>550</v>
      </c>
      <c r="D259" s="14" t="s">
        <v>551</v>
      </c>
      <c r="E259" s="10"/>
      <c r="F259" s="10" t="s">
        <v>282</v>
      </c>
      <c r="G259" s="111">
        <f>'Stavební rozpočet'!G259</f>
      </c>
      <c r="H259" s="111">
        <f>'Stavební rozpočet'!H259</f>
      </c>
      <c r="I259" s="111">
        <f>G259*H259</f>
      </c>
      <c r="J259" s="153" t="s">
        <v>134</v>
      </c>
      <c r="K259" s="146"/>
      <c r="Z259" s="111">
        <f>IF(AQ259="5",BJ259,0)</f>
      </c>
      <c r="AB259" s="111">
        <f>IF(AQ259="1",BH259,0)</f>
      </c>
      <c r="AC259" s="111">
        <f>IF(AQ259="1",BI259,0)</f>
      </c>
      <c r="AD259" s="111">
        <f>IF(AQ259="7",BH259,0)</f>
      </c>
      <c r="AE259" s="111">
        <f>IF(AQ259="7",BI259,0)</f>
      </c>
      <c r="AF259" s="111">
        <f>IF(AQ259="2",BH259,0)</f>
      </c>
      <c r="AG259" s="111">
        <f>IF(AQ259="2",BI259,0)</f>
      </c>
      <c r="AH259" s="111">
        <f>IF(AQ259="0",BJ259,0)</f>
      </c>
      <c r="AI259" s="132" t="s">
        <v>84</v>
      </c>
      <c r="AJ259" s="111">
        <f>IF(AN259=0,I259,0)</f>
      </c>
      <c r="AK259" s="111">
        <f>IF(AN259=12,I259,0)</f>
      </c>
      <c r="AL259" s="111">
        <f>IF(AN259=21,I259,0)</f>
      </c>
      <c r="AN259" s="111" t="n">
        <v>21</v>
      </c>
      <c r="AO259" s="111">
        <f>H259*0.314730219</f>
      </c>
      <c r="AP259" s="111">
        <f>H259*(1-0.314730219)</f>
      </c>
      <c r="AQ259" s="153" t="s">
        <v>130</v>
      </c>
      <c r="AV259" s="111">
        <f>AW259+AX259</f>
      </c>
      <c r="AW259" s="111">
        <f>G259*AO259</f>
      </c>
      <c r="AX259" s="111">
        <f>G259*AP259</f>
      </c>
      <c r="AY259" s="153" t="s">
        <v>528</v>
      </c>
      <c r="AZ259" s="153" t="s">
        <v>399</v>
      </c>
      <c r="BA259" s="132" t="s">
        <v>137</v>
      </c>
      <c r="BC259" s="111">
        <f>AW259+AX259</f>
      </c>
      <c r="BD259" s="111">
        <f>H259/(100-BE259)*100</f>
      </c>
      <c r="BE259" s="111" t="n">
        <v>0</v>
      </c>
      <c r="BF259" s="111">
        <f>259</f>
      </c>
      <c r="BH259" s="111">
        <f>G259*AO259</f>
      </c>
      <c r="BI259" s="111">
        <f>G259*AP259</f>
      </c>
      <c r="BJ259" s="111">
        <f>G259*H259</f>
      </c>
      <c r="BK259" s="111"/>
      <c r="BL259" s="111" t="n">
        <v>33</v>
      </c>
      <c r="BW259" s="111" t="n">
        <v>21</v>
      </c>
      <c r="BX259" s="14" t="s">
        <v>551</v>
      </c>
    </row>
    <row r="260" customHeight="true" ht="13.5">
      <c r="A260" s="159"/>
      <c r="C260" s="160" t="s">
        <v>146</v>
      </c>
      <c r="D260" s="161" t="s">
        <v>552</v>
      </c>
      <c r="E260" s="156"/>
      <c r="F260" s="156"/>
      <c r="G260" s="156"/>
      <c r="H260" s="156"/>
      <c r="I260" s="156"/>
      <c r="J260" s="156"/>
      <c r="K260" s="163"/>
    </row>
    <row r="261">
      <c r="A261" s="154"/>
      <c r="B261" s="155"/>
      <c r="C261" s="155"/>
      <c r="D261" s="156" t="s">
        <v>553</v>
      </c>
      <c r="E261" s="156" t="s">
        <v>554</v>
      </c>
      <c r="F261" s="155"/>
      <c r="G261" s="157" t="n">
        <v>67.2</v>
      </c>
      <c r="H261" s="155"/>
      <c r="I261" s="155"/>
      <c r="J261" s="155"/>
      <c r="K261" s="146"/>
    </row>
    <row r="262">
      <c r="A262" s="147" t="s">
        <v>4</v>
      </c>
      <c r="B262" s="148" t="s">
        <v>84</v>
      </c>
      <c r="C262" s="148" t="s">
        <v>366</v>
      </c>
      <c r="D262" s="149" t="s">
        <v>555</v>
      </c>
      <c r="E262" s="148"/>
      <c r="F262" s="150" t="s">
        <v>79</v>
      </c>
      <c r="G262" s="150" t="s">
        <v>79</v>
      </c>
      <c r="H262" s="150" t="s">
        <v>79</v>
      </c>
      <c r="I262" s="117">
        <f>SUM(I263:I359)</f>
      </c>
      <c r="J262" s="132" t="s">
        <v>4</v>
      </c>
      <c r="K262" s="146"/>
      <c r="AI262" s="132" t="s">
        <v>84</v>
      </c>
      <c r="AS262" s="117">
        <f>SUM(AJ263:AJ359)</f>
      </c>
      <c r="AT262" s="117">
        <f>SUM(AK263:AK359)</f>
      </c>
      <c r="AU262" s="117">
        <f>SUM(AL263:AL359)</f>
      </c>
    </row>
    <row r="263">
      <c r="A263" s="9" t="s">
        <v>556</v>
      </c>
      <c r="B263" s="10" t="s">
        <v>84</v>
      </c>
      <c r="C263" s="10" t="s">
        <v>557</v>
      </c>
      <c r="D263" s="14" t="s">
        <v>558</v>
      </c>
      <c r="E263" s="10"/>
      <c r="F263" s="10" t="s">
        <v>145</v>
      </c>
      <c r="G263" s="111">
        <f>'Stavební rozpočet'!G263</f>
      </c>
      <c r="H263" s="111">
        <f>'Stavební rozpočet'!H263</f>
      </c>
      <c r="I263" s="111">
        <f>G263*H263</f>
      </c>
      <c r="J263" s="153" t="s">
        <v>134</v>
      </c>
      <c r="K263" s="146"/>
      <c r="Z263" s="111">
        <f>IF(AQ263="5",BJ263,0)</f>
      </c>
      <c r="AB263" s="111">
        <f>IF(AQ263="1",BH263,0)</f>
      </c>
      <c r="AC263" s="111">
        <f>IF(AQ263="1",BI263,0)</f>
      </c>
      <c r="AD263" s="111">
        <f>IF(AQ263="7",BH263,0)</f>
      </c>
      <c r="AE263" s="111">
        <f>IF(AQ263="7",BI263,0)</f>
      </c>
      <c r="AF263" s="111">
        <f>IF(AQ263="2",BH263,0)</f>
      </c>
      <c r="AG263" s="111">
        <f>IF(AQ263="2",BI263,0)</f>
      </c>
      <c r="AH263" s="111">
        <f>IF(AQ263="0",BJ263,0)</f>
      </c>
      <c r="AI263" s="132" t="s">
        <v>84</v>
      </c>
      <c r="AJ263" s="111">
        <f>IF(AN263=0,I263,0)</f>
      </c>
      <c r="AK263" s="111">
        <f>IF(AN263=12,I263,0)</f>
      </c>
      <c r="AL263" s="111">
        <f>IF(AN263=21,I263,0)</f>
      </c>
      <c r="AN263" s="111" t="n">
        <v>21</v>
      </c>
      <c r="AO263" s="111">
        <f>H263*0.790117755</f>
      </c>
      <c r="AP263" s="111">
        <f>H263*(1-0.790117755)</f>
      </c>
      <c r="AQ263" s="153" t="s">
        <v>130</v>
      </c>
      <c r="AV263" s="111">
        <f>AW263+AX263</f>
      </c>
      <c r="AW263" s="111">
        <f>G263*AO263</f>
      </c>
      <c r="AX263" s="111">
        <f>G263*AP263</f>
      </c>
      <c r="AY263" s="153" t="s">
        <v>559</v>
      </c>
      <c r="AZ263" s="153" t="s">
        <v>399</v>
      </c>
      <c r="BA263" s="132" t="s">
        <v>137</v>
      </c>
      <c r="BC263" s="111">
        <f>AW263+AX263</f>
      </c>
      <c r="BD263" s="111">
        <f>H263/(100-BE263)*100</f>
      </c>
      <c r="BE263" s="111" t="n">
        <v>0</v>
      </c>
      <c r="BF263" s="111">
        <f>263</f>
      </c>
      <c r="BH263" s="111">
        <f>G263*AO263</f>
      </c>
      <c r="BI263" s="111">
        <f>G263*AP263</f>
      </c>
      <c r="BJ263" s="111">
        <f>G263*H263</f>
      </c>
      <c r="BK263" s="111"/>
      <c r="BL263" s="111" t="n">
        <v>34</v>
      </c>
      <c r="BW263" s="111" t="n">
        <v>21</v>
      </c>
      <c r="BX263" s="14" t="s">
        <v>558</v>
      </c>
    </row>
    <row r="264" customHeight="true" ht="13.5">
      <c r="A264" s="159"/>
      <c r="C264" s="160" t="s">
        <v>146</v>
      </c>
      <c r="D264" s="161" t="s">
        <v>560</v>
      </c>
      <c r="E264" s="156"/>
      <c r="F264" s="156"/>
      <c r="G264" s="156"/>
      <c r="H264" s="156"/>
      <c r="I264" s="156"/>
      <c r="J264" s="156"/>
      <c r="K264" s="163"/>
    </row>
    <row r="265">
      <c r="A265" s="154"/>
      <c r="B265" s="155"/>
      <c r="C265" s="155"/>
      <c r="D265" s="156" t="s">
        <v>561</v>
      </c>
      <c r="E265" s="156" t="s">
        <v>562</v>
      </c>
      <c r="F265" s="155"/>
      <c r="G265" s="157" t="n">
        <v>11.2575</v>
      </c>
      <c r="H265" s="155"/>
      <c r="I265" s="155"/>
      <c r="J265" s="155"/>
      <c r="K265" s="146"/>
    </row>
    <row r="266">
      <c r="A266" s="154"/>
      <c r="B266" s="155"/>
      <c r="C266" s="155"/>
      <c r="D266" s="156" t="s">
        <v>563</v>
      </c>
      <c r="E266" s="156" t="s">
        <v>564</v>
      </c>
      <c r="F266" s="155"/>
      <c r="G266" s="157" t="n">
        <v>29.794</v>
      </c>
      <c r="H266" s="155"/>
      <c r="I266" s="155"/>
      <c r="J266" s="155"/>
      <c r="K266" s="146"/>
    </row>
    <row r="267">
      <c r="A267" s="154"/>
      <c r="B267" s="155"/>
      <c r="C267" s="155"/>
      <c r="D267" s="156" t="s">
        <v>565</v>
      </c>
      <c r="E267" s="156" t="s">
        <v>566</v>
      </c>
      <c r="F267" s="155"/>
      <c r="G267" s="157" t="n">
        <v>5.415</v>
      </c>
      <c r="H267" s="155"/>
      <c r="I267" s="155"/>
      <c r="J267" s="155"/>
      <c r="K267" s="146"/>
    </row>
    <row r="268">
      <c r="A268" s="154"/>
      <c r="B268" s="155"/>
      <c r="C268" s="155"/>
      <c r="D268" s="156" t="s">
        <v>567</v>
      </c>
      <c r="E268" s="156" t="s">
        <v>425</v>
      </c>
      <c r="F268" s="155"/>
      <c r="G268" s="157" t="n">
        <v>35.597</v>
      </c>
      <c r="H268" s="155"/>
      <c r="I268" s="155"/>
      <c r="J268" s="155"/>
      <c r="K268" s="146"/>
    </row>
    <row r="269">
      <c r="A269" s="9" t="s">
        <v>568</v>
      </c>
      <c r="B269" s="10" t="s">
        <v>84</v>
      </c>
      <c r="C269" s="10" t="s">
        <v>569</v>
      </c>
      <c r="D269" s="14" t="s">
        <v>570</v>
      </c>
      <c r="E269" s="10"/>
      <c r="F269" s="10" t="s">
        <v>145</v>
      </c>
      <c r="G269" s="111">
        <f>'Stavební rozpočet'!G269</f>
      </c>
      <c r="H269" s="111">
        <f>'Stavební rozpočet'!H269</f>
      </c>
      <c r="I269" s="111">
        <f>G269*H269</f>
      </c>
      <c r="J269" s="153" t="s">
        <v>134</v>
      </c>
      <c r="K269" s="146"/>
      <c r="Z269" s="111">
        <f>IF(AQ269="5",BJ269,0)</f>
      </c>
      <c r="AB269" s="111">
        <f>IF(AQ269="1",BH269,0)</f>
      </c>
      <c r="AC269" s="111">
        <f>IF(AQ269="1",BI269,0)</f>
      </c>
      <c r="AD269" s="111">
        <f>IF(AQ269="7",BH269,0)</f>
      </c>
      <c r="AE269" s="111">
        <f>IF(AQ269="7",BI269,0)</f>
      </c>
      <c r="AF269" s="111">
        <f>IF(AQ269="2",BH269,0)</f>
      </c>
      <c r="AG269" s="111">
        <f>IF(AQ269="2",BI269,0)</f>
      </c>
      <c r="AH269" s="111">
        <f>IF(AQ269="0",BJ269,0)</f>
      </c>
      <c r="AI269" s="132" t="s">
        <v>84</v>
      </c>
      <c r="AJ269" s="111">
        <f>IF(AN269=0,I269,0)</f>
      </c>
      <c r="AK269" s="111">
        <f>IF(AN269=12,I269,0)</f>
      </c>
      <c r="AL269" s="111">
        <f>IF(AN269=21,I269,0)</f>
      </c>
      <c r="AN269" s="111" t="n">
        <v>21</v>
      </c>
      <c r="AO269" s="111">
        <f>H269*0.718080913</f>
      </c>
      <c r="AP269" s="111">
        <f>H269*(1-0.718080913)</f>
      </c>
      <c r="AQ269" s="153" t="s">
        <v>130</v>
      </c>
      <c r="AV269" s="111">
        <f>AW269+AX269</f>
      </c>
      <c r="AW269" s="111">
        <f>G269*AO269</f>
      </c>
      <c r="AX269" s="111">
        <f>G269*AP269</f>
      </c>
      <c r="AY269" s="153" t="s">
        <v>559</v>
      </c>
      <c r="AZ269" s="153" t="s">
        <v>399</v>
      </c>
      <c r="BA269" s="132" t="s">
        <v>137</v>
      </c>
      <c r="BC269" s="111">
        <f>AW269+AX269</f>
      </c>
      <c r="BD269" s="111">
        <f>H269/(100-BE269)*100</f>
      </c>
      <c r="BE269" s="111" t="n">
        <v>0</v>
      </c>
      <c r="BF269" s="111">
        <f>269</f>
      </c>
      <c r="BH269" s="111">
        <f>G269*AO269</f>
      </c>
      <c r="BI269" s="111">
        <f>G269*AP269</f>
      </c>
      <c r="BJ269" s="111">
        <f>G269*H269</f>
      </c>
      <c r="BK269" s="111"/>
      <c r="BL269" s="111" t="n">
        <v>34</v>
      </c>
      <c r="BW269" s="111" t="n">
        <v>21</v>
      </c>
      <c r="BX269" s="14" t="s">
        <v>570</v>
      </c>
    </row>
    <row r="270">
      <c r="A270" s="154"/>
      <c r="B270" s="155"/>
      <c r="C270" s="155"/>
      <c r="D270" s="156" t="s">
        <v>571</v>
      </c>
      <c r="E270" s="156" t="s">
        <v>572</v>
      </c>
      <c r="F270" s="155"/>
      <c r="G270" s="157" t="n">
        <v>24.8295</v>
      </c>
      <c r="H270" s="155"/>
      <c r="I270" s="155"/>
      <c r="J270" s="155"/>
      <c r="K270" s="146"/>
    </row>
    <row r="271">
      <c r="A271" s="154"/>
      <c r="B271" s="155"/>
      <c r="C271" s="155"/>
      <c r="D271" s="156" t="s">
        <v>573</v>
      </c>
      <c r="E271" s="156" t="s">
        <v>574</v>
      </c>
      <c r="F271" s="155"/>
      <c r="G271" s="157" t="n">
        <v>29.801</v>
      </c>
      <c r="H271" s="155"/>
      <c r="I271" s="155"/>
      <c r="J271" s="155"/>
      <c r="K271" s="146"/>
    </row>
    <row r="272">
      <c r="A272" s="154"/>
      <c r="B272" s="155"/>
      <c r="C272" s="155"/>
      <c r="D272" s="156" t="s">
        <v>575</v>
      </c>
      <c r="E272" s="156" t="s">
        <v>425</v>
      </c>
      <c r="F272" s="155"/>
      <c r="G272" s="157" t="n">
        <v>7.047</v>
      </c>
      <c r="H272" s="155"/>
      <c r="I272" s="155"/>
      <c r="J272" s="155"/>
      <c r="K272" s="146"/>
    </row>
    <row r="273">
      <c r="A273" s="9" t="s">
        <v>576</v>
      </c>
      <c r="B273" s="10" t="s">
        <v>84</v>
      </c>
      <c r="C273" s="10" t="s">
        <v>495</v>
      </c>
      <c r="D273" s="14" t="s">
        <v>577</v>
      </c>
      <c r="E273" s="10"/>
      <c r="F273" s="10" t="s">
        <v>282</v>
      </c>
      <c r="G273" s="111">
        <f>'Stavební rozpočet'!G273</f>
      </c>
      <c r="H273" s="111">
        <f>'Stavební rozpočet'!H273</f>
      </c>
      <c r="I273" s="111">
        <f>G273*H273</f>
      </c>
      <c r="J273" s="153" t="s">
        <v>134</v>
      </c>
      <c r="K273" s="146"/>
      <c r="Z273" s="111">
        <f>IF(AQ273="5",BJ273,0)</f>
      </c>
      <c r="AB273" s="111">
        <f>IF(AQ273="1",BH273,0)</f>
      </c>
      <c r="AC273" s="111">
        <f>IF(AQ273="1",BI273,0)</f>
      </c>
      <c r="AD273" s="111">
        <f>IF(AQ273="7",BH273,0)</f>
      </c>
      <c r="AE273" s="111">
        <f>IF(AQ273="7",BI273,0)</f>
      </c>
      <c r="AF273" s="111">
        <f>IF(AQ273="2",BH273,0)</f>
      </c>
      <c r="AG273" s="111">
        <f>IF(AQ273="2",BI273,0)</f>
      </c>
      <c r="AH273" s="111">
        <f>IF(AQ273="0",BJ273,0)</f>
      </c>
      <c r="AI273" s="132" t="s">
        <v>84</v>
      </c>
      <c r="AJ273" s="111">
        <f>IF(AN273=0,I273,0)</f>
      </c>
      <c r="AK273" s="111">
        <f>IF(AN273=12,I273,0)</f>
      </c>
      <c r="AL273" s="111">
        <f>IF(AN273=21,I273,0)</f>
      </c>
      <c r="AN273" s="111" t="n">
        <v>21</v>
      </c>
      <c r="AO273" s="111">
        <f>H273*0.214774194</f>
      </c>
      <c r="AP273" s="111">
        <f>H273*(1-0.214774194)</f>
      </c>
      <c r="AQ273" s="153" t="s">
        <v>130</v>
      </c>
      <c r="AV273" s="111">
        <f>AW273+AX273</f>
      </c>
      <c r="AW273" s="111">
        <f>G273*AO273</f>
      </c>
      <c r="AX273" s="111">
        <f>G273*AP273</f>
      </c>
      <c r="AY273" s="153" t="s">
        <v>559</v>
      </c>
      <c r="AZ273" s="153" t="s">
        <v>399</v>
      </c>
      <c r="BA273" s="132" t="s">
        <v>137</v>
      </c>
      <c r="BC273" s="111">
        <f>AW273+AX273</f>
      </c>
      <c r="BD273" s="111">
        <f>H273/(100-BE273)*100</f>
      </c>
      <c r="BE273" s="111" t="n">
        <v>0</v>
      </c>
      <c r="BF273" s="111">
        <f>273</f>
      </c>
      <c r="BH273" s="111">
        <f>G273*AO273</f>
      </c>
      <c r="BI273" s="111">
        <f>G273*AP273</f>
      </c>
      <c r="BJ273" s="111">
        <f>G273*H273</f>
      </c>
      <c r="BK273" s="111"/>
      <c r="BL273" s="111" t="n">
        <v>34</v>
      </c>
      <c r="BW273" s="111" t="n">
        <v>21</v>
      </c>
      <c r="BX273" s="14" t="s">
        <v>577</v>
      </c>
    </row>
    <row r="274">
      <c r="A274" s="154"/>
      <c r="B274" s="155"/>
      <c r="C274" s="155"/>
      <c r="D274" s="156" t="s">
        <v>578</v>
      </c>
      <c r="E274" s="156" t="s">
        <v>421</v>
      </c>
      <c r="F274" s="155"/>
      <c r="G274" s="157" t="n">
        <v>62.7</v>
      </c>
      <c r="H274" s="155"/>
      <c r="I274" s="155"/>
      <c r="J274" s="155"/>
      <c r="K274" s="146"/>
    </row>
    <row r="275">
      <c r="A275" s="154"/>
      <c r="B275" s="155"/>
      <c r="C275" s="155"/>
      <c r="D275" s="156" t="s">
        <v>449</v>
      </c>
      <c r="E275" s="156" t="s">
        <v>425</v>
      </c>
      <c r="F275" s="155"/>
      <c r="G275" s="157" t="n">
        <v>29.6</v>
      </c>
      <c r="H275" s="155"/>
      <c r="I275" s="155"/>
      <c r="J275" s="155"/>
      <c r="K275" s="146"/>
    </row>
    <row r="276">
      <c r="A276" s="154"/>
      <c r="B276" s="155"/>
      <c r="C276" s="155"/>
      <c r="D276" s="156" t="s">
        <v>579</v>
      </c>
      <c r="E276" s="156" t="s">
        <v>580</v>
      </c>
      <c r="F276" s="155"/>
      <c r="G276" s="157" t="n">
        <v>13.68</v>
      </c>
      <c r="H276" s="155"/>
      <c r="I276" s="155"/>
      <c r="J276" s="155"/>
      <c r="K276" s="146"/>
    </row>
    <row r="277">
      <c r="A277" s="9" t="s">
        <v>581</v>
      </c>
      <c r="B277" s="10" t="s">
        <v>84</v>
      </c>
      <c r="C277" s="10" t="s">
        <v>582</v>
      </c>
      <c r="D277" s="14" t="s">
        <v>583</v>
      </c>
      <c r="E277" s="10"/>
      <c r="F277" s="10" t="s">
        <v>145</v>
      </c>
      <c r="G277" s="111">
        <f>'Stavební rozpočet'!G277</f>
      </c>
      <c r="H277" s="111">
        <f>'Stavební rozpočet'!H277</f>
      </c>
      <c r="I277" s="111">
        <f>G277*H277</f>
      </c>
      <c r="J277" s="153" t="s">
        <v>134</v>
      </c>
      <c r="K277" s="146"/>
      <c r="Z277" s="111">
        <f>IF(AQ277="5",BJ277,0)</f>
      </c>
      <c r="AB277" s="111">
        <f>IF(AQ277="1",BH277,0)</f>
      </c>
      <c r="AC277" s="111">
        <f>IF(AQ277="1",BI277,0)</f>
      </c>
      <c r="AD277" s="111">
        <f>IF(AQ277="7",BH277,0)</f>
      </c>
      <c r="AE277" s="111">
        <f>IF(AQ277="7",BI277,0)</f>
      </c>
      <c r="AF277" s="111">
        <f>IF(AQ277="2",BH277,0)</f>
      </c>
      <c r="AG277" s="111">
        <f>IF(AQ277="2",BI277,0)</f>
      </c>
      <c r="AH277" s="111">
        <f>IF(AQ277="0",BJ277,0)</f>
      </c>
      <c r="AI277" s="132" t="s">
        <v>84</v>
      </c>
      <c r="AJ277" s="111">
        <f>IF(AN277=0,I277,0)</f>
      </c>
      <c r="AK277" s="111">
        <f>IF(AN277=12,I277,0)</f>
      </c>
      <c r="AL277" s="111">
        <f>IF(AN277=21,I277,0)</f>
      </c>
      <c r="AN277" s="111" t="n">
        <v>21</v>
      </c>
      <c r="AO277" s="111">
        <f>H277*0.571257334</f>
      </c>
      <c r="AP277" s="111">
        <f>H277*(1-0.571257334)</f>
      </c>
      <c r="AQ277" s="153" t="s">
        <v>130</v>
      </c>
      <c r="AV277" s="111">
        <f>AW277+AX277</f>
      </c>
      <c r="AW277" s="111">
        <f>G277*AO277</f>
      </c>
      <c r="AX277" s="111">
        <f>G277*AP277</f>
      </c>
      <c r="AY277" s="153" t="s">
        <v>559</v>
      </c>
      <c r="AZ277" s="153" t="s">
        <v>399</v>
      </c>
      <c r="BA277" s="132" t="s">
        <v>137</v>
      </c>
      <c r="BC277" s="111">
        <f>AW277+AX277</f>
      </c>
      <c r="BD277" s="111">
        <f>H277/(100-BE277)*100</f>
      </c>
      <c r="BE277" s="111" t="n">
        <v>0</v>
      </c>
      <c r="BF277" s="111">
        <f>277</f>
      </c>
      <c r="BH277" s="111">
        <f>G277*AO277</f>
      </c>
      <c r="BI277" s="111">
        <f>G277*AP277</f>
      </c>
      <c r="BJ277" s="111">
        <f>G277*H277</f>
      </c>
      <c r="BK277" s="111"/>
      <c r="BL277" s="111" t="n">
        <v>34</v>
      </c>
      <c r="BW277" s="111" t="n">
        <v>21</v>
      </c>
      <c r="BX277" s="14" t="s">
        <v>583</v>
      </c>
    </row>
    <row r="278" customHeight="true" ht="13.5">
      <c r="A278" s="159"/>
      <c r="C278" s="160" t="s">
        <v>146</v>
      </c>
      <c r="D278" s="161" t="s">
        <v>584</v>
      </c>
      <c r="E278" s="156"/>
      <c r="F278" s="156"/>
      <c r="G278" s="156"/>
      <c r="H278" s="156"/>
      <c r="I278" s="156"/>
      <c r="J278" s="156"/>
      <c r="K278" s="163"/>
    </row>
    <row r="279">
      <c r="A279" s="154"/>
      <c r="B279" s="155"/>
      <c r="C279" s="155"/>
      <c r="D279" s="156" t="s">
        <v>585</v>
      </c>
      <c r="E279" s="156" t="s">
        <v>586</v>
      </c>
      <c r="F279" s="155"/>
      <c r="G279" s="157" t="n">
        <v>3</v>
      </c>
      <c r="H279" s="155"/>
      <c r="I279" s="155"/>
      <c r="J279" s="155"/>
      <c r="K279" s="146"/>
    </row>
    <row r="280">
      <c r="A280" s="154"/>
      <c r="B280" s="155"/>
      <c r="C280" s="155"/>
      <c r="D280" s="156" t="s">
        <v>587</v>
      </c>
      <c r="E280" s="156" t="s">
        <v>588</v>
      </c>
      <c r="F280" s="155"/>
      <c r="G280" s="157" t="n">
        <v>3.06</v>
      </c>
      <c r="H280" s="155"/>
      <c r="I280" s="155"/>
      <c r="J280" s="155"/>
      <c r="K280" s="146"/>
    </row>
    <row r="281">
      <c r="A281" s="9" t="s">
        <v>589</v>
      </c>
      <c r="B281" s="10" t="s">
        <v>84</v>
      </c>
      <c r="C281" s="10" t="s">
        <v>590</v>
      </c>
      <c r="D281" s="14" t="s">
        <v>591</v>
      </c>
      <c r="E281" s="10"/>
      <c r="F281" s="10" t="s">
        <v>145</v>
      </c>
      <c r="G281" s="111">
        <f>'Stavební rozpočet'!G281</f>
      </c>
      <c r="H281" s="111">
        <f>'Stavební rozpočet'!H281</f>
      </c>
      <c r="I281" s="111">
        <f>G281*H281</f>
      </c>
      <c r="J281" s="153" t="s">
        <v>134</v>
      </c>
      <c r="K281" s="146"/>
      <c r="Z281" s="111">
        <f>IF(AQ281="5",BJ281,0)</f>
      </c>
      <c r="AB281" s="111">
        <f>IF(AQ281="1",BH281,0)</f>
      </c>
      <c r="AC281" s="111">
        <f>IF(AQ281="1",BI281,0)</f>
      </c>
      <c r="AD281" s="111">
        <f>IF(AQ281="7",BH281,0)</f>
      </c>
      <c r="AE281" s="111">
        <f>IF(AQ281="7",BI281,0)</f>
      </c>
      <c r="AF281" s="111">
        <f>IF(AQ281="2",BH281,0)</f>
      </c>
      <c r="AG281" s="111">
        <f>IF(AQ281="2",BI281,0)</f>
      </c>
      <c r="AH281" s="111">
        <f>IF(AQ281="0",BJ281,0)</f>
      </c>
      <c r="AI281" s="132" t="s">
        <v>84</v>
      </c>
      <c r="AJ281" s="111">
        <f>IF(AN281=0,I281,0)</f>
      </c>
      <c r="AK281" s="111">
        <f>IF(AN281=12,I281,0)</f>
      </c>
      <c r="AL281" s="111">
        <f>IF(AN281=21,I281,0)</f>
      </c>
      <c r="AN281" s="111" t="n">
        <v>21</v>
      </c>
      <c r="AO281" s="111">
        <f>H281*0.499030291</f>
      </c>
      <c r="AP281" s="111">
        <f>H281*(1-0.499030291)</f>
      </c>
      <c r="AQ281" s="153" t="s">
        <v>130</v>
      </c>
      <c r="AV281" s="111">
        <f>AW281+AX281</f>
      </c>
      <c r="AW281" s="111">
        <f>G281*AO281</f>
      </c>
      <c r="AX281" s="111">
        <f>G281*AP281</f>
      </c>
      <c r="AY281" s="153" t="s">
        <v>559</v>
      </c>
      <c r="AZ281" s="153" t="s">
        <v>399</v>
      </c>
      <c r="BA281" s="132" t="s">
        <v>137</v>
      </c>
      <c r="BC281" s="111">
        <f>AW281+AX281</f>
      </c>
      <c r="BD281" s="111">
        <f>H281/(100-BE281)*100</f>
      </c>
      <c r="BE281" s="111" t="n">
        <v>0</v>
      </c>
      <c r="BF281" s="111">
        <f>281</f>
      </c>
      <c r="BH281" s="111">
        <f>G281*AO281</f>
      </c>
      <c r="BI281" s="111">
        <f>G281*AP281</f>
      </c>
      <c r="BJ281" s="111">
        <f>G281*H281</f>
      </c>
      <c r="BK281" s="111"/>
      <c r="BL281" s="111" t="n">
        <v>34</v>
      </c>
      <c r="BW281" s="111" t="n">
        <v>21</v>
      </c>
      <c r="BX281" s="14" t="s">
        <v>591</v>
      </c>
    </row>
    <row r="282" customHeight="true" ht="13.5">
      <c r="A282" s="159"/>
      <c r="C282" s="160" t="s">
        <v>146</v>
      </c>
      <c r="D282" s="161" t="s">
        <v>592</v>
      </c>
      <c r="E282" s="156"/>
      <c r="F282" s="156"/>
      <c r="G282" s="156"/>
      <c r="H282" s="156"/>
      <c r="I282" s="156"/>
      <c r="J282" s="156"/>
      <c r="K282" s="163"/>
    </row>
    <row r="283">
      <c r="A283" s="154"/>
      <c r="B283" s="155"/>
      <c r="C283" s="155"/>
      <c r="D283" s="156" t="s">
        <v>593</v>
      </c>
      <c r="E283" s="156" t="s">
        <v>594</v>
      </c>
      <c r="F283" s="155"/>
      <c r="G283" s="157" t="n">
        <v>13.0375</v>
      </c>
      <c r="H283" s="155"/>
      <c r="I283" s="155"/>
      <c r="J283" s="155"/>
      <c r="K283" s="146"/>
    </row>
    <row r="284">
      <c r="A284" s="154"/>
      <c r="B284" s="155"/>
      <c r="C284" s="155"/>
      <c r="D284" s="156" t="s">
        <v>595</v>
      </c>
      <c r="E284" s="156" t="s">
        <v>596</v>
      </c>
      <c r="F284" s="155"/>
      <c r="G284" s="157" t="n">
        <v>4.07</v>
      </c>
      <c r="H284" s="155"/>
      <c r="I284" s="155"/>
      <c r="J284" s="155"/>
      <c r="K284" s="146"/>
    </row>
    <row r="285">
      <c r="A285" s="9" t="s">
        <v>597</v>
      </c>
      <c r="B285" s="10" t="s">
        <v>84</v>
      </c>
      <c r="C285" s="10" t="s">
        <v>598</v>
      </c>
      <c r="D285" s="14" t="s">
        <v>599</v>
      </c>
      <c r="E285" s="10"/>
      <c r="F285" s="10" t="s">
        <v>282</v>
      </c>
      <c r="G285" s="111">
        <f>'Stavební rozpočet'!G285</f>
      </c>
      <c r="H285" s="111">
        <f>'Stavební rozpočet'!H285</f>
      </c>
      <c r="I285" s="111">
        <f>G285*H285</f>
      </c>
      <c r="J285" s="153" t="s">
        <v>134</v>
      </c>
      <c r="K285" s="146"/>
      <c r="Z285" s="111">
        <f>IF(AQ285="5",BJ285,0)</f>
      </c>
      <c r="AB285" s="111">
        <f>IF(AQ285="1",BH285,0)</f>
      </c>
      <c r="AC285" s="111">
        <f>IF(AQ285="1",BI285,0)</f>
      </c>
      <c r="AD285" s="111">
        <f>IF(AQ285="7",BH285,0)</f>
      </c>
      <c r="AE285" s="111">
        <f>IF(AQ285="7",BI285,0)</f>
      </c>
      <c r="AF285" s="111">
        <f>IF(AQ285="2",BH285,0)</f>
      </c>
      <c r="AG285" s="111">
        <f>IF(AQ285="2",BI285,0)</f>
      </c>
      <c r="AH285" s="111">
        <f>IF(AQ285="0",BJ285,0)</f>
      </c>
      <c r="AI285" s="132" t="s">
        <v>84</v>
      </c>
      <c r="AJ285" s="111">
        <f>IF(AN285=0,I285,0)</f>
      </c>
      <c r="AK285" s="111">
        <f>IF(AN285=12,I285,0)</f>
      </c>
      <c r="AL285" s="111">
        <f>IF(AN285=21,I285,0)</f>
      </c>
      <c r="AN285" s="111" t="n">
        <v>21</v>
      </c>
      <c r="AO285" s="111">
        <f>H285*0.207584149</f>
      </c>
      <c r="AP285" s="111">
        <f>H285*(1-0.207584149)</f>
      </c>
      <c r="AQ285" s="153" t="s">
        <v>130</v>
      </c>
      <c r="AV285" s="111">
        <f>AW285+AX285</f>
      </c>
      <c r="AW285" s="111">
        <f>G285*AO285</f>
      </c>
      <c r="AX285" s="111">
        <f>G285*AP285</f>
      </c>
      <c r="AY285" s="153" t="s">
        <v>559</v>
      </c>
      <c r="AZ285" s="153" t="s">
        <v>399</v>
      </c>
      <c r="BA285" s="132" t="s">
        <v>137</v>
      </c>
      <c r="BC285" s="111">
        <f>AW285+AX285</f>
      </c>
      <c r="BD285" s="111">
        <f>H285/(100-BE285)*100</f>
      </c>
      <c r="BE285" s="111" t="n">
        <v>0</v>
      </c>
      <c r="BF285" s="111">
        <f>285</f>
      </c>
      <c r="BH285" s="111">
        <f>G285*AO285</f>
      </c>
      <c r="BI285" s="111">
        <f>G285*AP285</f>
      </c>
      <c r="BJ285" s="111">
        <f>G285*H285</f>
      </c>
      <c r="BK285" s="111"/>
      <c r="BL285" s="111" t="n">
        <v>34</v>
      </c>
      <c r="BW285" s="111" t="n">
        <v>21</v>
      </c>
      <c r="BX285" s="14" t="s">
        <v>599</v>
      </c>
    </row>
    <row r="286" customHeight="true" ht="13.5">
      <c r="A286" s="159"/>
      <c r="C286" s="160" t="s">
        <v>146</v>
      </c>
      <c r="D286" s="161" t="s">
        <v>600</v>
      </c>
      <c r="E286" s="156"/>
      <c r="F286" s="156"/>
      <c r="G286" s="156"/>
      <c r="H286" s="156"/>
      <c r="I286" s="156"/>
      <c r="J286" s="156"/>
      <c r="K286" s="163"/>
    </row>
    <row r="287">
      <c r="A287" s="154"/>
      <c r="B287" s="155"/>
      <c r="C287" s="155"/>
      <c r="D287" s="156" t="s">
        <v>601</v>
      </c>
      <c r="E287" s="156" t="s">
        <v>602</v>
      </c>
      <c r="F287" s="155"/>
      <c r="G287" s="157" t="n">
        <v>7.4</v>
      </c>
      <c r="H287" s="155"/>
      <c r="I287" s="155"/>
      <c r="J287" s="155"/>
      <c r="K287" s="146"/>
    </row>
    <row r="288">
      <c r="A288" s="154"/>
      <c r="B288" s="155"/>
      <c r="C288" s="155"/>
      <c r="D288" s="156" t="s">
        <v>603</v>
      </c>
      <c r="E288" s="156" t="s">
        <v>604</v>
      </c>
      <c r="F288" s="155"/>
      <c r="G288" s="157" t="n">
        <v>3.775</v>
      </c>
      <c r="H288" s="155"/>
      <c r="I288" s="155"/>
      <c r="J288" s="155"/>
      <c r="K288" s="146"/>
    </row>
    <row r="289">
      <c r="A289" s="154"/>
      <c r="B289" s="155"/>
      <c r="C289" s="155"/>
      <c r="D289" s="156" t="s">
        <v>605</v>
      </c>
      <c r="E289" s="156" t="s">
        <v>606</v>
      </c>
      <c r="F289" s="155"/>
      <c r="G289" s="157" t="n">
        <v>16.16</v>
      </c>
      <c r="H289" s="155"/>
      <c r="I289" s="155"/>
      <c r="J289" s="155"/>
      <c r="K289" s="146"/>
    </row>
    <row r="290">
      <c r="A290" s="9" t="s">
        <v>607</v>
      </c>
      <c r="B290" s="10" t="s">
        <v>84</v>
      </c>
      <c r="C290" s="10" t="s">
        <v>608</v>
      </c>
      <c r="D290" s="14" t="s">
        <v>609</v>
      </c>
      <c r="E290" s="10"/>
      <c r="F290" s="10" t="s">
        <v>282</v>
      </c>
      <c r="G290" s="111">
        <f>'Stavební rozpočet'!G290</f>
      </c>
      <c r="H290" s="111">
        <f>'Stavební rozpočet'!H290</f>
      </c>
      <c r="I290" s="111">
        <f>G290*H290</f>
      </c>
      <c r="J290" s="153" t="s">
        <v>134</v>
      </c>
      <c r="K290" s="146"/>
      <c r="Z290" s="111">
        <f>IF(AQ290="5",BJ290,0)</f>
      </c>
      <c r="AB290" s="111">
        <f>IF(AQ290="1",BH290,0)</f>
      </c>
      <c r="AC290" s="111">
        <f>IF(AQ290="1",BI290,0)</f>
      </c>
      <c r="AD290" s="111">
        <f>IF(AQ290="7",BH290,0)</f>
      </c>
      <c r="AE290" s="111">
        <f>IF(AQ290="7",BI290,0)</f>
      </c>
      <c r="AF290" s="111">
        <f>IF(AQ290="2",BH290,0)</f>
      </c>
      <c r="AG290" s="111">
        <f>IF(AQ290="2",BI290,0)</f>
      </c>
      <c r="AH290" s="111">
        <f>IF(AQ290="0",BJ290,0)</f>
      </c>
      <c r="AI290" s="132" t="s">
        <v>84</v>
      </c>
      <c r="AJ290" s="111">
        <f>IF(AN290=0,I290,0)</f>
      </c>
      <c r="AK290" s="111">
        <f>IF(AN290=12,I290,0)</f>
      </c>
      <c r="AL290" s="111">
        <f>IF(AN290=21,I290,0)</f>
      </c>
      <c r="AN290" s="111" t="n">
        <v>21</v>
      </c>
      <c r="AO290" s="111">
        <f>H290*0.207584124</f>
      </c>
      <c r="AP290" s="111">
        <f>H290*(1-0.207584124)</f>
      </c>
      <c r="AQ290" s="153" t="s">
        <v>130</v>
      </c>
      <c r="AV290" s="111">
        <f>AW290+AX290</f>
      </c>
      <c r="AW290" s="111">
        <f>G290*AO290</f>
      </c>
      <c r="AX290" s="111">
        <f>G290*AP290</f>
      </c>
      <c r="AY290" s="153" t="s">
        <v>559</v>
      </c>
      <c r="AZ290" s="153" t="s">
        <v>399</v>
      </c>
      <c r="BA290" s="132" t="s">
        <v>137</v>
      </c>
      <c r="BC290" s="111">
        <f>AW290+AX290</f>
      </c>
      <c r="BD290" s="111">
        <f>H290/(100-BE290)*100</f>
      </c>
      <c r="BE290" s="111" t="n">
        <v>0</v>
      </c>
      <c r="BF290" s="111">
        <f>290</f>
      </c>
      <c r="BH290" s="111">
        <f>G290*AO290</f>
      </c>
      <c r="BI290" s="111">
        <f>G290*AP290</f>
      </c>
      <c r="BJ290" s="111">
        <f>G290*H290</f>
      </c>
      <c r="BK290" s="111"/>
      <c r="BL290" s="111" t="n">
        <v>34</v>
      </c>
      <c r="BW290" s="111" t="n">
        <v>21</v>
      </c>
      <c r="BX290" s="14" t="s">
        <v>609</v>
      </c>
    </row>
    <row r="291" customHeight="true" ht="13.5">
      <c r="A291" s="159"/>
      <c r="C291" s="160" t="s">
        <v>146</v>
      </c>
      <c r="D291" s="161" t="s">
        <v>610</v>
      </c>
      <c r="E291" s="156"/>
      <c r="F291" s="156"/>
      <c r="G291" s="156"/>
      <c r="H291" s="156"/>
      <c r="I291" s="156"/>
      <c r="J291" s="156"/>
      <c r="K291" s="163"/>
    </row>
    <row r="292">
      <c r="A292" s="154"/>
      <c r="B292" s="155"/>
      <c r="C292" s="155"/>
      <c r="D292" s="156" t="s">
        <v>611</v>
      </c>
      <c r="E292" s="156" t="s">
        <v>612</v>
      </c>
      <c r="F292" s="155"/>
      <c r="G292" s="157" t="n">
        <v>21.7</v>
      </c>
      <c r="H292" s="155"/>
      <c r="I292" s="155"/>
      <c r="J292" s="155"/>
      <c r="K292" s="146"/>
    </row>
    <row r="293">
      <c r="A293" s="9" t="s">
        <v>613</v>
      </c>
      <c r="B293" s="10" t="s">
        <v>84</v>
      </c>
      <c r="C293" s="10" t="s">
        <v>614</v>
      </c>
      <c r="D293" s="14" t="s">
        <v>615</v>
      </c>
      <c r="E293" s="10"/>
      <c r="F293" s="10" t="s">
        <v>282</v>
      </c>
      <c r="G293" s="111">
        <f>'Stavební rozpočet'!G293</f>
      </c>
      <c r="H293" s="111">
        <f>'Stavební rozpočet'!H293</f>
      </c>
      <c r="I293" s="111">
        <f>G293*H293</f>
      </c>
      <c r="J293" s="153" t="s">
        <v>134</v>
      </c>
      <c r="K293" s="146"/>
      <c r="Z293" s="111">
        <f>IF(AQ293="5",BJ293,0)</f>
      </c>
      <c r="AB293" s="111">
        <f>IF(AQ293="1",BH293,0)</f>
      </c>
      <c r="AC293" s="111">
        <f>IF(AQ293="1",BI293,0)</f>
      </c>
      <c r="AD293" s="111">
        <f>IF(AQ293="7",BH293,0)</f>
      </c>
      <c r="AE293" s="111">
        <f>IF(AQ293="7",BI293,0)</f>
      </c>
      <c r="AF293" s="111">
        <f>IF(AQ293="2",BH293,0)</f>
      </c>
      <c r="AG293" s="111">
        <f>IF(AQ293="2",BI293,0)</f>
      </c>
      <c r="AH293" s="111">
        <f>IF(AQ293="0",BJ293,0)</f>
      </c>
      <c r="AI293" s="132" t="s">
        <v>84</v>
      </c>
      <c r="AJ293" s="111">
        <f>IF(AN293=0,I293,0)</f>
      </c>
      <c r="AK293" s="111">
        <f>IF(AN293=12,I293,0)</f>
      </c>
      <c r="AL293" s="111">
        <f>IF(AN293=21,I293,0)</f>
      </c>
      <c r="AN293" s="111" t="n">
        <v>21</v>
      </c>
      <c r="AO293" s="111">
        <f>H293*0.181942263</f>
      </c>
      <c r="AP293" s="111">
        <f>H293*(1-0.181942263)</f>
      </c>
      <c r="AQ293" s="153" t="s">
        <v>130</v>
      </c>
      <c r="AV293" s="111">
        <f>AW293+AX293</f>
      </c>
      <c r="AW293" s="111">
        <f>G293*AO293</f>
      </c>
      <c r="AX293" s="111">
        <f>G293*AP293</f>
      </c>
      <c r="AY293" s="153" t="s">
        <v>559</v>
      </c>
      <c r="AZ293" s="153" t="s">
        <v>399</v>
      </c>
      <c r="BA293" s="132" t="s">
        <v>137</v>
      </c>
      <c r="BC293" s="111">
        <f>AW293+AX293</f>
      </c>
      <c r="BD293" s="111">
        <f>H293/(100-BE293)*100</f>
      </c>
      <c r="BE293" s="111" t="n">
        <v>0</v>
      </c>
      <c r="BF293" s="111">
        <f>293</f>
      </c>
      <c r="BH293" s="111">
        <f>G293*AO293</f>
      </c>
      <c r="BI293" s="111">
        <f>G293*AP293</f>
      </c>
      <c r="BJ293" s="111">
        <f>G293*H293</f>
      </c>
      <c r="BK293" s="111"/>
      <c r="BL293" s="111" t="n">
        <v>34</v>
      </c>
      <c r="BW293" s="111" t="n">
        <v>21</v>
      </c>
      <c r="BX293" s="14" t="s">
        <v>615</v>
      </c>
    </row>
    <row r="294" customHeight="true" ht="13.5">
      <c r="A294" s="159"/>
      <c r="C294" s="160" t="s">
        <v>146</v>
      </c>
      <c r="D294" s="161" t="s">
        <v>616</v>
      </c>
      <c r="E294" s="156"/>
      <c r="F294" s="156"/>
      <c r="G294" s="156"/>
      <c r="H294" s="156"/>
      <c r="I294" s="156"/>
      <c r="J294" s="156"/>
      <c r="K294" s="163"/>
    </row>
    <row r="295">
      <c r="A295" s="154"/>
      <c r="B295" s="155"/>
      <c r="C295" s="155"/>
      <c r="D295" s="156" t="s">
        <v>617</v>
      </c>
      <c r="E295" s="156" t="s">
        <v>618</v>
      </c>
      <c r="F295" s="155"/>
      <c r="G295" s="157" t="n">
        <v>8.55</v>
      </c>
      <c r="H295" s="155"/>
      <c r="I295" s="155"/>
      <c r="J295" s="155"/>
      <c r="K295" s="146"/>
    </row>
    <row r="296">
      <c r="A296" s="154"/>
      <c r="B296" s="155"/>
      <c r="C296" s="155"/>
      <c r="D296" s="156" t="s">
        <v>619</v>
      </c>
      <c r="E296" s="156" t="s">
        <v>620</v>
      </c>
      <c r="F296" s="155"/>
      <c r="G296" s="157" t="n">
        <v>17.75</v>
      </c>
      <c r="H296" s="155"/>
      <c r="I296" s="155"/>
      <c r="J296" s="155"/>
      <c r="K296" s="146"/>
    </row>
    <row r="297">
      <c r="A297" s="154"/>
      <c r="B297" s="155"/>
      <c r="C297" s="155"/>
      <c r="D297" s="156" t="s">
        <v>621</v>
      </c>
      <c r="E297" s="156" t="s">
        <v>622</v>
      </c>
      <c r="F297" s="155"/>
      <c r="G297" s="157" t="n">
        <v>3.7</v>
      </c>
      <c r="H297" s="155"/>
      <c r="I297" s="155"/>
      <c r="J297" s="155"/>
      <c r="K297" s="146"/>
    </row>
    <row r="298">
      <c r="A298" s="9" t="s">
        <v>623</v>
      </c>
      <c r="B298" s="10" t="s">
        <v>84</v>
      </c>
      <c r="C298" s="10" t="s">
        <v>624</v>
      </c>
      <c r="D298" s="14" t="s">
        <v>625</v>
      </c>
      <c r="E298" s="10"/>
      <c r="F298" s="10" t="s">
        <v>145</v>
      </c>
      <c r="G298" s="111">
        <f>'Stavební rozpočet'!G298</f>
      </c>
      <c r="H298" s="111">
        <f>'Stavební rozpočet'!H298</f>
      </c>
      <c r="I298" s="111">
        <f>G298*H298</f>
      </c>
      <c r="J298" s="153" t="s">
        <v>134</v>
      </c>
      <c r="K298" s="146"/>
      <c r="Z298" s="111">
        <f>IF(AQ298="5",BJ298,0)</f>
      </c>
      <c r="AB298" s="111">
        <f>IF(AQ298="1",BH298,0)</f>
      </c>
      <c r="AC298" s="111">
        <f>IF(AQ298="1",BI298,0)</f>
      </c>
      <c r="AD298" s="111">
        <f>IF(AQ298="7",BH298,0)</f>
      </c>
      <c r="AE298" s="111">
        <f>IF(AQ298="7",BI298,0)</f>
      </c>
      <c r="AF298" s="111">
        <f>IF(AQ298="2",BH298,0)</f>
      </c>
      <c r="AG298" s="111">
        <f>IF(AQ298="2",BI298,0)</f>
      </c>
      <c r="AH298" s="111">
        <f>IF(AQ298="0",BJ298,0)</f>
      </c>
      <c r="AI298" s="132" t="s">
        <v>84</v>
      </c>
      <c r="AJ298" s="111">
        <f>IF(AN298=0,I298,0)</f>
      </c>
      <c r="AK298" s="111">
        <f>IF(AN298=12,I298,0)</f>
      </c>
      <c r="AL298" s="111">
        <f>IF(AN298=21,I298,0)</f>
      </c>
      <c r="AN298" s="111" t="n">
        <v>21</v>
      </c>
      <c r="AO298" s="111">
        <f>H298*0.690452792</f>
      </c>
      <c r="AP298" s="111">
        <f>H298*(1-0.690452792)</f>
      </c>
      <c r="AQ298" s="153" t="s">
        <v>130</v>
      </c>
      <c r="AV298" s="111">
        <f>AW298+AX298</f>
      </c>
      <c r="AW298" s="111">
        <f>G298*AO298</f>
      </c>
      <c r="AX298" s="111">
        <f>G298*AP298</f>
      </c>
      <c r="AY298" s="153" t="s">
        <v>559</v>
      </c>
      <c r="AZ298" s="153" t="s">
        <v>399</v>
      </c>
      <c r="BA298" s="132" t="s">
        <v>137</v>
      </c>
      <c r="BC298" s="111">
        <f>AW298+AX298</f>
      </c>
      <c r="BD298" s="111">
        <f>H298/(100-BE298)*100</f>
      </c>
      <c r="BE298" s="111" t="n">
        <v>0</v>
      </c>
      <c r="BF298" s="111">
        <f>298</f>
      </c>
      <c r="BH298" s="111">
        <f>G298*AO298</f>
      </c>
      <c r="BI298" s="111">
        <f>G298*AP298</f>
      </c>
      <c r="BJ298" s="111">
        <f>G298*H298</f>
      </c>
      <c r="BK298" s="111"/>
      <c r="BL298" s="111" t="n">
        <v>34</v>
      </c>
      <c r="BW298" s="111" t="n">
        <v>21</v>
      </c>
      <c r="BX298" s="14" t="s">
        <v>625</v>
      </c>
    </row>
    <row r="299" customHeight="true" ht="13.5">
      <c r="A299" s="159"/>
      <c r="C299" s="160" t="s">
        <v>146</v>
      </c>
      <c r="D299" s="161" t="s">
        <v>626</v>
      </c>
      <c r="E299" s="156"/>
      <c r="F299" s="156"/>
      <c r="G299" s="156"/>
      <c r="H299" s="156"/>
      <c r="I299" s="156"/>
      <c r="J299" s="156"/>
      <c r="K299" s="163"/>
    </row>
    <row r="300">
      <c r="A300" s="154"/>
      <c r="B300" s="155"/>
      <c r="C300" s="155"/>
      <c r="D300" s="156" t="s">
        <v>585</v>
      </c>
      <c r="E300" s="156" t="s">
        <v>627</v>
      </c>
      <c r="F300" s="155"/>
      <c r="G300" s="157" t="n">
        <v>3</v>
      </c>
      <c r="H300" s="155"/>
      <c r="I300" s="155"/>
      <c r="J300" s="155"/>
      <c r="K300" s="146"/>
    </row>
    <row r="301">
      <c r="A301" s="154"/>
      <c r="B301" s="155"/>
      <c r="C301" s="155"/>
      <c r="D301" s="156" t="s">
        <v>587</v>
      </c>
      <c r="E301" s="156" t="s">
        <v>628</v>
      </c>
      <c r="F301" s="155"/>
      <c r="G301" s="157" t="n">
        <v>3.06</v>
      </c>
      <c r="H301" s="155"/>
      <c r="I301" s="155"/>
      <c r="J301" s="155"/>
      <c r="K301" s="146"/>
    </row>
    <row r="302">
      <c r="A302" s="154"/>
      <c r="B302" s="155"/>
      <c r="C302" s="155"/>
      <c r="D302" s="156" t="s">
        <v>593</v>
      </c>
      <c r="E302" s="156" t="s">
        <v>629</v>
      </c>
      <c r="F302" s="155"/>
      <c r="G302" s="157" t="n">
        <v>13.0375</v>
      </c>
      <c r="H302" s="155"/>
      <c r="I302" s="155"/>
      <c r="J302" s="155"/>
      <c r="K302" s="146"/>
    </row>
    <row r="303">
      <c r="A303" s="154"/>
      <c r="B303" s="155"/>
      <c r="C303" s="155"/>
      <c r="D303" s="156" t="s">
        <v>595</v>
      </c>
      <c r="E303" s="156" t="s">
        <v>630</v>
      </c>
      <c r="F303" s="155"/>
      <c r="G303" s="157" t="n">
        <v>4.07</v>
      </c>
      <c r="H303" s="155"/>
      <c r="I303" s="155"/>
      <c r="J303" s="155"/>
      <c r="K303" s="146"/>
    </row>
    <row r="304">
      <c r="A304" s="154"/>
      <c r="B304" s="155"/>
      <c r="C304" s="155"/>
      <c r="D304" s="156" t="s">
        <v>631</v>
      </c>
      <c r="E304" s="156" t="s">
        <v>632</v>
      </c>
      <c r="F304" s="155"/>
      <c r="G304" s="157" t="n">
        <v>83.38</v>
      </c>
      <c r="H304" s="155"/>
      <c r="I304" s="155"/>
      <c r="J304" s="155"/>
      <c r="K304" s="146"/>
    </row>
    <row r="305">
      <c r="A305" s="9" t="s">
        <v>633</v>
      </c>
      <c r="B305" s="10" t="s">
        <v>84</v>
      </c>
      <c r="C305" s="10" t="s">
        <v>634</v>
      </c>
      <c r="D305" s="14" t="s">
        <v>635</v>
      </c>
      <c r="E305" s="10"/>
      <c r="F305" s="10" t="s">
        <v>145</v>
      </c>
      <c r="G305" s="111">
        <f>'Stavební rozpočet'!G305</f>
      </c>
      <c r="H305" s="111">
        <f>'Stavební rozpočet'!H305</f>
      </c>
      <c r="I305" s="111">
        <f>G305*H305</f>
      </c>
      <c r="J305" s="153" t="s">
        <v>134</v>
      </c>
      <c r="K305" s="146"/>
      <c r="Z305" s="111">
        <f>IF(AQ305="5",BJ305,0)</f>
      </c>
      <c r="AB305" s="111">
        <f>IF(AQ305="1",BH305,0)</f>
      </c>
      <c r="AC305" s="111">
        <f>IF(AQ305="1",BI305,0)</f>
      </c>
      <c r="AD305" s="111">
        <f>IF(AQ305="7",BH305,0)</f>
      </c>
      <c r="AE305" s="111">
        <f>IF(AQ305="7",BI305,0)</f>
      </c>
      <c r="AF305" s="111">
        <f>IF(AQ305="2",BH305,0)</f>
      </c>
      <c r="AG305" s="111">
        <f>IF(AQ305="2",BI305,0)</f>
      </c>
      <c r="AH305" s="111">
        <f>IF(AQ305="0",BJ305,0)</f>
      </c>
      <c r="AI305" s="132" t="s">
        <v>84</v>
      </c>
      <c r="AJ305" s="111">
        <f>IF(AN305=0,I305,0)</f>
      </c>
      <c r="AK305" s="111">
        <f>IF(AN305=12,I305,0)</f>
      </c>
      <c r="AL305" s="111">
        <f>IF(AN305=21,I305,0)</f>
      </c>
      <c r="AN305" s="111" t="n">
        <v>21</v>
      </c>
      <c r="AO305" s="111">
        <f>H305*0</f>
      </c>
      <c r="AP305" s="111">
        <f>H305*(1-0)</f>
      </c>
      <c r="AQ305" s="153" t="s">
        <v>130</v>
      </c>
      <c r="AV305" s="111">
        <f>AW305+AX305</f>
      </c>
      <c r="AW305" s="111">
        <f>G305*AO305</f>
      </c>
      <c r="AX305" s="111">
        <f>G305*AP305</f>
      </c>
      <c r="AY305" s="153" t="s">
        <v>559</v>
      </c>
      <c r="AZ305" s="153" t="s">
        <v>399</v>
      </c>
      <c r="BA305" s="132" t="s">
        <v>137</v>
      </c>
      <c r="BC305" s="111">
        <f>AW305+AX305</f>
      </c>
      <c r="BD305" s="111">
        <f>H305/(100-BE305)*100</f>
      </c>
      <c r="BE305" s="111" t="n">
        <v>0</v>
      </c>
      <c r="BF305" s="111">
        <f>305</f>
      </c>
      <c r="BH305" s="111">
        <f>G305*AO305</f>
      </c>
      <c r="BI305" s="111">
        <f>G305*AP305</f>
      </c>
      <c r="BJ305" s="111">
        <f>G305*H305</f>
      </c>
      <c r="BK305" s="111"/>
      <c r="BL305" s="111" t="n">
        <v>34</v>
      </c>
      <c r="BW305" s="111" t="n">
        <v>21</v>
      </c>
      <c r="BX305" s="14" t="s">
        <v>635</v>
      </c>
    </row>
    <row r="306" customHeight="true" ht="13.5">
      <c r="A306" s="159"/>
      <c r="C306" s="160" t="s">
        <v>146</v>
      </c>
      <c r="D306" s="161" t="s">
        <v>636</v>
      </c>
      <c r="E306" s="156"/>
      <c r="F306" s="156"/>
      <c r="G306" s="156"/>
      <c r="H306" s="156"/>
      <c r="I306" s="156"/>
      <c r="J306" s="156"/>
      <c r="K306" s="163"/>
    </row>
    <row r="307">
      <c r="A307" s="154"/>
      <c r="B307" s="155"/>
      <c r="C307" s="155"/>
      <c r="D307" s="156" t="s">
        <v>585</v>
      </c>
      <c r="E307" s="156" t="s">
        <v>586</v>
      </c>
      <c r="F307" s="155"/>
      <c r="G307" s="157" t="n">
        <v>3</v>
      </c>
      <c r="H307" s="155"/>
      <c r="I307" s="155"/>
      <c r="J307" s="155"/>
      <c r="K307" s="146"/>
    </row>
    <row r="308">
      <c r="A308" s="154"/>
      <c r="B308" s="155"/>
      <c r="C308" s="155"/>
      <c r="D308" s="156" t="s">
        <v>587</v>
      </c>
      <c r="E308" s="156" t="s">
        <v>588</v>
      </c>
      <c r="F308" s="155"/>
      <c r="G308" s="157" t="n">
        <v>3.06</v>
      </c>
      <c r="H308" s="155"/>
      <c r="I308" s="155"/>
      <c r="J308" s="155"/>
      <c r="K308" s="146"/>
    </row>
    <row r="309">
      <c r="A309" s="154"/>
      <c r="B309" s="155"/>
      <c r="C309" s="155"/>
      <c r="D309" s="156" t="s">
        <v>593</v>
      </c>
      <c r="E309" s="156" t="s">
        <v>594</v>
      </c>
      <c r="F309" s="155"/>
      <c r="G309" s="157" t="n">
        <v>13.0375</v>
      </c>
      <c r="H309" s="155"/>
      <c r="I309" s="155"/>
      <c r="J309" s="155"/>
      <c r="K309" s="146"/>
    </row>
    <row r="310">
      <c r="A310" s="154"/>
      <c r="B310" s="155"/>
      <c r="C310" s="155"/>
      <c r="D310" s="156" t="s">
        <v>595</v>
      </c>
      <c r="E310" s="156" t="s">
        <v>596</v>
      </c>
      <c r="F310" s="155"/>
      <c r="G310" s="157" t="n">
        <v>4.07</v>
      </c>
      <c r="H310" s="155"/>
      <c r="I310" s="155"/>
      <c r="J310" s="155"/>
      <c r="K310" s="146"/>
    </row>
    <row r="311">
      <c r="A311" s="9" t="s">
        <v>637</v>
      </c>
      <c r="B311" s="10" t="s">
        <v>84</v>
      </c>
      <c r="C311" s="10" t="s">
        <v>638</v>
      </c>
      <c r="D311" s="14" t="s">
        <v>639</v>
      </c>
      <c r="E311" s="10"/>
      <c r="F311" s="10" t="s">
        <v>133</v>
      </c>
      <c r="G311" s="111">
        <f>'Stavební rozpočet'!G311</f>
      </c>
      <c r="H311" s="111">
        <f>'Stavební rozpočet'!H311</f>
      </c>
      <c r="I311" s="111">
        <f>G311*H311</f>
      </c>
      <c r="J311" s="153" t="s">
        <v>134</v>
      </c>
      <c r="K311" s="146"/>
      <c r="Z311" s="111">
        <f>IF(AQ311="5",BJ311,0)</f>
      </c>
      <c r="AB311" s="111">
        <f>IF(AQ311="1",BH311,0)</f>
      </c>
      <c r="AC311" s="111">
        <f>IF(AQ311="1",BI311,0)</f>
      </c>
      <c r="AD311" s="111">
        <f>IF(AQ311="7",BH311,0)</f>
      </c>
      <c r="AE311" s="111">
        <f>IF(AQ311="7",BI311,0)</f>
      </c>
      <c r="AF311" s="111">
        <f>IF(AQ311="2",BH311,0)</f>
      </c>
      <c r="AG311" s="111">
        <f>IF(AQ311="2",BI311,0)</f>
      </c>
      <c r="AH311" s="111">
        <f>IF(AQ311="0",BJ311,0)</f>
      </c>
      <c r="AI311" s="132" t="s">
        <v>84</v>
      </c>
      <c r="AJ311" s="111">
        <f>IF(AN311=0,I311,0)</f>
      </c>
      <c r="AK311" s="111">
        <f>IF(AN311=12,I311,0)</f>
      </c>
      <c r="AL311" s="111">
        <f>IF(AN311=21,I311,0)</f>
      </c>
      <c r="AN311" s="111" t="n">
        <v>21</v>
      </c>
      <c r="AO311" s="111">
        <f>H311*0.018833333</f>
      </c>
      <c r="AP311" s="111">
        <f>H311*(1-0.018833333)</f>
      </c>
      <c r="AQ311" s="153" t="s">
        <v>130</v>
      </c>
      <c r="AV311" s="111">
        <f>AW311+AX311</f>
      </c>
      <c r="AW311" s="111">
        <f>G311*AO311</f>
      </c>
      <c r="AX311" s="111">
        <f>G311*AP311</f>
      </c>
      <c r="AY311" s="153" t="s">
        <v>559</v>
      </c>
      <c r="AZ311" s="153" t="s">
        <v>399</v>
      </c>
      <c r="BA311" s="132" t="s">
        <v>137</v>
      </c>
      <c r="BC311" s="111">
        <f>AW311+AX311</f>
      </c>
      <c r="BD311" s="111">
        <f>H311/(100-BE311)*100</f>
      </c>
      <c r="BE311" s="111" t="n">
        <v>0</v>
      </c>
      <c r="BF311" s="111">
        <f>311</f>
      </c>
      <c r="BH311" s="111">
        <f>G311*AO311</f>
      </c>
      <c r="BI311" s="111">
        <f>G311*AP311</f>
      </c>
      <c r="BJ311" s="111">
        <f>G311*H311</f>
      </c>
      <c r="BK311" s="111"/>
      <c r="BL311" s="111" t="n">
        <v>34</v>
      </c>
      <c r="BW311" s="111" t="n">
        <v>21</v>
      </c>
      <c r="BX311" s="14" t="s">
        <v>639</v>
      </c>
    </row>
    <row r="312" customHeight="true" ht="13.5">
      <c r="A312" s="159"/>
      <c r="C312" s="160" t="s">
        <v>146</v>
      </c>
      <c r="D312" s="161" t="s">
        <v>640</v>
      </c>
      <c r="E312" s="156"/>
      <c r="F312" s="156"/>
      <c r="G312" s="156"/>
      <c r="H312" s="156"/>
      <c r="I312" s="156"/>
      <c r="J312" s="156"/>
      <c r="K312" s="163"/>
    </row>
    <row r="313">
      <c r="A313" s="154"/>
      <c r="B313" s="155"/>
      <c r="C313" s="155"/>
      <c r="D313" s="156" t="s">
        <v>186</v>
      </c>
      <c r="E313" s="156" t="s">
        <v>641</v>
      </c>
      <c r="F313" s="155"/>
      <c r="G313" s="157" t="n">
        <v>10</v>
      </c>
      <c r="H313" s="155"/>
      <c r="I313" s="155"/>
      <c r="J313" s="155"/>
      <c r="K313" s="146"/>
    </row>
    <row r="314">
      <c r="A314" s="9" t="s">
        <v>642</v>
      </c>
      <c r="B314" s="10" t="s">
        <v>84</v>
      </c>
      <c r="C314" s="10" t="s">
        <v>643</v>
      </c>
      <c r="D314" s="14" t="s">
        <v>644</v>
      </c>
      <c r="E314" s="10"/>
      <c r="F314" s="10" t="s">
        <v>133</v>
      </c>
      <c r="G314" s="111">
        <f>'Stavební rozpočet'!G314</f>
      </c>
      <c r="H314" s="111">
        <f>'Stavební rozpočet'!H314</f>
      </c>
      <c r="I314" s="111">
        <f>G314*H314</f>
      </c>
      <c r="J314" s="153" t="s">
        <v>134</v>
      </c>
      <c r="K314" s="146"/>
      <c r="Z314" s="111">
        <f>IF(AQ314="5",BJ314,0)</f>
      </c>
      <c r="AB314" s="111">
        <f>IF(AQ314="1",BH314,0)</f>
      </c>
      <c r="AC314" s="111">
        <f>IF(AQ314="1",BI314,0)</f>
      </c>
      <c r="AD314" s="111">
        <f>IF(AQ314="7",BH314,0)</f>
      </c>
      <c r="AE314" s="111">
        <f>IF(AQ314="7",BI314,0)</f>
      </c>
      <c r="AF314" s="111">
        <f>IF(AQ314="2",BH314,0)</f>
      </c>
      <c r="AG314" s="111">
        <f>IF(AQ314="2",BI314,0)</f>
      </c>
      <c r="AH314" s="111">
        <f>IF(AQ314="0",BJ314,0)</f>
      </c>
      <c r="AI314" s="132" t="s">
        <v>84</v>
      </c>
      <c r="AJ314" s="111">
        <f>IF(AN314=0,I314,0)</f>
      </c>
      <c r="AK314" s="111">
        <f>IF(AN314=12,I314,0)</f>
      </c>
      <c r="AL314" s="111">
        <f>IF(AN314=21,I314,0)</f>
      </c>
      <c r="AN314" s="111" t="n">
        <v>21</v>
      </c>
      <c r="AO314" s="111">
        <f>H314*1</f>
      </c>
      <c r="AP314" s="111">
        <f>H314*(1-1)</f>
      </c>
      <c r="AQ314" s="153" t="s">
        <v>130</v>
      </c>
      <c r="AV314" s="111">
        <f>AW314+AX314</f>
      </c>
      <c r="AW314" s="111">
        <f>G314*AO314</f>
      </c>
      <c r="AX314" s="111">
        <f>G314*AP314</f>
      </c>
      <c r="AY314" s="153" t="s">
        <v>559</v>
      </c>
      <c r="AZ314" s="153" t="s">
        <v>399</v>
      </c>
      <c r="BA314" s="132" t="s">
        <v>137</v>
      </c>
      <c r="BC314" s="111">
        <f>AW314+AX314</f>
      </c>
      <c r="BD314" s="111">
        <f>H314/(100-BE314)*100</f>
      </c>
      <c r="BE314" s="111" t="n">
        <v>0</v>
      </c>
      <c r="BF314" s="111">
        <f>314</f>
      </c>
      <c r="BH314" s="111">
        <f>G314*AO314</f>
      </c>
      <c r="BI314" s="111">
        <f>G314*AP314</f>
      </c>
      <c r="BJ314" s="111">
        <f>G314*H314</f>
      </c>
      <c r="BK314" s="111"/>
      <c r="BL314" s="111" t="n">
        <v>34</v>
      </c>
      <c r="BW314" s="111" t="n">
        <v>21</v>
      </c>
      <c r="BX314" s="14" t="s">
        <v>644</v>
      </c>
    </row>
    <row r="315">
      <c r="A315" s="154"/>
      <c r="B315" s="155"/>
      <c r="C315" s="155"/>
      <c r="D315" s="156" t="s">
        <v>186</v>
      </c>
      <c r="E315" s="156" t="s">
        <v>645</v>
      </c>
      <c r="F315" s="155"/>
      <c r="G315" s="157" t="n">
        <v>10</v>
      </c>
      <c r="H315" s="155"/>
      <c r="I315" s="155"/>
      <c r="J315" s="155"/>
      <c r="K315" s="146"/>
    </row>
    <row r="316">
      <c r="A316" s="9" t="s">
        <v>646</v>
      </c>
      <c r="B316" s="10" t="s">
        <v>84</v>
      </c>
      <c r="C316" s="10" t="s">
        <v>647</v>
      </c>
      <c r="D316" s="14" t="s">
        <v>648</v>
      </c>
      <c r="E316" s="10"/>
      <c r="F316" s="10" t="s">
        <v>282</v>
      </c>
      <c r="G316" s="111">
        <f>'Stavební rozpočet'!G316</f>
      </c>
      <c r="H316" s="111">
        <f>'Stavební rozpočet'!H316</f>
      </c>
      <c r="I316" s="111">
        <f>G316*H316</f>
      </c>
      <c r="J316" s="153" t="s">
        <v>134</v>
      </c>
      <c r="K316" s="146"/>
      <c r="Z316" s="111">
        <f>IF(AQ316="5",BJ316,0)</f>
      </c>
      <c r="AB316" s="111">
        <f>IF(AQ316="1",BH316,0)</f>
      </c>
      <c r="AC316" s="111">
        <f>IF(AQ316="1",BI316,0)</f>
      </c>
      <c r="AD316" s="111">
        <f>IF(AQ316="7",BH316,0)</f>
      </c>
      <c r="AE316" s="111">
        <f>IF(AQ316="7",BI316,0)</f>
      </c>
      <c r="AF316" s="111">
        <f>IF(AQ316="2",BH316,0)</f>
      </c>
      <c r="AG316" s="111">
        <f>IF(AQ316="2",BI316,0)</f>
      </c>
      <c r="AH316" s="111">
        <f>IF(AQ316="0",BJ316,0)</f>
      </c>
      <c r="AI316" s="132" t="s">
        <v>84</v>
      </c>
      <c r="AJ316" s="111">
        <f>IF(AN316=0,I316,0)</f>
      </c>
      <c r="AK316" s="111">
        <f>IF(AN316=12,I316,0)</f>
      </c>
      <c r="AL316" s="111">
        <f>IF(AN316=21,I316,0)</f>
      </c>
      <c r="AN316" s="111" t="n">
        <v>21</v>
      </c>
      <c r="AO316" s="111">
        <f>H316*0</f>
      </c>
      <c r="AP316" s="111">
        <f>H316*(1-0)</f>
      </c>
      <c r="AQ316" s="153" t="s">
        <v>130</v>
      </c>
      <c r="AV316" s="111">
        <f>AW316+AX316</f>
      </c>
      <c r="AW316" s="111">
        <f>G316*AO316</f>
      </c>
      <c r="AX316" s="111">
        <f>G316*AP316</f>
      </c>
      <c r="AY316" s="153" t="s">
        <v>559</v>
      </c>
      <c r="AZ316" s="153" t="s">
        <v>399</v>
      </c>
      <c r="BA316" s="132" t="s">
        <v>137</v>
      </c>
      <c r="BC316" s="111">
        <f>AW316+AX316</f>
      </c>
      <c r="BD316" s="111">
        <f>H316/(100-BE316)*100</f>
      </c>
      <c r="BE316" s="111" t="n">
        <v>0</v>
      </c>
      <c r="BF316" s="111">
        <f>316</f>
      </c>
      <c r="BH316" s="111">
        <f>G316*AO316</f>
      </c>
      <c r="BI316" s="111">
        <f>G316*AP316</f>
      </c>
      <c r="BJ316" s="111">
        <f>G316*H316</f>
      </c>
      <c r="BK316" s="111"/>
      <c r="BL316" s="111" t="n">
        <v>34</v>
      </c>
      <c r="BW316" s="111" t="n">
        <v>21</v>
      </c>
      <c r="BX316" s="14" t="s">
        <v>648</v>
      </c>
    </row>
    <row r="317" customHeight="true" ht="13.5">
      <c r="A317" s="159"/>
      <c r="C317" s="160" t="s">
        <v>146</v>
      </c>
      <c r="D317" s="161" t="s">
        <v>649</v>
      </c>
      <c r="E317" s="156"/>
      <c r="F317" s="156"/>
      <c r="G317" s="156"/>
      <c r="H317" s="156"/>
      <c r="I317" s="156"/>
      <c r="J317" s="156"/>
      <c r="K317" s="163"/>
    </row>
    <row r="318">
      <c r="A318" s="154"/>
      <c r="B318" s="155"/>
      <c r="C318" s="155"/>
      <c r="D318" s="156" t="s">
        <v>650</v>
      </c>
      <c r="E318" s="156" t="s">
        <v>406</v>
      </c>
      <c r="F318" s="155"/>
      <c r="G318" s="157" t="n">
        <v>38.72</v>
      </c>
      <c r="H318" s="155"/>
      <c r="I318" s="155"/>
      <c r="J318" s="155"/>
      <c r="K318" s="146"/>
    </row>
    <row r="319">
      <c r="A319" s="9" t="s">
        <v>651</v>
      </c>
      <c r="B319" s="10" t="s">
        <v>84</v>
      </c>
      <c r="C319" s="10" t="s">
        <v>652</v>
      </c>
      <c r="D319" s="14" t="s">
        <v>653</v>
      </c>
      <c r="E319" s="10"/>
      <c r="F319" s="10" t="s">
        <v>282</v>
      </c>
      <c r="G319" s="111">
        <f>'Stavební rozpočet'!G319</f>
      </c>
      <c r="H319" s="111">
        <f>'Stavební rozpočet'!H319</f>
      </c>
      <c r="I319" s="111">
        <f>G319*H319</f>
      </c>
      <c r="J319" s="153" t="s">
        <v>134</v>
      </c>
      <c r="K319" s="146"/>
      <c r="Z319" s="111">
        <f>IF(AQ319="5",BJ319,0)</f>
      </c>
      <c r="AB319" s="111">
        <f>IF(AQ319="1",BH319,0)</f>
      </c>
      <c r="AC319" s="111">
        <f>IF(AQ319="1",BI319,0)</f>
      </c>
      <c r="AD319" s="111">
        <f>IF(AQ319="7",BH319,0)</f>
      </c>
      <c r="AE319" s="111">
        <f>IF(AQ319="7",BI319,0)</f>
      </c>
      <c r="AF319" s="111">
        <f>IF(AQ319="2",BH319,0)</f>
      </c>
      <c r="AG319" s="111">
        <f>IF(AQ319="2",BI319,0)</f>
      </c>
      <c r="AH319" s="111">
        <f>IF(AQ319="0",BJ319,0)</f>
      </c>
      <c r="AI319" s="132" t="s">
        <v>84</v>
      </c>
      <c r="AJ319" s="111">
        <f>IF(AN319=0,I319,0)</f>
      </c>
      <c r="AK319" s="111">
        <f>IF(AN319=12,I319,0)</f>
      </c>
      <c r="AL319" s="111">
        <f>IF(AN319=21,I319,0)</f>
      </c>
      <c r="AN319" s="111" t="n">
        <v>21</v>
      </c>
      <c r="AO319" s="111">
        <f>H319*0</f>
      </c>
      <c r="AP319" s="111">
        <f>H319*(1-0)</f>
      </c>
      <c r="AQ319" s="153" t="s">
        <v>130</v>
      </c>
      <c r="AV319" s="111">
        <f>AW319+AX319</f>
      </c>
      <c r="AW319" s="111">
        <f>G319*AO319</f>
      </c>
      <c r="AX319" s="111">
        <f>G319*AP319</f>
      </c>
      <c r="AY319" s="153" t="s">
        <v>559</v>
      </c>
      <c r="AZ319" s="153" t="s">
        <v>399</v>
      </c>
      <c r="BA319" s="132" t="s">
        <v>137</v>
      </c>
      <c r="BC319" s="111">
        <f>AW319+AX319</f>
      </c>
      <c r="BD319" s="111">
        <f>H319/(100-BE319)*100</f>
      </c>
      <c r="BE319" s="111" t="n">
        <v>0</v>
      </c>
      <c r="BF319" s="111">
        <f>319</f>
      </c>
      <c r="BH319" s="111">
        <f>G319*AO319</f>
      </c>
      <c r="BI319" s="111">
        <f>G319*AP319</f>
      </c>
      <c r="BJ319" s="111">
        <f>G319*H319</f>
      </c>
      <c r="BK319" s="111"/>
      <c r="BL319" s="111" t="n">
        <v>34</v>
      </c>
      <c r="BW319" s="111" t="n">
        <v>21</v>
      </c>
      <c r="BX319" s="14" t="s">
        <v>653</v>
      </c>
    </row>
    <row r="320">
      <c r="A320" s="154"/>
      <c r="B320" s="155"/>
      <c r="C320" s="155"/>
      <c r="D320" s="156" t="s">
        <v>654</v>
      </c>
      <c r="E320" s="156" t="s">
        <v>404</v>
      </c>
      <c r="F320" s="155"/>
      <c r="G320" s="157" t="n">
        <v>30.02</v>
      </c>
      <c r="H320" s="155"/>
      <c r="I320" s="155"/>
      <c r="J320" s="155"/>
      <c r="K320" s="146"/>
    </row>
    <row r="321">
      <c r="A321" s="154"/>
      <c r="B321" s="155"/>
      <c r="C321" s="155"/>
      <c r="D321" s="156" t="s">
        <v>654</v>
      </c>
      <c r="E321" s="156" t="s">
        <v>655</v>
      </c>
      <c r="F321" s="155"/>
      <c r="G321" s="157" t="n">
        <v>30.02</v>
      </c>
      <c r="H321" s="155"/>
      <c r="I321" s="155"/>
      <c r="J321" s="155"/>
      <c r="K321" s="146"/>
    </row>
    <row r="322">
      <c r="A322" s="154"/>
      <c r="B322" s="155"/>
      <c r="C322" s="155"/>
      <c r="D322" s="156" t="s">
        <v>656</v>
      </c>
      <c r="E322" s="156" t="s">
        <v>402</v>
      </c>
      <c r="F322" s="155"/>
      <c r="G322" s="157" t="n">
        <v>51.62</v>
      </c>
      <c r="H322" s="155"/>
      <c r="I322" s="155"/>
      <c r="J322" s="155"/>
      <c r="K322" s="146"/>
    </row>
    <row r="323">
      <c r="A323" s="154"/>
      <c r="B323" s="155"/>
      <c r="C323" s="155"/>
      <c r="D323" s="156" t="s">
        <v>657</v>
      </c>
      <c r="E323" s="156" t="s">
        <v>406</v>
      </c>
      <c r="F323" s="155"/>
      <c r="G323" s="157" t="n">
        <v>56.42</v>
      </c>
      <c r="H323" s="155"/>
      <c r="I323" s="155"/>
      <c r="J323" s="155"/>
      <c r="K323" s="146"/>
    </row>
    <row r="324">
      <c r="A324" s="9" t="s">
        <v>658</v>
      </c>
      <c r="B324" s="10" t="s">
        <v>84</v>
      </c>
      <c r="C324" s="10" t="s">
        <v>659</v>
      </c>
      <c r="D324" s="14" t="s">
        <v>660</v>
      </c>
      <c r="E324" s="10"/>
      <c r="F324" s="10" t="s">
        <v>145</v>
      </c>
      <c r="G324" s="111">
        <f>'Stavební rozpočet'!G324</f>
      </c>
      <c r="H324" s="111">
        <f>'Stavební rozpočet'!H324</f>
      </c>
      <c r="I324" s="111">
        <f>G324*H324</f>
      </c>
      <c r="J324" s="153" t="s">
        <v>134</v>
      </c>
      <c r="K324" s="146"/>
      <c r="Z324" s="111">
        <f>IF(AQ324="5",BJ324,0)</f>
      </c>
      <c r="AB324" s="111">
        <f>IF(AQ324="1",BH324,0)</f>
      </c>
      <c r="AC324" s="111">
        <f>IF(AQ324="1",BI324,0)</f>
      </c>
      <c r="AD324" s="111">
        <f>IF(AQ324="7",BH324,0)</f>
      </c>
      <c r="AE324" s="111">
        <f>IF(AQ324="7",BI324,0)</f>
      </c>
      <c r="AF324" s="111">
        <f>IF(AQ324="2",BH324,0)</f>
      </c>
      <c r="AG324" s="111">
        <f>IF(AQ324="2",BI324,0)</f>
      </c>
      <c r="AH324" s="111">
        <f>IF(AQ324="0",BJ324,0)</f>
      </c>
      <c r="AI324" s="132" t="s">
        <v>84</v>
      </c>
      <c r="AJ324" s="111">
        <f>IF(AN324=0,I324,0)</f>
      </c>
      <c r="AK324" s="111">
        <f>IF(AN324=12,I324,0)</f>
      </c>
      <c r="AL324" s="111">
        <f>IF(AN324=21,I324,0)</f>
      </c>
      <c r="AN324" s="111" t="n">
        <v>21</v>
      </c>
      <c r="AO324" s="111">
        <f>H324*0.198819871</f>
      </c>
      <c r="AP324" s="111">
        <f>H324*(1-0.198819871)</f>
      </c>
      <c r="AQ324" s="153" t="s">
        <v>130</v>
      </c>
      <c r="AV324" s="111">
        <f>AW324+AX324</f>
      </c>
      <c r="AW324" s="111">
        <f>G324*AO324</f>
      </c>
      <c r="AX324" s="111">
        <f>G324*AP324</f>
      </c>
      <c r="AY324" s="153" t="s">
        <v>559</v>
      </c>
      <c r="AZ324" s="153" t="s">
        <v>399</v>
      </c>
      <c r="BA324" s="132" t="s">
        <v>137</v>
      </c>
      <c r="BC324" s="111">
        <f>AW324+AX324</f>
      </c>
      <c r="BD324" s="111">
        <f>H324/(100-BE324)*100</f>
      </c>
      <c r="BE324" s="111" t="n">
        <v>0</v>
      </c>
      <c r="BF324" s="111">
        <f>324</f>
      </c>
      <c r="BH324" s="111">
        <f>G324*AO324</f>
      </c>
      <c r="BI324" s="111">
        <f>G324*AP324</f>
      </c>
      <c r="BJ324" s="111">
        <f>G324*H324</f>
      </c>
      <c r="BK324" s="111"/>
      <c r="BL324" s="111" t="n">
        <v>34</v>
      </c>
      <c r="BW324" s="111" t="n">
        <v>21</v>
      </c>
      <c r="BX324" s="14" t="s">
        <v>660</v>
      </c>
    </row>
    <row r="325" customHeight="true" ht="13.5">
      <c r="A325" s="159"/>
      <c r="C325" s="160" t="s">
        <v>146</v>
      </c>
      <c r="D325" s="161" t="s">
        <v>661</v>
      </c>
      <c r="E325" s="156"/>
      <c r="F325" s="156"/>
      <c r="G325" s="156"/>
      <c r="H325" s="156"/>
      <c r="I325" s="156"/>
      <c r="J325" s="156"/>
      <c r="K325" s="163"/>
    </row>
    <row r="326">
      <c r="A326" s="154"/>
      <c r="B326" s="155"/>
      <c r="C326" s="155"/>
      <c r="D326" s="156" t="s">
        <v>662</v>
      </c>
      <c r="E326" s="156" t="s">
        <v>663</v>
      </c>
      <c r="F326" s="155"/>
      <c r="G326" s="157" t="n">
        <v>144.2</v>
      </c>
      <c r="H326" s="155"/>
      <c r="I326" s="155"/>
      <c r="J326" s="155"/>
      <c r="K326" s="146"/>
    </row>
    <row r="327">
      <c r="A327" s="154"/>
      <c r="B327" s="155"/>
      <c r="C327" s="155"/>
      <c r="D327" s="156" t="s">
        <v>664</v>
      </c>
      <c r="E327" s="156" t="s">
        <v>402</v>
      </c>
      <c r="F327" s="155"/>
      <c r="G327" s="157" t="n">
        <v>55.6</v>
      </c>
      <c r="H327" s="155"/>
      <c r="I327" s="155"/>
      <c r="J327" s="155"/>
      <c r="K327" s="146"/>
    </row>
    <row r="328">
      <c r="A328" s="9" t="s">
        <v>665</v>
      </c>
      <c r="B328" s="10" t="s">
        <v>84</v>
      </c>
      <c r="C328" s="10" t="s">
        <v>666</v>
      </c>
      <c r="D328" s="14" t="s">
        <v>667</v>
      </c>
      <c r="E328" s="10"/>
      <c r="F328" s="10" t="s">
        <v>145</v>
      </c>
      <c r="G328" s="111">
        <f>'Stavební rozpočet'!G328</f>
      </c>
      <c r="H328" s="111">
        <f>'Stavební rozpočet'!H328</f>
      </c>
      <c r="I328" s="111">
        <f>G328*H328</f>
      </c>
      <c r="J328" s="153" t="s">
        <v>134</v>
      </c>
      <c r="K328" s="146"/>
      <c r="Z328" s="111">
        <f>IF(AQ328="5",BJ328,0)</f>
      </c>
      <c r="AB328" s="111">
        <f>IF(AQ328="1",BH328,0)</f>
      </c>
      <c r="AC328" s="111">
        <f>IF(AQ328="1",BI328,0)</f>
      </c>
      <c r="AD328" s="111">
        <f>IF(AQ328="7",BH328,0)</f>
      </c>
      <c r="AE328" s="111">
        <f>IF(AQ328="7",BI328,0)</f>
      </c>
      <c r="AF328" s="111">
        <f>IF(AQ328="2",BH328,0)</f>
      </c>
      <c r="AG328" s="111">
        <f>IF(AQ328="2",BI328,0)</f>
      </c>
      <c r="AH328" s="111">
        <f>IF(AQ328="0",BJ328,0)</f>
      </c>
      <c r="AI328" s="132" t="s">
        <v>84</v>
      </c>
      <c r="AJ328" s="111">
        <f>IF(AN328=0,I328,0)</f>
      </c>
      <c r="AK328" s="111">
        <f>IF(AN328=12,I328,0)</f>
      </c>
      <c r="AL328" s="111">
        <f>IF(AN328=21,I328,0)</f>
      </c>
      <c r="AN328" s="111" t="n">
        <v>21</v>
      </c>
      <c r="AO328" s="111">
        <f>H328*0.273783102</f>
      </c>
      <c r="AP328" s="111">
        <f>H328*(1-0.273783102)</f>
      </c>
      <c r="AQ328" s="153" t="s">
        <v>130</v>
      </c>
      <c r="AV328" s="111">
        <f>AW328+AX328</f>
      </c>
      <c r="AW328" s="111">
        <f>G328*AO328</f>
      </c>
      <c r="AX328" s="111">
        <f>G328*AP328</f>
      </c>
      <c r="AY328" s="153" t="s">
        <v>559</v>
      </c>
      <c r="AZ328" s="153" t="s">
        <v>399</v>
      </c>
      <c r="BA328" s="132" t="s">
        <v>137</v>
      </c>
      <c r="BC328" s="111">
        <f>AW328+AX328</f>
      </c>
      <c r="BD328" s="111">
        <f>H328/(100-BE328)*100</f>
      </c>
      <c r="BE328" s="111" t="n">
        <v>0</v>
      </c>
      <c r="BF328" s="111">
        <f>328</f>
      </c>
      <c r="BH328" s="111">
        <f>G328*AO328</f>
      </c>
      <c r="BI328" s="111">
        <f>G328*AP328</f>
      </c>
      <c r="BJ328" s="111">
        <f>G328*H328</f>
      </c>
      <c r="BK328" s="111"/>
      <c r="BL328" s="111" t="n">
        <v>34</v>
      </c>
      <c r="BW328" s="111" t="n">
        <v>21</v>
      </c>
      <c r="BX328" s="14" t="s">
        <v>667</v>
      </c>
    </row>
    <row r="329" customHeight="true" ht="13.5">
      <c r="A329" s="159"/>
      <c r="C329" s="160" t="s">
        <v>146</v>
      </c>
      <c r="D329" s="161" t="s">
        <v>661</v>
      </c>
      <c r="E329" s="156"/>
      <c r="F329" s="156"/>
      <c r="G329" s="156"/>
      <c r="H329" s="156"/>
      <c r="I329" s="156"/>
      <c r="J329" s="156"/>
      <c r="K329" s="163"/>
    </row>
    <row r="330">
      <c r="A330" s="154"/>
      <c r="B330" s="155"/>
      <c r="C330" s="155"/>
      <c r="D330" s="156" t="s">
        <v>668</v>
      </c>
      <c r="E330" s="156" t="s">
        <v>406</v>
      </c>
      <c r="F330" s="155"/>
      <c r="G330" s="157" t="n">
        <v>126.1</v>
      </c>
      <c r="H330" s="155"/>
      <c r="I330" s="155"/>
      <c r="J330" s="155"/>
      <c r="K330" s="146"/>
    </row>
    <row r="331">
      <c r="A331" s="9" t="s">
        <v>669</v>
      </c>
      <c r="B331" s="10" t="s">
        <v>84</v>
      </c>
      <c r="C331" s="10" t="s">
        <v>670</v>
      </c>
      <c r="D331" s="14" t="s">
        <v>671</v>
      </c>
      <c r="E331" s="10"/>
      <c r="F331" s="10" t="s">
        <v>145</v>
      </c>
      <c r="G331" s="111">
        <f>'Stavební rozpočet'!G331</f>
      </c>
      <c r="H331" s="111">
        <f>'Stavební rozpočet'!H331</f>
      </c>
      <c r="I331" s="111">
        <f>G331*H331</f>
      </c>
      <c r="J331" s="153" t="s">
        <v>134</v>
      </c>
      <c r="K331" s="146"/>
      <c r="Z331" s="111">
        <f>IF(AQ331="5",BJ331,0)</f>
      </c>
      <c r="AB331" s="111">
        <f>IF(AQ331="1",BH331,0)</f>
      </c>
      <c r="AC331" s="111">
        <f>IF(AQ331="1",BI331,0)</f>
      </c>
      <c r="AD331" s="111">
        <f>IF(AQ331="7",BH331,0)</f>
      </c>
      <c r="AE331" s="111">
        <f>IF(AQ331="7",BI331,0)</f>
      </c>
      <c r="AF331" s="111">
        <f>IF(AQ331="2",BH331,0)</f>
      </c>
      <c r="AG331" s="111">
        <f>IF(AQ331="2",BI331,0)</f>
      </c>
      <c r="AH331" s="111">
        <f>IF(AQ331="0",BJ331,0)</f>
      </c>
      <c r="AI331" s="132" t="s">
        <v>84</v>
      </c>
      <c r="AJ331" s="111">
        <f>IF(AN331=0,I331,0)</f>
      </c>
      <c r="AK331" s="111">
        <f>IF(AN331=12,I331,0)</f>
      </c>
      <c r="AL331" s="111">
        <f>IF(AN331=21,I331,0)</f>
      </c>
      <c r="AN331" s="111" t="n">
        <v>21</v>
      </c>
      <c r="AO331" s="111">
        <f>H331*1</f>
      </c>
      <c r="AP331" s="111">
        <f>H331*(1-1)</f>
      </c>
      <c r="AQ331" s="153" t="s">
        <v>130</v>
      </c>
      <c r="AV331" s="111">
        <f>AW331+AX331</f>
      </c>
      <c r="AW331" s="111">
        <f>G331*AO331</f>
      </c>
      <c r="AX331" s="111">
        <f>G331*AP331</f>
      </c>
      <c r="AY331" s="153" t="s">
        <v>559</v>
      </c>
      <c r="AZ331" s="153" t="s">
        <v>399</v>
      </c>
      <c r="BA331" s="132" t="s">
        <v>137</v>
      </c>
      <c r="BC331" s="111">
        <f>AW331+AX331</f>
      </c>
      <c r="BD331" s="111">
        <f>H331/(100-BE331)*100</f>
      </c>
      <c r="BE331" s="111" t="n">
        <v>0</v>
      </c>
      <c r="BF331" s="111">
        <f>331</f>
      </c>
      <c r="BH331" s="111">
        <f>G331*AO331</f>
      </c>
      <c r="BI331" s="111">
        <f>G331*AP331</f>
      </c>
      <c r="BJ331" s="111">
        <f>G331*H331</f>
      </c>
      <c r="BK331" s="111"/>
      <c r="BL331" s="111" t="n">
        <v>34</v>
      </c>
      <c r="BW331" s="111" t="n">
        <v>21</v>
      </c>
      <c r="BX331" s="14" t="s">
        <v>671</v>
      </c>
    </row>
    <row r="332">
      <c r="A332" s="154"/>
      <c r="B332" s="155"/>
      <c r="C332" s="155"/>
      <c r="D332" s="156" t="s">
        <v>4</v>
      </c>
      <c r="E332" s="156" t="s">
        <v>672</v>
      </c>
      <c r="F332" s="155"/>
      <c r="G332" s="157" t="n">
        <v>0</v>
      </c>
      <c r="H332" s="155"/>
      <c r="I332" s="155"/>
      <c r="J332" s="155"/>
      <c r="K332" s="146"/>
    </row>
    <row r="333">
      <c r="A333" s="154"/>
      <c r="B333" s="155"/>
      <c r="C333" s="155"/>
      <c r="D333" s="156" t="s">
        <v>4</v>
      </c>
      <c r="E333" s="156" t="s">
        <v>661</v>
      </c>
      <c r="F333" s="155"/>
      <c r="G333" s="157" t="n">
        <v>0</v>
      </c>
      <c r="H333" s="155"/>
      <c r="I333" s="155"/>
      <c r="J333" s="155"/>
      <c r="K333" s="146"/>
    </row>
    <row r="334">
      <c r="A334" s="154"/>
      <c r="B334" s="155"/>
      <c r="C334" s="155"/>
      <c r="D334" s="156" t="s">
        <v>662</v>
      </c>
      <c r="E334" s="156" t="s">
        <v>663</v>
      </c>
      <c r="F334" s="155"/>
      <c r="G334" s="157" t="n">
        <v>144.2</v>
      </c>
      <c r="H334" s="155"/>
      <c r="I334" s="155"/>
      <c r="J334" s="155"/>
      <c r="K334" s="146"/>
    </row>
    <row r="335">
      <c r="A335" s="154"/>
      <c r="B335" s="155"/>
      <c r="C335" s="155"/>
      <c r="D335" s="156" t="s">
        <v>664</v>
      </c>
      <c r="E335" s="156" t="s">
        <v>402</v>
      </c>
      <c r="F335" s="155"/>
      <c r="G335" s="157" t="n">
        <v>55.6</v>
      </c>
      <c r="H335" s="155"/>
      <c r="I335" s="155"/>
      <c r="J335" s="155"/>
      <c r="K335" s="146"/>
    </row>
    <row r="336">
      <c r="A336" s="154"/>
      <c r="B336" s="155"/>
      <c r="C336" s="155"/>
      <c r="D336" s="156" t="s">
        <v>668</v>
      </c>
      <c r="E336" s="156" t="s">
        <v>406</v>
      </c>
      <c r="F336" s="155"/>
      <c r="G336" s="157" t="n">
        <v>126.1</v>
      </c>
      <c r="H336" s="155"/>
      <c r="I336" s="155"/>
      <c r="J336" s="155"/>
      <c r="K336" s="146"/>
    </row>
    <row r="337">
      <c r="A337" s="154"/>
      <c r="B337" s="155"/>
      <c r="C337" s="155"/>
      <c r="D337" s="156" t="s">
        <v>673</v>
      </c>
      <c r="E337" s="156" t="s">
        <v>674</v>
      </c>
      <c r="F337" s="155"/>
      <c r="G337" s="157" t="n">
        <v>48.885</v>
      </c>
      <c r="H337" s="155"/>
      <c r="I337" s="155"/>
      <c r="J337" s="155"/>
      <c r="K337" s="146"/>
    </row>
    <row r="338">
      <c r="A338" s="9" t="s">
        <v>675</v>
      </c>
      <c r="B338" s="10" t="s">
        <v>84</v>
      </c>
      <c r="C338" s="10" t="s">
        <v>557</v>
      </c>
      <c r="D338" s="14" t="s">
        <v>676</v>
      </c>
      <c r="E338" s="10"/>
      <c r="F338" s="10" t="s">
        <v>145</v>
      </c>
      <c r="G338" s="111">
        <f>'Stavební rozpočet'!G338</f>
      </c>
      <c r="H338" s="111">
        <f>'Stavební rozpočet'!H338</f>
      </c>
      <c r="I338" s="111">
        <f>G338*H338</f>
      </c>
      <c r="J338" s="153" t="s">
        <v>134</v>
      </c>
      <c r="K338" s="146"/>
      <c r="Z338" s="111">
        <f>IF(AQ338="5",BJ338,0)</f>
      </c>
      <c r="AB338" s="111">
        <f>IF(AQ338="1",BH338,0)</f>
      </c>
      <c r="AC338" s="111">
        <f>IF(AQ338="1",BI338,0)</f>
      </c>
      <c r="AD338" s="111">
        <f>IF(AQ338="7",BH338,0)</f>
      </c>
      <c r="AE338" s="111">
        <f>IF(AQ338="7",BI338,0)</f>
      </c>
      <c r="AF338" s="111">
        <f>IF(AQ338="2",BH338,0)</f>
      </c>
      <c r="AG338" s="111">
        <f>IF(AQ338="2",BI338,0)</f>
      </c>
      <c r="AH338" s="111">
        <f>IF(AQ338="0",BJ338,0)</f>
      </c>
      <c r="AI338" s="132" t="s">
        <v>84</v>
      </c>
      <c r="AJ338" s="111">
        <f>IF(AN338=0,I338,0)</f>
      </c>
      <c r="AK338" s="111">
        <f>IF(AN338=12,I338,0)</f>
      </c>
      <c r="AL338" s="111">
        <f>IF(AN338=21,I338,0)</f>
      </c>
      <c r="AN338" s="111" t="n">
        <v>21</v>
      </c>
      <c r="AO338" s="111">
        <f>H338*0.790117669</f>
      </c>
      <c r="AP338" s="111">
        <f>H338*(1-0.790117669)</f>
      </c>
      <c r="AQ338" s="153" t="s">
        <v>130</v>
      </c>
      <c r="AV338" s="111">
        <f>AW338+AX338</f>
      </c>
      <c r="AW338" s="111">
        <f>G338*AO338</f>
      </c>
      <c r="AX338" s="111">
        <f>G338*AP338</f>
      </c>
      <c r="AY338" s="153" t="s">
        <v>559</v>
      </c>
      <c r="AZ338" s="153" t="s">
        <v>399</v>
      </c>
      <c r="BA338" s="132" t="s">
        <v>137</v>
      </c>
      <c r="BC338" s="111">
        <f>AW338+AX338</f>
      </c>
      <c r="BD338" s="111">
        <f>H338/(100-BE338)*100</f>
      </c>
      <c r="BE338" s="111" t="n">
        <v>0</v>
      </c>
      <c r="BF338" s="111">
        <f>338</f>
      </c>
      <c r="BH338" s="111">
        <f>G338*AO338</f>
      </c>
      <c r="BI338" s="111">
        <f>G338*AP338</f>
      </c>
      <c r="BJ338" s="111">
        <f>G338*H338</f>
      </c>
      <c r="BK338" s="111"/>
      <c r="BL338" s="111" t="n">
        <v>34</v>
      </c>
      <c r="BW338" s="111" t="n">
        <v>21</v>
      </c>
      <c r="BX338" s="14" t="s">
        <v>676</v>
      </c>
    </row>
    <row r="339" customHeight="true" ht="13.5">
      <c r="A339" s="159"/>
      <c r="C339" s="160" t="s">
        <v>146</v>
      </c>
      <c r="D339" s="161" t="s">
        <v>677</v>
      </c>
      <c r="E339" s="156"/>
      <c r="F339" s="156"/>
      <c r="G339" s="156"/>
      <c r="H339" s="156"/>
      <c r="I339" s="156"/>
      <c r="J339" s="156"/>
      <c r="K339" s="163"/>
    </row>
    <row r="340">
      <c r="A340" s="154"/>
      <c r="B340" s="155"/>
      <c r="C340" s="155"/>
      <c r="D340" s="156" t="s">
        <v>678</v>
      </c>
      <c r="E340" s="156" t="s">
        <v>679</v>
      </c>
      <c r="F340" s="155"/>
      <c r="G340" s="157" t="n">
        <v>2.1175</v>
      </c>
      <c r="H340" s="155"/>
      <c r="I340" s="155"/>
      <c r="J340" s="155"/>
      <c r="K340" s="146"/>
    </row>
    <row r="341">
      <c r="A341" s="154"/>
      <c r="B341" s="155"/>
      <c r="C341" s="155"/>
      <c r="D341" s="156" t="s">
        <v>680</v>
      </c>
      <c r="E341" s="156" t="s">
        <v>681</v>
      </c>
      <c r="F341" s="155"/>
      <c r="G341" s="157" t="n">
        <v>2.8063</v>
      </c>
      <c r="H341" s="155"/>
      <c r="I341" s="155"/>
      <c r="J341" s="155"/>
      <c r="K341" s="146"/>
    </row>
    <row r="342">
      <c r="A342" s="154"/>
      <c r="B342" s="155"/>
      <c r="C342" s="155"/>
      <c r="D342" s="156" t="s">
        <v>682</v>
      </c>
      <c r="E342" s="156" t="s">
        <v>683</v>
      </c>
      <c r="F342" s="155"/>
      <c r="G342" s="157" t="n">
        <v>3.3175</v>
      </c>
      <c r="H342" s="155"/>
      <c r="I342" s="155"/>
      <c r="J342" s="155"/>
      <c r="K342" s="146"/>
    </row>
    <row r="343">
      <c r="A343" s="154"/>
      <c r="B343" s="155"/>
      <c r="C343" s="155"/>
      <c r="D343" s="156" t="s">
        <v>684</v>
      </c>
      <c r="E343" s="156" t="s">
        <v>685</v>
      </c>
      <c r="F343" s="155"/>
      <c r="G343" s="157" t="n">
        <v>8.9075</v>
      </c>
      <c r="H343" s="155"/>
      <c r="I343" s="155"/>
      <c r="J343" s="155"/>
      <c r="K343" s="146"/>
    </row>
    <row r="344">
      <c r="A344" s="154"/>
      <c r="B344" s="155"/>
      <c r="C344" s="155"/>
      <c r="D344" s="156" t="s">
        <v>686</v>
      </c>
      <c r="E344" s="156" t="s">
        <v>687</v>
      </c>
      <c r="F344" s="155"/>
      <c r="G344" s="157" t="n">
        <v>8.6625</v>
      </c>
      <c r="H344" s="155"/>
      <c r="I344" s="155"/>
      <c r="J344" s="155"/>
      <c r="K344" s="146"/>
    </row>
    <row r="345">
      <c r="A345" s="9" t="s">
        <v>688</v>
      </c>
      <c r="B345" s="10" t="s">
        <v>84</v>
      </c>
      <c r="C345" s="10" t="s">
        <v>689</v>
      </c>
      <c r="D345" s="14" t="s">
        <v>690</v>
      </c>
      <c r="E345" s="10"/>
      <c r="F345" s="10" t="s">
        <v>282</v>
      </c>
      <c r="G345" s="111">
        <f>'Stavební rozpočet'!G345</f>
      </c>
      <c r="H345" s="111">
        <f>'Stavební rozpočet'!H345</f>
      </c>
      <c r="I345" s="111">
        <f>G345*H345</f>
      </c>
      <c r="J345" s="153" t="s">
        <v>134</v>
      </c>
      <c r="K345" s="146"/>
      <c r="Z345" s="111">
        <f>IF(AQ345="5",BJ345,0)</f>
      </c>
      <c r="AB345" s="111">
        <f>IF(AQ345="1",BH345,0)</f>
      </c>
      <c r="AC345" s="111">
        <f>IF(AQ345="1",BI345,0)</f>
      </c>
      <c r="AD345" s="111">
        <f>IF(AQ345="7",BH345,0)</f>
      </c>
      <c r="AE345" s="111">
        <f>IF(AQ345="7",BI345,0)</f>
      </c>
      <c r="AF345" s="111">
        <f>IF(AQ345="2",BH345,0)</f>
      </c>
      <c r="AG345" s="111">
        <f>IF(AQ345="2",BI345,0)</f>
      </c>
      <c r="AH345" s="111">
        <f>IF(AQ345="0",BJ345,0)</f>
      </c>
      <c r="AI345" s="132" t="s">
        <v>84</v>
      </c>
      <c r="AJ345" s="111">
        <f>IF(AN345=0,I345,0)</f>
      </c>
      <c r="AK345" s="111">
        <f>IF(AN345=12,I345,0)</f>
      </c>
      <c r="AL345" s="111">
        <f>IF(AN345=21,I345,0)</f>
      </c>
      <c r="AN345" s="111" t="n">
        <v>21</v>
      </c>
      <c r="AO345" s="111">
        <f>H345*0.3305</f>
      </c>
      <c r="AP345" s="111">
        <f>H345*(1-0.3305)</f>
      </c>
      <c r="AQ345" s="153" t="s">
        <v>130</v>
      </c>
      <c r="AV345" s="111">
        <f>AW345+AX345</f>
      </c>
      <c r="AW345" s="111">
        <f>G345*AO345</f>
      </c>
      <c r="AX345" s="111">
        <f>G345*AP345</f>
      </c>
      <c r="AY345" s="153" t="s">
        <v>559</v>
      </c>
      <c r="AZ345" s="153" t="s">
        <v>399</v>
      </c>
      <c r="BA345" s="132" t="s">
        <v>137</v>
      </c>
      <c r="BC345" s="111">
        <f>AW345+AX345</f>
      </c>
      <c r="BD345" s="111">
        <f>H345/(100-BE345)*100</f>
      </c>
      <c r="BE345" s="111" t="n">
        <v>0</v>
      </c>
      <c r="BF345" s="111">
        <f>345</f>
      </c>
      <c r="BH345" s="111">
        <f>G345*AO345</f>
      </c>
      <c r="BI345" s="111">
        <f>G345*AP345</f>
      </c>
      <c r="BJ345" s="111">
        <f>G345*H345</f>
      </c>
      <c r="BK345" s="111"/>
      <c r="BL345" s="111" t="n">
        <v>34</v>
      </c>
      <c r="BW345" s="111" t="n">
        <v>21</v>
      </c>
      <c r="BX345" s="14" t="s">
        <v>690</v>
      </c>
    </row>
    <row r="346" customHeight="true" ht="13.5">
      <c r="A346" s="159"/>
      <c r="C346" s="160" t="s">
        <v>146</v>
      </c>
      <c r="D346" s="161" t="s">
        <v>691</v>
      </c>
      <c r="E346" s="156"/>
      <c r="F346" s="156"/>
      <c r="G346" s="156"/>
      <c r="H346" s="156"/>
      <c r="I346" s="156"/>
      <c r="J346" s="156"/>
      <c r="K346" s="163"/>
    </row>
    <row r="347">
      <c r="A347" s="154"/>
      <c r="B347" s="155"/>
      <c r="C347" s="155"/>
      <c r="D347" s="156" t="s">
        <v>4</v>
      </c>
      <c r="E347" s="156" t="s">
        <v>692</v>
      </c>
      <c r="F347" s="155"/>
      <c r="G347" s="157" t="n">
        <v>0</v>
      </c>
      <c r="H347" s="155"/>
      <c r="I347" s="155"/>
      <c r="J347" s="155"/>
      <c r="K347" s="146"/>
    </row>
    <row r="348">
      <c r="A348" s="154"/>
      <c r="B348" s="155"/>
      <c r="C348" s="155"/>
      <c r="D348" s="156" t="s">
        <v>693</v>
      </c>
      <c r="E348" s="156" t="s">
        <v>679</v>
      </c>
      <c r="F348" s="155"/>
      <c r="G348" s="157" t="n">
        <v>8.47</v>
      </c>
      <c r="H348" s="155"/>
      <c r="I348" s="155"/>
      <c r="J348" s="155"/>
      <c r="K348" s="146"/>
    </row>
    <row r="349">
      <c r="A349" s="154"/>
      <c r="B349" s="155"/>
      <c r="C349" s="155"/>
      <c r="D349" s="156" t="s">
        <v>694</v>
      </c>
      <c r="E349" s="156" t="s">
        <v>681</v>
      </c>
      <c r="F349" s="155"/>
      <c r="G349" s="157" t="n">
        <v>4.22</v>
      </c>
      <c r="H349" s="155"/>
      <c r="I349" s="155"/>
      <c r="J349" s="155"/>
      <c r="K349" s="146"/>
    </row>
    <row r="350">
      <c r="A350" s="154"/>
      <c r="B350" s="155"/>
      <c r="C350" s="155"/>
      <c r="D350" s="156" t="s">
        <v>695</v>
      </c>
      <c r="E350" s="156" t="s">
        <v>683</v>
      </c>
      <c r="F350" s="155"/>
      <c r="G350" s="157" t="n">
        <v>13.27</v>
      </c>
      <c r="H350" s="155"/>
      <c r="I350" s="155"/>
      <c r="J350" s="155"/>
      <c r="K350" s="146"/>
    </row>
    <row r="351">
      <c r="A351" s="154"/>
      <c r="B351" s="155"/>
      <c r="C351" s="155"/>
      <c r="D351" s="156" t="s">
        <v>696</v>
      </c>
      <c r="E351" s="156" t="s">
        <v>685</v>
      </c>
      <c r="F351" s="155"/>
      <c r="G351" s="157" t="n">
        <v>35.63</v>
      </c>
      <c r="H351" s="155"/>
      <c r="I351" s="155"/>
      <c r="J351" s="155"/>
      <c r="K351" s="146"/>
    </row>
    <row r="352">
      <c r="A352" s="154"/>
      <c r="B352" s="155"/>
      <c r="C352" s="155"/>
      <c r="D352" s="156" t="s">
        <v>697</v>
      </c>
      <c r="E352" s="156" t="s">
        <v>687</v>
      </c>
      <c r="F352" s="155"/>
      <c r="G352" s="157" t="n">
        <v>34.65</v>
      </c>
      <c r="H352" s="155"/>
      <c r="I352" s="155"/>
      <c r="J352" s="155"/>
      <c r="K352" s="146"/>
    </row>
    <row r="353">
      <c r="A353" s="9" t="s">
        <v>698</v>
      </c>
      <c r="B353" s="10" t="s">
        <v>84</v>
      </c>
      <c r="C353" s="10" t="s">
        <v>699</v>
      </c>
      <c r="D353" s="14" t="s">
        <v>700</v>
      </c>
      <c r="E353" s="10"/>
      <c r="F353" s="10" t="s">
        <v>145</v>
      </c>
      <c r="G353" s="111">
        <f>'Stavební rozpočet'!G353</f>
      </c>
      <c r="H353" s="111">
        <f>'Stavební rozpočet'!H353</f>
      </c>
      <c r="I353" s="111">
        <f>G353*H353</f>
      </c>
      <c r="J353" s="153" t="s">
        <v>134</v>
      </c>
      <c r="K353" s="146"/>
      <c r="Z353" s="111">
        <f>IF(AQ353="5",BJ353,0)</f>
      </c>
      <c r="AB353" s="111">
        <f>IF(AQ353="1",BH353,0)</f>
      </c>
      <c r="AC353" s="111">
        <f>IF(AQ353="1",BI353,0)</f>
      </c>
      <c r="AD353" s="111">
        <f>IF(AQ353="7",BH353,0)</f>
      </c>
      <c r="AE353" s="111">
        <f>IF(AQ353="7",BI353,0)</f>
      </c>
      <c r="AF353" s="111">
        <f>IF(AQ353="2",BH353,0)</f>
      </c>
      <c r="AG353" s="111">
        <f>IF(AQ353="2",BI353,0)</f>
      </c>
      <c r="AH353" s="111">
        <f>IF(AQ353="0",BJ353,0)</f>
      </c>
      <c r="AI353" s="132" t="s">
        <v>84</v>
      </c>
      <c r="AJ353" s="111">
        <f>IF(AN353=0,I353,0)</f>
      </c>
      <c r="AK353" s="111">
        <f>IF(AN353=12,I353,0)</f>
      </c>
      <c r="AL353" s="111">
        <f>IF(AN353=21,I353,0)</f>
      </c>
      <c r="AN353" s="111" t="n">
        <v>21</v>
      </c>
      <c r="AO353" s="111">
        <f>H353*0.708104092</f>
      </c>
      <c r="AP353" s="111">
        <f>H353*(1-0.708104092)</f>
      </c>
      <c r="AQ353" s="153" t="s">
        <v>130</v>
      </c>
      <c r="AV353" s="111">
        <f>AW353+AX353</f>
      </c>
      <c r="AW353" s="111">
        <f>G353*AO353</f>
      </c>
      <c r="AX353" s="111">
        <f>G353*AP353</f>
      </c>
      <c r="AY353" s="153" t="s">
        <v>559</v>
      </c>
      <c r="AZ353" s="153" t="s">
        <v>399</v>
      </c>
      <c r="BA353" s="132" t="s">
        <v>137</v>
      </c>
      <c r="BC353" s="111">
        <f>AW353+AX353</f>
      </c>
      <c r="BD353" s="111">
        <f>H353/(100-BE353)*100</f>
      </c>
      <c r="BE353" s="111" t="n">
        <v>0</v>
      </c>
      <c r="BF353" s="111">
        <f>353</f>
      </c>
      <c r="BH353" s="111">
        <f>G353*AO353</f>
      </c>
      <c r="BI353" s="111">
        <f>G353*AP353</f>
      </c>
      <c r="BJ353" s="111">
        <f>G353*H353</f>
      </c>
      <c r="BK353" s="111"/>
      <c r="BL353" s="111" t="n">
        <v>34</v>
      </c>
      <c r="BW353" s="111" t="n">
        <v>21</v>
      </c>
      <c r="BX353" s="14" t="s">
        <v>700</v>
      </c>
    </row>
    <row r="354" customHeight="true" ht="13.5">
      <c r="A354" s="159"/>
      <c r="C354" s="160" t="s">
        <v>146</v>
      </c>
      <c r="D354" s="161" t="s">
        <v>701</v>
      </c>
      <c r="E354" s="156"/>
      <c r="F354" s="156"/>
      <c r="G354" s="156"/>
      <c r="H354" s="156"/>
      <c r="I354" s="156"/>
      <c r="J354" s="156"/>
      <c r="K354" s="163"/>
    </row>
    <row r="355">
      <c r="A355" s="154"/>
      <c r="B355" s="155"/>
      <c r="C355" s="155"/>
      <c r="D355" s="156" t="s">
        <v>702</v>
      </c>
      <c r="E355" s="156" t="s">
        <v>703</v>
      </c>
      <c r="F355" s="155"/>
      <c r="G355" s="157" t="n">
        <v>1.875</v>
      </c>
      <c r="H355" s="155"/>
      <c r="I355" s="155"/>
      <c r="J355" s="155"/>
      <c r="K355" s="146"/>
    </row>
    <row r="356">
      <c r="A356" s="9" t="s">
        <v>704</v>
      </c>
      <c r="B356" s="10" t="s">
        <v>84</v>
      </c>
      <c r="C356" s="10" t="s">
        <v>705</v>
      </c>
      <c r="D356" s="14" t="s">
        <v>706</v>
      </c>
      <c r="E356" s="10"/>
      <c r="F356" s="10" t="s">
        <v>145</v>
      </c>
      <c r="G356" s="111">
        <f>'Stavební rozpočet'!G356</f>
      </c>
      <c r="H356" s="111">
        <f>'Stavební rozpočet'!H356</f>
      </c>
      <c r="I356" s="111">
        <f>G356*H356</f>
      </c>
      <c r="J356" s="153" t="s">
        <v>134</v>
      </c>
      <c r="K356" s="146"/>
      <c r="Z356" s="111">
        <f>IF(AQ356="5",BJ356,0)</f>
      </c>
      <c r="AB356" s="111">
        <f>IF(AQ356="1",BH356,0)</f>
      </c>
      <c r="AC356" s="111">
        <f>IF(AQ356="1",BI356,0)</f>
      </c>
      <c r="AD356" s="111">
        <f>IF(AQ356="7",BH356,0)</f>
      </c>
      <c r="AE356" s="111">
        <f>IF(AQ356="7",BI356,0)</f>
      </c>
      <c r="AF356" s="111">
        <f>IF(AQ356="2",BH356,0)</f>
      </c>
      <c r="AG356" s="111">
        <f>IF(AQ356="2",BI356,0)</f>
      </c>
      <c r="AH356" s="111">
        <f>IF(AQ356="0",BJ356,0)</f>
      </c>
      <c r="AI356" s="132" t="s">
        <v>84</v>
      </c>
      <c r="AJ356" s="111">
        <f>IF(AN356=0,I356,0)</f>
      </c>
      <c r="AK356" s="111">
        <f>IF(AN356=12,I356,0)</f>
      </c>
      <c r="AL356" s="111">
        <f>IF(AN356=21,I356,0)</f>
      </c>
      <c r="AN356" s="111" t="n">
        <v>21</v>
      </c>
      <c r="AO356" s="111">
        <f>H356*0.601533463</f>
      </c>
      <c r="AP356" s="111">
        <f>H356*(1-0.601533463)</f>
      </c>
      <c r="AQ356" s="153" t="s">
        <v>130</v>
      </c>
      <c r="AV356" s="111">
        <f>AW356+AX356</f>
      </c>
      <c r="AW356" s="111">
        <f>G356*AO356</f>
      </c>
      <c r="AX356" s="111">
        <f>G356*AP356</f>
      </c>
      <c r="AY356" s="153" t="s">
        <v>559</v>
      </c>
      <c r="AZ356" s="153" t="s">
        <v>399</v>
      </c>
      <c r="BA356" s="132" t="s">
        <v>137</v>
      </c>
      <c r="BC356" s="111">
        <f>AW356+AX356</f>
      </c>
      <c r="BD356" s="111">
        <f>H356/(100-BE356)*100</f>
      </c>
      <c r="BE356" s="111" t="n">
        <v>0</v>
      </c>
      <c r="BF356" s="111">
        <f>356</f>
      </c>
      <c r="BH356" s="111">
        <f>G356*AO356</f>
      </c>
      <c r="BI356" s="111">
        <f>G356*AP356</f>
      </c>
      <c r="BJ356" s="111">
        <f>G356*H356</f>
      </c>
      <c r="BK356" s="111"/>
      <c r="BL356" s="111" t="n">
        <v>34</v>
      </c>
      <c r="BW356" s="111" t="n">
        <v>21</v>
      </c>
      <c r="BX356" s="14" t="s">
        <v>706</v>
      </c>
    </row>
    <row r="357" customHeight="true" ht="13.5">
      <c r="A357" s="159"/>
      <c r="C357" s="160" t="s">
        <v>146</v>
      </c>
      <c r="D357" s="161" t="s">
        <v>707</v>
      </c>
      <c r="E357" s="156"/>
      <c r="F357" s="156"/>
      <c r="G357" s="156"/>
      <c r="H357" s="156"/>
      <c r="I357" s="156"/>
      <c r="J357" s="156"/>
      <c r="K357" s="163"/>
    </row>
    <row r="358">
      <c r="A358" s="154"/>
      <c r="B358" s="155"/>
      <c r="C358" s="155"/>
      <c r="D358" s="156" t="s">
        <v>708</v>
      </c>
      <c r="E358" s="156" t="s">
        <v>709</v>
      </c>
      <c r="F358" s="155"/>
      <c r="G358" s="157" t="n">
        <v>1.8</v>
      </c>
      <c r="H358" s="155"/>
      <c r="I358" s="155"/>
      <c r="J358" s="155"/>
      <c r="K358" s="146"/>
    </row>
    <row r="359">
      <c r="A359" s="9" t="s">
        <v>710</v>
      </c>
      <c r="B359" s="10" t="s">
        <v>84</v>
      </c>
      <c r="C359" s="10" t="s">
        <v>711</v>
      </c>
      <c r="D359" s="14" t="s">
        <v>712</v>
      </c>
      <c r="E359" s="10"/>
      <c r="F359" s="10" t="s">
        <v>133</v>
      </c>
      <c r="G359" s="111">
        <f>'Stavební rozpočet'!G359</f>
      </c>
      <c r="H359" s="111">
        <f>'Stavební rozpočet'!H359</f>
      </c>
      <c r="I359" s="111">
        <f>G359*H359</f>
      </c>
      <c r="J359" s="153" t="s">
        <v>134</v>
      </c>
      <c r="K359" s="146"/>
      <c r="Z359" s="111">
        <f>IF(AQ359="5",BJ359,0)</f>
      </c>
      <c r="AB359" s="111">
        <f>IF(AQ359="1",BH359,0)</f>
      </c>
      <c r="AC359" s="111">
        <f>IF(AQ359="1",BI359,0)</f>
      </c>
      <c r="AD359" s="111">
        <f>IF(AQ359="7",BH359,0)</f>
      </c>
      <c r="AE359" s="111">
        <f>IF(AQ359="7",BI359,0)</f>
      </c>
      <c r="AF359" s="111">
        <f>IF(AQ359="2",BH359,0)</f>
      </c>
      <c r="AG359" s="111">
        <f>IF(AQ359="2",BI359,0)</f>
      </c>
      <c r="AH359" s="111">
        <f>IF(AQ359="0",BJ359,0)</f>
      </c>
      <c r="AI359" s="132" t="s">
        <v>84</v>
      </c>
      <c r="AJ359" s="111">
        <f>IF(AN359=0,I359,0)</f>
      </c>
      <c r="AK359" s="111">
        <f>IF(AN359=12,I359,0)</f>
      </c>
      <c r="AL359" s="111">
        <f>IF(AN359=21,I359,0)</f>
      </c>
      <c r="AN359" s="111" t="n">
        <v>21</v>
      </c>
      <c r="AO359" s="111">
        <f>H359*0.345709677</f>
      </c>
      <c r="AP359" s="111">
        <f>H359*(1-0.345709677)</f>
      </c>
      <c r="AQ359" s="153" t="s">
        <v>130</v>
      </c>
      <c r="AV359" s="111">
        <f>AW359+AX359</f>
      </c>
      <c r="AW359" s="111">
        <f>G359*AO359</f>
      </c>
      <c r="AX359" s="111">
        <f>G359*AP359</f>
      </c>
      <c r="AY359" s="153" t="s">
        <v>559</v>
      </c>
      <c r="AZ359" s="153" t="s">
        <v>399</v>
      </c>
      <c r="BA359" s="132" t="s">
        <v>137</v>
      </c>
      <c r="BC359" s="111">
        <f>AW359+AX359</f>
      </c>
      <c r="BD359" s="111">
        <f>H359/(100-BE359)*100</f>
      </c>
      <c r="BE359" s="111" t="n">
        <v>0</v>
      </c>
      <c r="BF359" s="111">
        <f>359</f>
      </c>
      <c r="BH359" s="111">
        <f>G359*AO359</f>
      </c>
      <c r="BI359" s="111">
        <f>G359*AP359</f>
      </c>
      <c r="BJ359" s="111">
        <f>G359*H359</f>
      </c>
      <c r="BK359" s="111"/>
      <c r="BL359" s="111" t="n">
        <v>34</v>
      </c>
      <c r="BW359" s="111" t="n">
        <v>21</v>
      </c>
      <c r="BX359" s="14" t="s">
        <v>712</v>
      </c>
    </row>
    <row r="360" customHeight="true" ht="13.5">
      <c r="A360" s="159"/>
      <c r="C360" s="160" t="s">
        <v>146</v>
      </c>
      <c r="D360" s="161" t="s">
        <v>713</v>
      </c>
      <c r="E360" s="156"/>
      <c r="F360" s="156"/>
      <c r="G360" s="156"/>
      <c r="H360" s="156"/>
      <c r="I360" s="156"/>
      <c r="J360" s="156"/>
      <c r="K360" s="163"/>
    </row>
    <row r="361">
      <c r="A361" s="154"/>
      <c r="B361" s="155"/>
      <c r="C361" s="155"/>
      <c r="D361" s="156" t="s">
        <v>156</v>
      </c>
      <c r="E361" s="156" t="s">
        <v>713</v>
      </c>
      <c r="F361" s="155"/>
      <c r="G361" s="157" t="n">
        <v>5</v>
      </c>
      <c r="H361" s="155"/>
      <c r="I361" s="155"/>
      <c r="J361" s="155"/>
      <c r="K361" s="146"/>
    </row>
    <row r="362">
      <c r="A362" s="147" t="s">
        <v>4</v>
      </c>
      <c r="B362" s="148" t="s">
        <v>84</v>
      </c>
      <c r="C362" s="148" t="s">
        <v>407</v>
      </c>
      <c r="D362" s="149" t="s">
        <v>714</v>
      </c>
      <c r="E362" s="148"/>
      <c r="F362" s="150" t="s">
        <v>79</v>
      </c>
      <c r="G362" s="150" t="s">
        <v>79</v>
      </c>
      <c r="H362" s="150" t="s">
        <v>79</v>
      </c>
      <c r="I362" s="117">
        <f>SUM(I363:I515)</f>
      </c>
      <c r="J362" s="132" t="s">
        <v>4</v>
      </c>
      <c r="K362" s="146"/>
      <c r="AI362" s="132" t="s">
        <v>84</v>
      </c>
      <c r="AS362" s="117">
        <f>SUM(AJ363:AJ515)</f>
      </c>
      <c r="AT362" s="117">
        <f>SUM(AK363:AK515)</f>
      </c>
      <c r="AU362" s="117">
        <f>SUM(AL363:AL515)</f>
      </c>
    </row>
    <row r="363">
      <c r="A363" s="9" t="s">
        <v>715</v>
      </c>
      <c r="B363" s="10" t="s">
        <v>84</v>
      </c>
      <c r="C363" s="10" t="s">
        <v>716</v>
      </c>
      <c r="D363" s="14" t="s">
        <v>717</v>
      </c>
      <c r="E363" s="10"/>
      <c r="F363" s="10" t="s">
        <v>159</v>
      </c>
      <c r="G363" s="111">
        <f>'Stavební rozpočet'!G363</f>
      </c>
      <c r="H363" s="111">
        <f>'Stavební rozpočet'!H363</f>
      </c>
      <c r="I363" s="111">
        <f>G363*H363</f>
      </c>
      <c r="J363" s="153" t="s">
        <v>134</v>
      </c>
      <c r="K363" s="146"/>
      <c r="Z363" s="111">
        <f>IF(AQ363="5",BJ363,0)</f>
      </c>
      <c r="AB363" s="111">
        <f>IF(AQ363="1",BH363,0)</f>
      </c>
      <c r="AC363" s="111">
        <f>IF(AQ363="1",BI363,0)</f>
      </c>
      <c r="AD363" s="111">
        <f>IF(AQ363="7",BH363,0)</f>
      </c>
      <c r="AE363" s="111">
        <f>IF(AQ363="7",BI363,0)</f>
      </c>
      <c r="AF363" s="111">
        <f>IF(AQ363="2",BH363,0)</f>
      </c>
      <c r="AG363" s="111">
        <f>IF(AQ363="2",BI363,0)</f>
      </c>
      <c r="AH363" s="111">
        <f>IF(AQ363="0",BJ363,0)</f>
      </c>
      <c r="AI363" s="132" t="s">
        <v>84</v>
      </c>
      <c r="AJ363" s="111">
        <f>IF(AN363=0,I363,0)</f>
      </c>
      <c r="AK363" s="111">
        <f>IF(AN363=12,I363,0)</f>
      </c>
      <c r="AL363" s="111">
        <f>IF(AN363=21,I363,0)</f>
      </c>
      <c r="AN363" s="111" t="n">
        <v>21</v>
      </c>
      <c r="AO363" s="111">
        <f>H363*0.884805987</f>
      </c>
      <c r="AP363" s="111">
        <f>H363*(1-0.884805987)</f>
      </c>
      <c r="AQ363" s="153" t="s">
        <v>130</v>
      </c>
      <c r="AV363" s="111">
        <f>AW363+AX363</f>
      </c>
      <c r="AW363" s="111">
        <f>G363*AO363</f>
      </c>
      <c r="AX363" s="111">
        <f>G363*AP363</f>
      </c>
      <c r="AY363" s="153" t="s">
        <v>718</v>
      </c>
      <c r="AZ363" s="153" t="s">
        <v>719</v>
      </c>
      <c r="BA363" s="132" t="s">
        <v>137</v>
      </c>
      <c r="BC363" s="111">
        <f>AW363+AX363</f>
      </c>
      <c r="BD363" s="111">
        <f>H363/(100-BE363)*100</f>
      </c>
      <c r="BE363" s="111" t="n">
        <v>0</v>
      </c>
      <c r="BF363" s="111">
        <f>363</f>
      </c>
      <c r="BH363" s="111">
        <f>G363*AO363</f>
      </c>
      <c r="BI363" s="111">
        <f>G363*AP363</f>
      </c>
      <c r="BJ363" s="111">
        <f>G363*H363</f>
      </c>
      <c r="BK363" s="111"/>
      <c r="BL363" s="111" t="n">
        <v>41</v>
      </c>
      <c r="BW363" s="111" t="n">
        <v>21</v>
      </c>
      <c r="BX363" s="14" t="s">
        <v>717</v>
      </c>
    </row>
    <row r="364">
      <c r="A364" s="154"/>
      <c r="B364" s="155"/>
      <c r="C364" s="155"/>
      <c r="D364" s="156" t="s">
        <v>720</v>
      </c>
      <c r="E364" s="156" t="s">
        <v>721</v>
      </c>
      <c r="F364" s="155"/>
      <c r="G364" s="157" t="n">
        <v>25.92</v>
      </c>
      <c r="H364" s="155"/>
      <c r="I364" s="155"/>
      <c r="J364" s="155"/>
      <c r="K364" s="146"/>
    </row>
    <row r="365">
      <c r="A365" s="154"/>
      <c r="B365" s="155"/>
      <c r="C365" s="155"/>
      <c r="D365" s="156" t="s">
        <v>722</v>
      </c>
      <c r="E365" s="156" t="s">
        <v>723</v>
      </c>
      <c r="F365" s="155"/>
      <c r="G365" s="157" t="n">
        <v>5.816</v>
      </c>
      <c r="H365" s="155"/>
      <c r="I365" s="155"/>
      <c r="J365" s="155"/>
      <c r="K365" s="146"/>
    </row>
    <row r="366">
      <c r="A366" s="154"/>
      <c r="B366" s="155"/>
      <c r="C366" s="155"/>
      <c r="D366" s="156" t="s">
        <v>724</v>
      </c>
      <c r="E366" s="156" t="s">
        <v>725</v>
      </c>
      <c r="F366" s="155"/>
      <c r="G366" s="157" t="n">
        <v>0.4425</v>
      </c>
      <c r="H366" s="155"/>
      <c r="I366" s="155"/>
      <c r="J366" s="155"/>
      <c r="K366" s="146"/>
    </row>
    <row r="367">
      <c r="A367" s="154"/>
      <c r="B367" s="155"/>
      <c r="C367" s="155"/>
      <c r="D367" s="156" t="s">
        <v>726</v>
      </c>
      <c r="E367" s="156" t="s">
        <v>727</v>
      </c>
      <c r="F367" s="155"/>
      <c r="G367" s="157" t="n">
        <v>0.7632</v>
      </c>
      <c r="H367" s="155"/>
      <c r="I367" s="155"/>
      <c r="J367" s="155"/>
      <c r="K367" s="146"/>
    </row>
    <row r="368">
      <c r="A368" s="9" t="s">
        <v>728</v>
      </c>
      <c r="B368" s="10" t="s">
        <v>84</v>
      </c>
      <c r="C368" s="10" t="s">
        <v>729</v>
      </c>
      <c r="D368" s="14" t="s">
        <v>730</v>
      </c>
      <c r="E368" s="10"/>
      <c r="F368" s="10" t="s">
        <v>229</v>
      </c>
      <c r="G368" s="111">
        <f>'Stavební rozpočet'!G368</f>
      </c>
      <c r="H368" s="111">
        <f>'Stavební rozpočet'!H368</f>
      </c>
      <c r="I368" s="111">
        <f>G368*H368</f>
      </c>
      <c r="J368" s="153" t="s">
        <v>134</v>
      </c>
      <c r="K368" s="146"/>
      <c r="Z368" s="111">
        <f>IF(AQ368="5",BJ368,0)</f>
      </c>
      <c r="AB368" s="111">
        <f>IF(AQ368="1",BH368,0)</f>
      </c>
      <c r="AC368" s="111">
        <f>IF(AQ368="1",BI368,0)</f>
      </c>
      <c r="AD368" s="111">
        <f>IF(AQ368="7",BH368,0)</f>
      </c>
      <c r="AE368" s="111">
        <f>IF(AQ368="7",BI368,0)</f>
      </c>
      <c r="AF368" s="111">
        <f>IF(AQ368="2",BH368,0)</f>
      </c>
      <c r="AG368" s="111">
        <f>IF(AQ368="2",BI368,0)</f>
      </c>
      <c r="AH368" s="111">
        <f>IF(AQ368="0",BJ368,0)</f>
      </c>
      <c r="AI368" s="132" t="s">
        <v>84</v>
      </c>
      <c r="AJ368" s="111">
        <f>IF(AN368=0,I368,0)</f>
      </c>
      <c r="AK368" s="111">
        <f>IF(AN368=12,I368,0)</f>
      </c>
      <c r="AL368" s="111">
        <f>IF(AN368=21,I368,0)</f>
      </c>
      <c r="AN368" s="111" t="n">
        <v>21</v>
      </c>
      <c r="AO368" s="111">
        <f>H368*0.607830358</f>
      </c>
      <c r="AP368" s="111">
        <f>H368*(1-0.607830358)</f>
      </c>
      <c r="AQ368" s="153" t="s">
        <v>130</v>
      </c>
      <c r="AV368" s="111">
        <f>AW368+AX368</f>
      </c>
      <c r="AW368" s="111">
        <f>G368*AO368</f>
      </c>
      <c r="AX368" s="111">
        <f>G368*AP368</f>
      </c>
      <c r="AY368" s="153" t="s">
        <v>718</v>
      </c>
      <c r="AZ368" s="153" t="s">
        <v>719</v>
      </c>
      <c r="BA368" s="132" t="s">
        <v>137</v>
      </c>
      <c r="BC368" s="111">
        <f>AW368+AX368</f>
      </c>
      <c r="BD368" s="111">
        <f>H368/(100-BE368)*100</f>
      </c>
      <c r="BE368" s="111" t="n">
        <v>0</v>
      </c>
      <c r="BF368" s="111">
        <f>368</f>
      </c>
      <c r="BH368" s="111">
        <f>G368*AO368</f>
      </c>
      <c r="BI368" s="111">
        <f>G368*AP368</f>
      </c>
      <c r="BJ368" s="111">
        <f>G368*H368</f>
      </c>
      <c r="BK368" s="111"/>
      <c r="BL368" s="111" t="n">
        <v>41</v>
      </c>
      <c r="BW368" s="111" t="n">
        <v>21</v>
      </c>
      <c r="BX368" s="14" t="s">
        <v>730</v>
      </c>
    </row>
    <row r="369">
      <c r="A369" s="154"/>
      <c r="B369" s="155"/>
      <c r="C369" s="155"/>
      <c r="D369" s="156" t="s">
        <v>731</v>
      </c>
      <c r="E369" s="156" t="s">
        <v>732</v>
      </c>
      <c r="F369" s="155"/>
      <c r="G369" s="157" t="n">
        <v>3.7602</v>
      </c>
      <c r="H369" s="155"/>
      <c r="I369" s="155"/>
      <c r="J369" s="155"/>
      <c r="K369" s="146"/>
    </row>
    <row r="370">
      <c r="A370" s="154"/>
      <c r="B370" s="155"/>
      <c r="C370" s="155"/>
      <c r="D370" s="156" t="s">
        <v>733</v>
      </c>
      <c r="E370" s="156" t="s">
        <v>734</v>
      </c>
      <c r="F370" s="155"/>
      <c r="G370" s="157" t="n">
        <v>0.2037</v>
      </c>
      <c r="H370" s="155"/>
      <c r="I370" s="155"/>
      <c r="J370" s="155"/>
      <c r="K370" s="146"/>
    </row>
    <row r="371">
      <c r="A371" s="154"/>
      <c r="B371" s="155"/>
      <c r="C371" s="155"/>
      <c r="D371" s="156" t="s">
        <v>735</v>
      </c>
      <c r="E371" s="156" t="s">
        <v>736</v>
      </c>
      <c r="F371" s="155"/>
      <c r="G371" s="157" t="n">
        <v>0.1982</v>
      </c>
      <c r="H371" s="155"/>
      <c r="I371" s="155"/>
      <c r="J371" s="155"/>
      <c r="K371" s="146"/>
    </row>
    <row r="372">
      <c r="A372" s="9" t="s">
        <v>737</v>
      </c>
      <c r="B372" s="10" t="s">
        <v>84</v>
      </c>
      <c r="C372" s="10" t="s">
        <v>738</v>
      </c>
      <c r="D372" s="14" t="s">
        <v>739</v>
      </c>
      <c r="E372" s="10"/>
      <c r="F372" s="10" t="s">
        <v>145</v>
      </c>
      <c r="G372" s="111">
        <f>'Stavební rozpočet'!G372</f>
      </c>
      <c r="H372" s="111">
        <f>'Stavební rozpočet'!H372</f>
      </c>
      <c r="I372" s="111">
        <f>G372*H372</f>
      </c>
      <c r="J372" s="153" t="s">
        <v>134</v>
      </c>
      <c r="K372" s="146"/>
      <c r="Z372" s="111">
        <f>IF(AQ372="5",BJ372,0)</f>
      </c>
      <c r="AB372" s="111">
        <f>IF(AQ372="1",BH372,0)</f>
      </c>
      <c r="AC372" s="111">
        <f>IF(AQ372="1",BI372,0)</f>
      </c>
      <c r="AD372" s="111">
        <f>IF(AQ372="7",BH372,0)</f>
      </c>
      <c r="AE372" s="111">
        <f>IF(AQ372="7",BI372,0)</f>
      </c>
      <c r="AF372" s="111">
        <f>IF(AQ372="2",BH372,0)</f>
      </c>
      <c r="AG372" s="111">
        <f>IF(AQ372="2",BI372,0)</f>
      </c>
      <c r="AH372" s="111">
        <f>IF(AQ372="0",BJ372,0)</f>
      </c>
      <c r="AI372" s="132" t="s">
        <v>84</v>
      </c>
      <c r="AJ372" s="111">
        <f>IF(AN372=0,I372,0)</f>
      </c>
      <c r="AK372" s="111">
        <f>IF(AN372=12,I372,0)</f>
      </c>
      <c r="AL372" s="111">
        <f>IF(AN372=21,I372,0)</f>
      </c>
      <c r="AN372" s="111" t="n">
        <v>21</v>
      </c>
      <c r="AO372" s="111">
        <f>H372*0.257849057</f>
      </c>
      <c r="AP372" s="111">
        <f>H372*(1-0.257849057)</f>
      </c>
      <c r="AQ372" s="153" t="s">
        <v>130</v>
      </c>
      <c r="AV372" s="111">
        <f>AW372+AX372</f>
      </c>
      <c r="AW372" s="111">
        <f>G372*AO372</f>
      </c>
      <c r="AX372" s="111">
        <f>G372*AP372</f>
      </c>
      <c r="AY372" s="153" t="s">
        <v>718</v>
      </c>
      <c r="AZ372" s="153" t="s">
        <v>719</v>
      </c>
      <c r="BA372" s="132" t="s">
        <v>137</v>
      </c>
      <c r="BC372" s="111">
        <f>AW372+AX372</f>
      </c>
      <c r="BD372" s="111">
        <f>H372/(100-BE372)*100</f>
      </c>
      <c r="BE372" s="111" t="n">
        <v>0</v>
      </c>
      <c r="BF372" s="111">
        <f>372</f>
      </c>
      <c r="BH372" s="111">
        <f>G372*AO372</f>
      </c>
      <c r="BI372" s="111">
        <f>G372*AP372</f>
      </c>
      <c r="BJ372" s="111">
        <f>G372*H372</f>
      </c>
      <c r="BK372" s="111"/>
      <c r="BL372" s="111" t="n">
        <v>41</v>
      </c>
      <c r="BW372" s="111" t="n">
        <v>21</v>
      </c>
      <c r="BX372" s="14" t="s">
        <v>739</v>
      </c>
    </row>
    <row r="373">
      <c r="A373" s="154"/>
      <c r="B373" s="155"/>
      <c r="C373" s="155"/>
      <c r="D373" s="156" t="s">
        <v>740</v>
      </c>
      <c r="E373" s="156" t="s">
        <v>741</v>
      </c>
      <c r="F373" s="155"/>
      <c r="G373" s="157" t="n">
        <v>187.92</v>
      </c>
      <c r="H373" s="155"/>
      <c r="I373" s="155"/>
      <c r="J373" s="155"/>
      <c r="K373" s="146"/>
    </row>
    <row r="374">
      <c r="A374" s="154"/>
      <c r="B374" s="155"/>
      <c r="C374" s="155"/>
      <c r="D374" s="156" t="s">
        <v>742</v>
      </c>
      <c r="E374" s="156" t="s">
        <v>723</v>
      </c>
      <c r="F374" s="155"/>
      <c r="G374" s="157" t="n">
        <v>61.068</v>
      </c>
      <c r="H374" s="155"/>
      <c r="I374" s="155"/>
      <c r="J374" s="155"/>
      <c r="K374" s="146"/>
    </row>
    <row r="375">
      <c r="A375" s="154"/>
      <c r="B375" s="155"/>
      <c r="C375" s="155"/>
      <c r="D375" s="156" t="s">
        <v>743</v>
      </c>
      <c r="E375" s="156" t="s">
        <v>725</v>
      </c>
      <c r="F375" s="155"/>
      <c r="G375" s="157" t="n">
        <v>10.62</v>
      </c>
      <c r="H375" s="155"/>
      <c r="I375" s="155"/>
      <c r="J375" s="155"/>
      <c r="K375" s="146"/>
    </row>
    <row r="376">
      <c r="A376" s="154"/>
      <c r="B376" s="155"/>
      <c r="C376" s="155"/>
      <c r="D376" s="156" t="s">
        <v>744</v>
      </c>
      <c r="E376" s="156" t="s">
        <v>727</v>
      </c>
      <c r="F376" s="155"/>
      <c r="G376" s="157" t="n">
        <v>15.688</v>
      </c>
      <c r="H376" s="155"/>
      <c r="I376" s="155"/>
      <c r="J376" s="155"/>
      <c r="K376" s="146"/>
    </row>
    <row r="377">
      <c r="A377" s="9" t="s">
        <v>745</v>
      </c>
      <c r="B377" s="10" t="s">
        <v>84</v>
      </c>
      <c r="C377" s="10" t="s">
        <v>746</v>
      </c>
      <c r="D377" s="14" t="s">
        <v>747</v>
      </c>
      <c r="E377" s="10"/>
      <c r="F377" s="10" t="s">
        <v>145</v>
      </c>
      <c r="G377" s="111">
        <f>'Stavební rozpočet'!G377</f>
      </c>
      <c r="H377" s="111">
        <f>'Stavební rozpočet'!H377</f>
      </c>
      <c r="I377" s="111">
        <f>G377*H377</f>
      </c>
      <c r="J377" s="153" t="s">
        <v>134</v>
      </c>
      <c r="K377" s="146"/>
      <c r="Z377" s="111">
        <f>IF(AQ377="5",BJ377,0)</f>
      </c>
      <c r="AB377" s="111">
        <f>IF(AQ377="1",BH377,0)</f>
      </c>
      <c r="AC377" s="111">
        <f>IF(AQ377="1",BI377,0)</f>
      </c>
      <c r="AD377" s="111">
        <f>IF(AQ377="7",BH377,0)</f>
      </c>
      <c r="AE377" s="111">
        <f>IF(AQ377="7",BI377,0)</f>
      </c>
      <c r="AF377" s="111">
        <f>IF(AQ377="2",BH377,0)</f>
      </c>
      <c r="AG377" s="111">
        <f>IF(AQ377="2",BI377,0)</f>
      </c>
      <c r="AH377" s="111">
        <f>IF(AQ377="0",BJ377,0)</f>
      </c>
      <c r="AI377" s="132" t="s">
        <v>84</v>
      </c>
      <c r="AJ377" s="111">
        <f>IF(AN377=0,I377,0)</f>
      </c>
      <c r="AK377" s="111">
        <f>IF(AN377=12,I377,0)</f>
      </c>
      <c r="AL377" s="111">
        <f>IF(AN377=21,I377,0)</f>
      </c>
      <c r="AN377" s="111" t="n">
        <v>21</v>
      </c>
      <c r="AO377" s="111">
        <f>H377*0</f>
      </c>
      <c r="AP377" s="111">
        <f>H377*(1-0)</f>
      </c>
      <c r="AQ377" s="153" t="s">
        <v>130</v>
      </c>
      <c r="AV377" s="111">
        <f>AW377+AX377</f>
      </c>
      <c r="AW377" s="111">
        <f>G377*AO377</f>
      </c>
      <c r="AX377" s="111">
        <f>G377*AP377</f>
      </c>
      <c r="AY377" s="153" t="s">
        <v>718</v>
      </c>
      <c r="AZ377" s="153" t="s">
        <v>719</v>
      </c>
      <c r="BA377" s="132" t="s">
        <v>137</v>
      </c>
      <c r="BC377" s="111">
        <f>AW377+AX377</f>
      </c>
      <c r="BD377" s="111">
        <f>H377/(100-BE377)*100</f>
      </c>
      <c r="BE377" s="111" t="n">
        <v>0</v>
      </c>
      <c r="BF377" s="111">
        <f>377</f>
      </c>
      <c r="BH377" s="111">
        <f>G377*AO377</f>
      </c>
      <c r="BI377" s="111">
        <f>G377*AP377</f>
      </c>
      <c r="BJ377" s="111">
        <f>G377*H377</f>
      </c>
      <c r="BK377" s="111"/>
      <c r="BL377" s="111" t="n">
        <v>41</v>
      </c>
      <c r="BW377" s="111" t="n">
        <v>21</v>
      </c>
      <c r="BX377" s="14" t="s">
        <v>747</v>
      </c>
    </row>
    <row r="378">
      <c r="A378" s="154"/>
      <c r="B378" s="155"/>
      <c r="C378" s="155"/>
      <c r="D378" s="156" t="s">
        <v>740</v>
      </c>
      <c r="E378" s="156" t="s">
        <v>741</v>
      </c>
      <c r="F378" s="155"/>
      <c r="G378" s="157" t="n">
        <v>187.92</v>
      </c>
      <c r="H378" s="155"/>
      <c r="I378" s="155"/>
      <c r="J378" s="155"/>
      <c r="K378" s="146"/>
    </row>
    <row r="379">
      <c r="A379" s="154"/>
      <c r="B379" s="155"/>
      <c r="C379" s="155"/>
      <c r="D379" s="156" t="s">
        <v>742</v>
      </c>
      <c r="E379" s="156" t="s">
        <v>723</v>
      </c>
      <c r="F379" s="155"/>
      <c r="G379" s="157" t="n">
        <v>61.068</v>
      </c>
      <c r="H379" s="155"/>
      <c r="I379" s="155"/>
      <c r="J379" s="155"/>
      <c r="K379" s="146"/>
    </row>
    <row r="380">
      <c r="A380" s="154"/>
      <c r="B380" s="155"/>
      <c r="C380" s="155"/>
      <c r="D380" s="156" t="s">
        <v>743</v>
      </c>
      <c r="E380" s="156" t="s">
        <v>725</v>
      </c>
      <c r="F380" s="155"/>
      <c r="G380" s="157" t="n">
        <v>10.62</v>
      </c>
      <c r="H380" s="155"/>
      <c r="I380" s="155"/>
      <c r="J380" s="155"/>
      <c r="K380" s="146"/>
    </row>
    <row r="381">
      <c r="A381" s="154"/>
      <c r="B381" s="155"/>
      <c r="C381" s="155"/>
      <c r="D381" s="156" t="s">
        <v>744</v>
      </c>
      <c r="E381" s="156" t="s">
        <v>727</v>
      </c>
      <c r="F381" s="155"/>
      <c r="G381" s="157" t="n">
        <v>15.688</v>
      </c>
      <c r="H381" s="155"/>
      <c r="I381" s="155"/>
      <c r="J381" s="155"/>
      <c r="K381" s="146"/>
    </row>
    <row r="382">
      <c r="A382" s="9" t="s">
        <v>748</v>
      </c>
      <c r="B382" s="10" t="s">
        <v>84</v>
      </c>
      <c r="C382" s="10" t="s">
        <v>749</v>
      </c>
      <c r="D382" s="14" t="s">
        <v>750</v>
      </c>
      <c r="E382" s="10"/>
      <c r="F382" s="10" t="s">
        <v>145</v>
      </c>
      <c r="G382" s="111">
        <f>'Stavební rozpočet'!G382</f>
      </c>
      <c r="H382" s="111">
        <f>'Stavební rozpočet'!H382</f>
      </c>
      <c r="I382" s="111">
        <f>G382*H382</f>
      </c>
      <c r="J382" s="153" t="s">
        <v>134</v>
      </c>
      <c r="K382" s="146"/>
      <c r="Z382" s="111">
        <f>IF(AQ382="5",BJ382,0)</f>
      </c>
      <c r="AB382" s="111">
        <f>IF(AQ382="1",BH382,0)</f>
      </c>
      <c r="AC382" s="111">
        <f>IF(AQ382="1",BI382,0)</f>
      </c>
      <c r="AD382" s="111">
        <f>IF(AQ382="7",BH382,0)</f>
      </c>
      <c r="AE382" s="111">
        <f>IF(AQ382="7",BI382,0)</f>
      </c>
      <c r="AF382" s="111">
        <f>IF(AQ382="2",BH382,0)</f>
      </c>
      <c r="AG382" s="111">
        <f>IF(AQ382="2",BI382,0)</f>
      </c>
      <c r="AH382" s="111">
        <f>IF(AQ382="0",BJ382,0)</f>
      </c>
      <c r="AI382" s="132" t="s">
        <v>84</v>
      </c>
      <c r="AJ382" s="111">
        <f>IF(AN382=0,I382,0)</f>
      </c>
      <c r="AK382" s="111">
        <f>IF(AN382=12,I382,0)</f>
      </c>
      <c r="AL382" s="111">
        <f>IF(AN382=21,I382,0)</f>
      </c>
      <c r="AN382" s="111" t="n">
        <v>21</v>
      </c>
      <c r="AO382" s="111">
        <f>H382*0.100480319</f>
      </c>
      <c r="AP382" s="111">
        <f>H382*(1-0.100480319)</f>
      </c>
      <c r="AQ382" s="153" t="s">
        <v>130</v>
      </c>
      <c r="AV382" s="111">
        <f>AW382+AX382</f>
      </c>
      <c r="AW382" s="111">
        <f>G382*AO382</f>
      </c>
      <c r="AX382" s="111">
        <f>G382*AP382</f>
      </c>
      <c r="AY382" s="153" t="s">
        <v>718</v>
      </c>
      <c r="AZ382" s="153" t="s">
        <v>719</v>
      </c>
      <c r="BA382" s="132" t="s">
        <v>137</v>
      </c>
      <c r="BC382" s="111">
        <f>AW382+AX382</f>
      </c>
      <c r="BD382" s="111">
        <f>H382/(100-BE382)*100</f>
      </c>
      <c r="BE382" s="111" t="n">
        <v>0</v>
      </c>
      <c r="BF382" s="111">
        <f>382</f>
      </c>
      <c r="BH382" s="111">
        <f>G382*AO382</f>
      </c>
      <c r="BI382" s="111">
        <f>G382*AP382</f>
      </c>
      <c r="BJ382" s="111">
        <f>G382*H382</f>
      </c>
      <c r="BK382" s="111"/>
      <c r="BL382" s="111" t="n">
        <v>41</v>
      </c>
      <c r="BW382" s="111" t="n">
        <v>21</v>
      </c>
      <c r="BX382" s="14" t="s">
        <v>750</v>
      </c>
    </row>
    <row r="383" customHeight="true" ht="13.5">
      <c r="A383" s="159"/>
      <c r="C383" s="160" t="s">
        <v>146</v>
      </c>
      <c r="D383" s="161" t="s">
        <v>751</v>
      </c>
      <c r="E383" s="156"/>
      <c r="F383" s="156"/>
      <c r="G383" s="156"/>
      <c r="H383" s="156"/>
      <c r="I383" s="156"/>
      <c r="J383" s="156"/>
      <c r="K383" s="163"/>
    </row>
    <row r="384">
      <c r="A384" s="154"/>
      <c r="B384" s="155"/>
      <c r="C384" s="155"/>
      <c r="D384" s="156" t="s">
        <v>752</v>
      </c>
      <c r="E384" s="156" t="s">
        <v>721</v>
      </c>
      <c r="F384" s="155"/>
      <c r="G384" s="157" t="n">
        <v>58.32</v>
      </c>
      <c r="H384" s="155"/>
      <c r="I384" s="155"/>
      <c r="J384" s="155"/>
      <c r="K384" s="146"/>
    </row>
    <row r="385">
      <c r="A385" s="154"/>
      <c r="B385" s="155"/>
      <c r="C385" s="155"/>
      <c r="D385" s="156" t="s">
        <v>753</v>
      </c>
      <c r="E385" s="156" t="s">
        <v>723</v>
      </c>
      <c r="F385" s="155"/>
      <c r="G385" s="157" t="n">
        <v>26.172</v>
      </c>
      <c r="H385" s="155"/>
      <c r="I385" s="155"/>
      <c r="J385" s="155"/>
      <c r="K385" s="146"/>
    </row>
    <row r="386">
      <c r="A386" s="154"/>
      <c r="B386" s="155"/>
      <c r="C386" s="155"/>
      <c r="D386" s="156" t="s">
        <v>754</v>
      </c>
      <c r="E386" s="156" t="s">
        <v>725</v>
      </c>
      <c r="F386" s="155"/>
      <c r="G386" s="157" t="n">
        <v>4.72</v>
      </c>
      <c r="H386" s="155"/>
      <c r="I386" s="155"/>
      <c r="J386" s="155"/>
      <c r="K386" s="146"/>
    </row>
    <row r="387">
      <c r="A387" s="154"/>
      <c r="B387" s="155"/>
      <c r="C387" s="155"/>
      <c r="D387" s="156" t="s">
        <v>755</v>
      </c>
      <c r="E387" s="156" t="s">
        <v>727</v>
      </c>
      <c r="F387" s="155"/>
      <c r="G387" s="157" t="n">
        <v>6.784</v>
      </c>
      <c r="H387" s="155"/>
      <c r="I387" s="155"/>
      <c r="J387" s="155"/>
      <c r="K387" s="146"/>
    </row>
    <row r="388">
      <c r="A388" s="9" t="s">
        <v>756</v>
      </c>
      <c r="B388" s="10" t="s">
        <v>84</v>
      </c>
      <c r="C388" s="10" t="s">
        <v>757</v>
      </c>
      <c r="D388" s="14" t="s">
        <v>758</v>
      </c>
      <c r="E388" s="10"/>
      <c r="F388" s="10" t="s">
        <v>145</v>
      </c>
      <c r="G388" s="111">
        <f>'Stavební rozpočet'!G388</f>
      </c>
      <c r="H388" s="111">
        <f>'Stavební rozpočet'!H388</f>
      </c>
      <c r="I388" s="111">
        <f>G388*H388</f>
      </c>
      <c r="J388" s="153" t="s">
        <v>134</v>
      </c>
      <c r="K388" s="146"/>
      <c r="Z388" s="111">
        <f>IF(AQ388="5",BJ388,0)</f>
      </c>
      <c r="AB388" s="111">
        <f>IF(AQ388="1",BH388,0)</f>
      </c>
      <c r="AC388" s="111">
        <f>IF(AQ388="1",BI388,0)</f>
      </c>
      <c r="AD388" s="111">
        <f>IF(AQ388="7",BH388,0)</f>
      </c>
      <c r="AE388" s="111">
        <f>IF(AQ388="7",BI388,0)</f>
      </c>
      <c r="AF388" s="111">
        <f>IF(AQ388="2",BH388,0)</f>
      </c>
      <c r="AG388" s="111">
        <f>IF(AQ388="2",BI388,0)</f>
      </c>
      <c r="AH388" s="111">
        <f>IF(AQ388="0",BJ388,0)</f>
      </c>
      <c r="AI388" s="132" t="s">
        <v>84</v>
      </c>
      <c r="AJ388" s="111">
        <f>IF(AN388=0,I388,0)</f>
      </c>
      <c r="AK388" s="111">
        <f>IF(AN388=12,I388,0)</f>
      </c>
      <c r="AL388" s="111">
        <f>IF(AN388=21,I388,0)</f>
      </c>
      <c r="AN388" s="111" t="n">
        <v>21</v>
      </c>
      <c r="AO388" s="111">
        <f>H388*0</f>
      </c>
      <c r="AP388" s="111">
        <f>H388*(1-0)</f>
      </c>
      <c r="AQ388" s="153" t="s">
        <v>130</v>
      </c>
      <c r="AV388" s="111">
        <f>AW388+AX388</f>
      </c>
      <c r="AW388" s="111">
        <f>G388*AO388</f>
      </c>
      <c r="AX388" s="111">
        <f>G388*AP388</f>
      </c>
      <c r="AY388" s="153" t="s">
        <v>718</v>
      </c>
      <c r="AZ388" s="153" t="s">
        <v>719</v>
      </c>
      <c r="BA388" s="132" t="s">
        <v>137</v>
      </c>
      <c r="BC388" s="111">
        <f>AW388+AX388</f>
      </c>
      <c r="BD388" s="111">
        <f>H388/(100-BE388)*100</f>
      </c>
      <c r="BE388" s="111" t="n">
        <v>0</v>
      </c>
      <c r="BF388" s="111">
        <f>388</f>
      </c>
      <c r="BH388" s="111">
        <f>G388*AO388</f>
      </c>
      <c r="BI388" s="111">
        <f>G388*AP388</f>
      </c>
      <c r="BJ388" s="111">
        <f>G388*H388</f>
      </c>
      <c r="BK388" s="111"/>
      <c r="BL388" s="111" t="n">
        <v>41</v>
      </c>
      <c r="BW388" s="111" t="n">
        <v>21</v>
      </c>
      <c r="BX388" s="14" t="s">
        <v>758</v>
      </c>
    </row>
    <row r="389">
      <c r="A389" s="154"/>
      <c r="B389" s="155"/>
      <c r="C389" s="155"/>
      <c r="D389" s="156" t="s">
        <v>759</v>
      </c>
      <c r="E389" s="156" t="s">
        <v>721</v>
      </c>
      <c r="F389" s="155"/>
      <c r="G389" s="157" t="n">
        <v>58.32</v>
      </c>
      <c r="H389" s="155"/>
      <c r="I389" s="155"/>
      <c r="J389" s="155"/>
      <c r="K389" s="146"/>
    </row>
    <row r="390">
      <c r="A390" s="154"/>
      <c r="B390" s="155"/>
      <c r="C390" s="155"/>
      <c r="D390" s="156" t="s">
        <v>760</v>
      </c>
      <c r="E390" s="156" t="s">
        <v>723</v>
      </c>
      <c r="F390" s="155"/>
      <c r="G390" s="157" t="n">
        <v>26.172</v>
      </c>
      <c r="H390" s="155"/>
      <c r="I390" s="155"/>
      <c r="J390" s="155"/>
      <c r="K390" s="146"/>
    </row>
    <row r="391">
      <c r="A391" s="154"/>
      <c r="B391" s="155"/>
      <c r="C391" s="155"/>
      <c r="D391" s="156" t="s">
        <v>754</v>
      </c>
      <c r="E391" s="156" t="s">
        <v>725</v>
      </c>
      <c r="F391" s="155"/>
      <c r="G391" s="157" t="n">
        <v>4.72</v>
      </c>
      <c r="H391" s="155"/>
      <c r="I391" s="155"/>
      <c r="J391" s="155"/>
      <c r="K391" s="146"/>
    </row>
    <row r="392">
      <c r="A392" s="154"/>
      <c r="B392" s="155"/>
      <c r="C392" s="155"/>
      <c r="D392" s="156" t="s">
        <v>755</v>
      </c>
      <c r="E392" s="156" t="s">
        <v>727</v>
      </c>
      <c r="F392" s="155"/>
      <c r="G392" s="157" t="n">
        <v>6.784</v>
      </c>
      <c r="H392" s="155"/>
      <c r="I392" s="155"/>
      <c r="J392" s="155"/>
      <c r="K392" s="146"/>
    </row>
    <row r="393">
      <c r="A393" s="9" t="s">
        <v>761</v>
      </c>
      <c r="B393" s="10" t="s">
        <v>84</v>
      </c>
      <c r="C393" s="10" t="s">
        <v>762</v>
      </c>
      <c r="D393" s="14" t="s">
        <v>763</v>
      </c>
      <c r="E393" s="10"/>
      <c r="F393" s="10" t="s">
        <v>145</v>
      </c>
      <c r="G393" s="111">
        <f>'Stavební rozpočet'!G393</f>
      </c>
      <c r="H393" s="111">
        <f>'Stavební rozpočet'!H393</f>
      </c>
      <c r="I393" s="111">
        <f>G393*H393</f>
      </c>
      <c r="J393" s="153" t="s">
        <v>134</v>
      </c>
      <c r="K393" s="146"/>
      <c r="Z393" s="111">
        <f>IF(AQ393="5",BJ393,0)</f>
      </c>
      <c r="AB393" s="111">
        <f>IF(AQ393="1",BH393,0)</f>
      </c>
      <c r="AC393" s="111">
        <f>IF(AQ393="1",BI393,0)</f>
      </c>
      <c r="AD393" s="111">
        <f>IF(AQ393="7",BH393,0)</f>
      </c>
      <c r="AE393" s="111">
        <f>IF(AQ393="7",BI393,0)</f>
      </c>
      <c r="AF393" s="111">
        <f>IF(AQ393="2",BH393,0)</f>
      </c>
      <c r="AG393" s="111">
        <f>IF(AQ393="2",BI393,0)</f>
      </c>
      <c r="AH393" s="111">
        <f>IF(AQ393="0",BJ393,0)</f>
      </c>
      <c r="AI393" s="132" t="s">
        <v>84</v>
      </c>
      <c r="AJ393" s="111">
        <f>IF(AN393=0,I393,0)</f>
      </c>
      <c r="AK393" s="111">
        <f>IF(AN393=12,I393,0)</f>
      </c>
      <c r="AL393" s="111">
        <f>IF(AN393=21,I393,0)</f>
      </c>
      <c r="AN393" s="111" t="n">
        <v>21</v>
      </c>
      <c r="AO393" s="111">
        <f>H393*0.145006954</f>
      </c>
      <c r="AP393" s="111">
        <f>H393*(1-0.145006954)</f>
      </c>
      <c r="AQ393" s="153" t="s">
        <v>130</v>
      </c>
      <c r="AV393" s="111">
        <f>AW393+AX393</f>
      </c>
      <c r="AW393" s="111">
        <f>G393*AO393</f>
      </c>
      <c r="AX393" s="111">
        <f>G393*AP393</f>
      </c>
      <c r="AY393" s="153" t="s">
        <v>718</v>
      </c>
      <c r="AZ393" s="153" t="s">
        <v>719</v>
      </c>
      <c r="BA393" s="132" t="s">
        <v>137</v>
      </c>
      <c r="BC393" s="111">
        <f>AW393+AX393</f>
      </c>
      <c r="BD393" s="111">
        <f>H393/(100-BE393)*100</f>
      </c>
      <c r="BE393" s="111" t="n">
        <v>0</v>
      </c>
      <c r="BF393" s="111">
        <f>393</f>
      </c>
      <c r="BH393" s="111">
        <f>G393*AO393</f>
      </c>
      <c r="BI393" s="111">
        <f>G393*AP393</f>
      </c>
      <c r="BJ393" s="111">
        <f>G393*H393</f>
      </c>
      <c r="BK393" s="111"/>
      <c r="BL393" s="111" t="n">
        <v>41</v>
      </c>
      <c r="BW393" s="111" t="n">
        <v>21</v>
      </c>
      <c r="BX393" s="14" t="s">
        <v>763</v>
      </c>
    </row>
    <row r="394" customHeight="true" ht="13.5">
      <c r="A394" s="159"/>
      <c r="C394" s="160" t="s">
        <v>146</v>
      </c>
      <c r="D394" s="161" t="s">
        <v>764</v>
      </c>
      <c r="E394" s="156"/>
      <c r="F394" s="156"/>
      <c r="G394" s="156"/>
      <c r="H394" s="156"/>
      <c r="I394" s="156"/>
      <c r="J394" s="156"/>
      <c r="K394" s="163"/>
    </row>
    <row r="395">
      <c r="A395" s="154"/>
      <c r="B395" s="155"/>
      <c r="C395" s="155"/>
      <c r="D395" s="156" t="s">
        <v>759</v>
      </c>
      <c r="E395" s="156" t="s">
        <v>721</v>
      </c>
      <c r="F395" s="155"/>
      <c r="G395" s="157" t="n">
        <v>58.32</v>
      </c>
      <c r="H395" s="155"/>
      <c r="I395" s="155"/>
      <c r="J395" s="155"/>
      <c r="K395" s="146"/>
    </row>
    <row r="396">
      <c r="A396" s="9" t="s">
        <v>765</v>
      </c>
      <c r="B396" s="10" t="s">
        <v>84</v>
      </c>
      <c r="C396" s="10" t="s">
        <v>766</v>
      </c>
      <c r="D396" s="14" t="s">
        <v>767</v>
      </c>
      <c r="E396" s="10"/>
      <c r="F396" s="10" t="s">
        <v>145</v>
      </c>
      <c r="G396" s="111">
        <f>'Stavební rozpočet'!G396</f>
      </c>
      <c r="H396" s="111">
        <f>'Stavební rozpočet'!H396</f>
      </c>
      <c r="I396" s="111">
        <f>G396*H396</f>
      </c>
      <c r="J396" s="153" t="s">
        <v>134</v>
      </c>
      <c r="K396" s="146"/>
      <c r="Z396" s="111">
        <f>IF(AQ396="5",BJ396,0)</f>
      </c>
      <c r="AB396" s="111">
        <f>IF(AQ396="1",BH396,0)</f>
      </c>
      <c r="AC396" s="111">
        <f>IF(AQ396="1",BI396,0)</f>
      </c>
      <c r="AD396" s="111">
        <f>IF(AQ396="7",BH396,0)</f>
      </c>
      <c r="AE396" s="111">
        <f>IF(AQ396="7",BI396,0)</f>
      </c>
      <c r="AF396" s="111">
        <f>IF(AQ396="2",BH396,0)</f>
      </c>
      <c r="AG396" s="111">
        <f>IF(AQ396="2",BI396,0)</f>
      </c>
      <c r="AH396" s="111">
        <f>IF(AQ396="0",BJ396,0)</f>
      </c>
      <c r="AI396" s="132" t="s">
        <v>84</v>
      </c>
      <c r="AJ396" s="111">
        <f>IF(AN396=0,I396,0)</f>
      </c>
      <c r="AK396" s="111">
        <f>IF(AN396=12,I396,0)</f>
      </c>
      <c r="AL396" s="111">
        <f>IF(AN396=21,I396,0)</f>
      </c>
      <c r="AN396" s="111" t="n">
        <v>21</v>
      </c>
      <c r="AO396" s="111">
        <f>H396*0</f>
      </c>
      <c r="AP396" s="111">
        <f>H396*(1-0)</f>
      </c>
      <c r="AQ396" s="153" t="s">
        <v>130</v>
      </c>
      <c r="AV396" s="111">
        <f>AW396+AX396</f>
      </c>
      <c r="AW396" s="111">
        <f>G396*AO396</f>
      </c>
      <c r="AX396" s="111">
        <f>G396*AP396</f>
      </c>
      <c r="AY396" s="153" t="s">
        <v>718</v>
      </c>
      <c r="AZ396" s="153" t="s">
        <v>719</v>
      </c>
      <c r="BA396" s="132" t="s">
        <v>137</v>
      </c>
      <c r="BC396" s="111">
        <f>AW396+AX396</f>
      </c>
      <c r="BD396" s="111">
        <f>H396/(100-BE396)*100</f>
      </c>
      <c r="BE396" s="111" t="n">
        <v>0</v>
      </c>
      <c r="BF396" s="111">
        <f>396</f>
      </c>
      <c r="BH396" s="111">
        <f>G396*AO396</f>
      </c>
      <c r="BI396" s="111">
        <f>G396*AP396</f>
      </c>
      <c r="BJ396" s="111">
        <f>G396*H396</f>
      </c>
      <c r="BK396" s="111"/>
      <c r="BL396" s="111" t="n">
        <v>41</v>
      </c>
      <c r="BW396" s="111" t="n">
        <v>21</v>
      </c>
      <c r="BX396" s="14" t="s">
        <v>767</v>
      </c>
    </row>
    <row r="397" customHeight="true" ht="13.5">
      <c r="A397" s="159"/>
      <c r="C397" s="160" t="s">
        <v>146</v>
      </c>
      <c r="D397" s="161" t="s">
        <v>764</v>
      </c>
      <c r="E397" s="156"/>
      <c r="F397" s="156"/>
      <c r="G397" s="156"/>
      <c r="H397" s="156"/>
      <c r="I397" s="156"/>
      <c r="J397" s="156"/>
      <c r="K397" s="163"/>
    </row>
    <row r="398">
      <c r="A398" s="154"/>
      <c r="B398" s="155"/>
      <c r="C398" s="155"/>
      <c r="D398" s="156" t="s">
        <v>759</v>
      </c>
      <c r="E398" s="156" t="s">
        <v>721</v>
      </c>
      <c r="F398" s="155"/>
      <c r="G398" s="157" t="n">
        <v>58.32</v>
      </c>
      <c r="H398" s="155"/>
      <c r="I398" s="155"/>
      <c r="J398" s="155"/>
      <c r="K398" s="146"/>
    </row>
    <row r="399">
      <c r="A399" s="9" t="s">
        <v>768</v>
      </c>
      <c r="B399" s="10" t="s">
        <v>84</v>
      </c>
      <c r="C399" s="10" t="s">
        <v>769</v>
      </c>
      <c r="D399" s="14" t="s">
        <v>770</v>
      </c>
      <c r="E399" s="10"/>
      <c r="F399" s="10" t="s">
        <v>159</v>
      </c>
      <c r="G399" s="111">
        <f>'Stavební rozpočet'!G399</f>
      </c>
      <c r="H399" s="111">
        <f>'Stavební rozpočet'!H399</f>
      </c>
      <c r="I399" s="111">
        <f>G399*H399</f>
      </c>
      <c r="J399" s="153" t="s">
        <v>134</v>
      </c>
      <c r="K399" s="146"/>
      <c r="Z399" s="111">
        <f>IF(AQ399="5",BJ399,0)</f>
      </c>
      <c r="AB399" s="111">
        <f>IF(AQ399="1",BH399,0)</f>
      </c>
      <c r="AC399" s="111">
        <f>IF(AQ399="1",BI399,0)</f>
      </c>
      <c r="AD399" s="111">
        <f>IF(AQ399="7",BH399,0)</f>
      </c>
      <c r="AE399" s="111">
        <f>IF(AQ399="7",BI399,0)</f>
      </c>
      <c r="AF399" s="111">
        <f>IF(AQ399="2",BH399,0)</f>
      </c>
      <c r="AG399" s="111">
        <f>IF(AQ399="2",BI399,0)</f>
      </c>
      <c r="AH399" s="111">
        <f>IF(AQ399="0",BJ399,0)</f>
      </c>
      <c r="AI399" s="132" t="s">
        <v>84</v>
      </c>
      <c r="AJ399" s="111">
        <f>IF(AN399=0,I399,0)</f>
      </c>
      <c r="AK399" s="111">
        <f>IF(AN399=12,I399,0)</f>
      </c>
      <c r="AL399" s="111">
        <f>IF(AN399=21,I399,0)</f>
      </c>
      <c r="AN399" s="111" t="n">
        <v>21</v>
      </c>
      <c r="AO399" s="111">
        <f>H399*0.87853968</f>
      </c>
      <c r="AP399" s="111">
        <f>H399*(1-0.87853968)</f>
      </c>
      <c r="AQ399" s="153" t="s">
        <v>130</v>
      </c>
      <c r="AV399" s="111">
        <f>AW399+AX399</f>
      </c>
      <c r="AW399" s="111">
        <f>G399*AO399</f>
      </c>
      <c r="AX399" s="111">
        <f>G399*AP399</f>
      </c>
      <c r="AY399" s="153" t="s">
        <v>718</v>
      </c>
      <c r="AZ399" s="153" t="s">
        <v>719</v>
      </c>
      <c r="BA399" s="132" t="s">
        <v>137</v>
      </c>
      <c r="BC399" s="111">
        <f>AW399+AX399</f>
      </c>
      <c r="BD399" s="111">
        <f>H399/(100-BE399)*100</f>
      </c>
      <c r="BE399" s="111" t="n">
        <v>0</v>
      </c>
      <c r="BF399" s="111">
        <f>399</f>
      </c>
      <c r="BH399" s="111">
        <f>G399*AO399</f>
      </c>
      <c r="BI399" s="111">
        <f>G399*AP399</f>
      </c>
      <c r="BJ399" s="111">
        <f>G399*H399</f>
      </c>
      <c r="BK399" s="111"/>
      <c r="BL399" s="111" t="n">
        <v>41</v>
      </c>
      <c r="BW399" s="111" t="n">
        <v>21</v>
      </c>
      <c r="BX399" s="14" t="s">
        <v>770</v>
      </c>
    </row>
    <row r="400">
      <c r="A400" s="154"/>
      <c r="B400" s="155"/>
      <c r="C400" s="155"/>
      <c r="D400" s="156" t="s">
        <v>771</v>
      </c>
      <c r="E400" s="156" t="s">
        <v>772</v>
      </c>
      <c r="F400" s="155"/>
      <c r="G400" s="157" t="n">
        <v>47.792</v>
      </c>
      <c r="H400" s="155"/>
      <c r="I400" s="155"/>
      <c r="J400" s="155"/>
      <c r="K400" s="146"/>
    </row>
    <row r="401">
      <c r="A401" s="154"/>
      <c r="B401" s="155"/>
      <c r="C401" s="155"/>
      <c r="D401" s="156" t="s">
        <v>773</v>
      </c>
      <c r="E401" s="156" t="s">
        <v>774</v>
      </c>
      <c r="F401" s="155"/>
      <c r="G401" s="157" t="n">
        <v>28.203</v>
      </c>
      <c r="H401" s="155"/>
      <c r="I401" s="155"/>
      <c r="J401" s="155"/>
      <c r="K401" s="146"/>
    </row>
    <row r="402">
      <c r="A402" s="154"/>
      <c r="B402" s="155"/>
      <c r="C402" s="155"/>
      <c r="D402" s="156" t="s">
        <v>775</v>
      </c>
      <c r="E402" s="156" t="s">
        <v>776</v>
      </c>
      <c r="F402" s="155"/>
      <c r="G402" s="157" t="n">
        <v>33.2355</v>
      </c>
      <c r="H402" s="155"/>
      <c r="I402" s="155"/>
      <c r="J402" s="155"/>
      <c r="K402" s="146"/>
    </row>
    <row r="403">
      <c r="A403" s="154"/>
      <c r="B403" s="155"/>
      <c r="C403" s="155"/>
      <c r="D403" s="156" t="s">
        <v>777</v>
      </c>
      <c r="E403" s="156" t="s">
        <v>778</v>
      </c>
      <c r="F403" s="155"/>
      <c r="G403" s="157" t="n">
        <v>4.459</v>
      </c>
      <c r="H403" s="155"/>
      <c r="I403" s="155"/>
      <c r="J403" s="155"/>
      <c r="K403" s="146"/>
    </row>
    <row r="404">
      <c r="A404" s="154"/>
      <c r="B404" s="155"/>
      <c r="C404" s="155"/>
      <c r="D404" s="156" t="s">
        <v>779</v>
      </c>
      <c r="E404" s="156" t="s">
        <v>780</v>
      </c>
      <c r="F404" s="155"/>
      <c r="G404" s="157" t="n">
        <v>23.70098</v>
      </c>
      <c r="H404" s="155"/>
      <c r="I404" s="155"/>
      <c r="J404" s="155"/>
      <c r="K404" s="146"/>
    </row>
    <row r="405">
      <c r="A405" s="154"/>
      <c r="B405" s="155"/>
      <c r="C405" s="155"/>
      <c r="D405" s="156" t="s">
        <v>781</v>
      </c>
      <c r="E405" s="156" t="s">
        <v>782</v>
      </c>
      <c r="F405" s="155"/>
      <c r="G405" s="157" t="n">
        <v>6.642</v>
      </c>
      <c r="H405" s="155"/>
      <c r="I405" s="155"/>
      <c r="J405" s="155"/>
      <c r="K405" s="146"/>
    </row>
    <row r="406">
      <c r="A406" s="9" t="s">
        <v>783</v>
      </c>
      <c r="B406" s="10" t="s">
        <v>84</v>
      </c>
      <c r="C406" s="10" t="s">
        <v>784</v>
      </c>
      <c r="D406" s="14" t="s">
        <v>785</v>
      </c>
      <c r="E406" s="10"/>
      <c r="F406" s="10" t="s">
        <v>229</v>
      </c>
      <c r="G406" s="111">
        <f>'Stavební rozpočet'!G406</f>
      </c>
      <c r="H406" s="111">
        <f>'Stavební rozpočet'!H406</f>
      </c>
      <c r="I406" s="111">
        <f>G406*H406</f>
      </c>
      <c r="J406" s="153" t="s">
        <v>134</v>
      </c>
      <c r="K406" s="146"/>
      <c r="Z406" s="111">
        <f>IF(AQ406="5",BJ406,0)</f>
      </c>
      <c r="AB406" s="111">
        <f>IF(AQ406="1",BH406,0)</f>
      </c>
      <c r="AC406" s="111">
        <f>IF(AQ406="1",BI406,0)</f>
      </c>
      <c r="AD406" s="111">
        <f>IF(AQ406="7",BH406,0)</f>
      </c>
      <c r="AE406" s="111">
        <f>IF(AQ406="7",BI406,0)</f>
      </c>
      <c r="AF406" s="111">
        <f>IF(AQ406="2",BH406,0)</f>
      </c>
      <c r="AG406" s="111">
        <f>IF(AQ406="2",BI406,0)</f>
      </c>
      <c r="AH406" s="111">
        <f>IF(AQ406="0",BJ406,0)</f>
      </c>
      <c r="AI406" s="132" t="s">
        <v>84</v>
      </c>
      <c r="AJ406" s="111">
        <f>IF(AN406=0,I406,0)</f>
      </c>
      <c r="AK406" s="111">
        <f>IF(AN406=12,I406,0)</f>
      </c>
      <c r="AL406" s="111">
        <f>IF(AN406=21,I406,0)</f>
      </c>
      <c r="AN406" s="111" t="n">
        <v>21</v>
      </c>
      <c r="AO406" s="111">
        <f>H406*0.735371274</f>
      </c>
      <c r="AP406" s="111">
        <f>H406*(1-0.735371274)</f>
      </c>
      <c r="AQ406" s="153" t="s">
        <v>130</v>
      </c>
      <c r="AV406" s="111">
        <f>AW406+AX406</f>
      </c>
      <c r="AW406" s="111">
        <f>G406*AO406</f>
      </c>
      <c r="AX406" s="111">
        <f>G406*AP406</f>
      </c>
      <c r="AY406" s="153" t="s">
        <v>718</v>
      </c>
      <c r="AZ406" s="153" t="s">
        <v>719</v>
      </c>
      <c r="BA406" s="132" t="s">
        <v>137</v>
      </c>
      <c r="BC406" s="111">
        <f>AW406+AX406</f>
      </c>
      <c r="BD406" s="111">
        <f>H406/(100-BE406)*100</f>
      </c>
      <c r="BE406" s="111" t="n">
        <v>0</v>
      </c>
      <c r="BF406" s="111">
        <f>406</f>
      </c>
      <c r="BH406" s="111">
        <f>G406*AO406</f>
      </c>
      <c r="BI406" s="111">
        <f>G406*AP406</f>
      </c>
      <c r="BJ406" s="111">
        <f>G406*H406</f>
      </c>
      <c r="BK406" s="111"/>
      <c r="BL406" s="111" t="n">
        <v>41</v>
      </c>
      <c r="BW406" s="111" t="n">
        <v>21</v>
      </c>
      <c r="BX406" s="14" t="s">
        <v>785</v>
      </c>
    </row>
    <row r="407">
      <c r="A407" s="154"/>
      <c r="B407" s="155"/>
      <c r="C407" s="155"/>
      <c r="D407" s="156" t="s">
        <v>786</v>
      </c>
      <c r="E407" s="156" t="s">
        <v>787</v>
      </c>
      <c r="F407" s="155"/>
      <c r="G407" s="157" t="n">
        <v>7.093</v>
      </c>
      <c r="H407" s="155"/>
      <c r="I407" s="155"/>
      <c r="J407" s="155"/>
      <c r="K407" s="146"/>
    </row>
    <row r="408">
      <c r="A408" s="154"/>
      <c r="B408" s="155"/>
      <c r="C408" s="155"/>
      <c r="D408" s="156" t="s">
        <v>788</v>
      </c>
      <c r="E408" s="156" t="s">
        <v>789</v>
      </c>
      <c r="F408" s="155"/>
      <c r="G408" s="157" t="n">
        <v>8.801</v>
      </c>
      <c r="H408" s="155"/>
      <c r="I408" s="155"/>
      <c r="J408" s="155"/>
      <c r="K408" s="146"/>
    </row>
    <row r="409">
      <c r="A409" s="154"/>
      <c r="B409" s="155"/>
      <c r="C409" s="155"/>
      <c r="D409" s="156" t="s">
        <v>790</v>
      </c>
      <c r="E409" s="156" t="s">
        <v>791</v>
      </c>
      <c r="F409" s="155"/>
      <c r="G409" s="157" t="n">
        <v>0.02788</v>
      </c>
      <c r="H409" s="155"/>
      <c r="I409" s="155"/>
      <c r="J409" s="155"/>
      <c r="K409" s="146"/>
    </row>
    <row r="410">
      <c r="A410" s="154"/>
      <c r="B410" s="155"/>
      <c r="C410" s="155"/>
      <c r="D410" s="156" t="s">
        <v>792</v>
      </c>
      <c r="E410" s="156" t="s">
        <v>736</v>
      </c>
      <c r="F410" s="155"/>
      <c r="G410" s="157" t="n">
        <v>1.5894</v>
      </c>
      <c r="H410" s="155"/>
      <c r="I410" s="155"/>
      <c r="J410" s="155"/>
      <c r="K410" s="146"/>
    </row>
    <row r="411">
      <c r="A411" s="9" t="s">
        <v>793</v>
      </c>
      <c r="B411" s="10" t="s">
        <v>84</v>
      </c>
      <c r="C411" s="10" t="s">
        <v>794</v>
      </c>
      <c r="D411" s="14" t="s">
        <v>795</v>
      </c>
      <c r="E411" s="10"/>
      <c r="F411" s="10" t="s">
        <v>282</v>
      </c>
      <c r="G411" s="111">
        <f>'Stavební rozpočet'!G411</f>
      </c>
      <c r="H411" s="111">
        <f>'Stavební rozpočet'!H411</f>
      </c>
      <c r="I411" s="111">
        <f>G411*H411</f>
      </c>
      <c r="J411" s="153" t="s">
        <v>134</v>
      </c>
      <c r="K411" s="146"/>
      <c r="Z411" s="111">
        <f>IF(AQ411="5",BJ411,0)</f>
      </c>
      <c r="AB411" s="111">
        <f>IF(AQ411="1",BH411,0)</f>
      </c>
      <c r="AC411" s="111">
        <f>IF(AQ411="1",BI411,0)</f>
      </c>
      <c r="AD411" s="111">
        <f>IF(AQ411="7",BH411,0)</f>
      </c>
      <c r="AE411" s="111">
        <f>IF(AQ411="7",BI411,0)</f>
      </c>
      <c r="AF411" s="111">
        <f>IF(AQ411="2",BH411,0)</f>
      </c>
      <c r="AG411" s="111">
        <f>IF(AQ411="2",BI411,0)</f>
      </c>
      <c r="AH411" s="111">
        <f>IF(AQ411="0",BJ411,0)</f>
      </c>
      <c r="AI411" s="132" t="s">
        <v>84</v>
      </c>
      <c r="AJ411" s="111">
        <f>IF(AN411=0,I411,0)</f>
      </c>
      <c r="AK411" s="111">
        <f>IF(AN411=12,I411,0)</f>
      </c>
      <c r="AL411" s="111">
        <f>IF(AN411=21,I411,0)</f>
      </c>
      <c r="AN411" s="111" t="n">
        <v>21</v>
      </c>
      <c r="AO411" s="111">
        <f>H411*0.213727915</f>
      </c>
      <c r="AP411" s="111">
        <f>H411*(1-0.213727915)</f>
      </c>
      <c r="AQ411" s="153" t="s">
        <v>130</v>
      </c>
      <c r="AV411" s="111">
        <f>AW411+AX411</f>
      </c>
      <c r="AW411" s="111">
        <f>G411*AO411</f>
      </c>
      <c r="AX411" s="111">
        <f>G411*AP411</f>
      </c>
      <c r="AY411" s="153" t="s">
        <v>718</v>
      </c>
      <c r="AZ411" s="153" t="s">
        <v>719</v>
      </c>
      <c r="BA411" s="132" t="s">
        <v>137</v>
      </c>
      <c r="BC411" s="111">
        <f>AW411+AX411</f>
      </c>
      <c r="BD411" s="111">
        <f>H411/(100-BE411)*100</f>
      </c>
      <c r="BE411" s="111" t="n">
        <v>0</v>
      </c>
      <c r="BF411" s="111">
        <f>411</f>
      </c>
      <c r="BH411" s="111">
        <f>G411*AO411</f>
      </c>
      <c r="BI411" s="111">
        <f>G411*AP411</f>
      </c>
      <c r="BJ411" s="111">
        <f>G411*H411</f>
      </c>
      <c r="BK411" s="111"/>
      <c r="BL411" s="111" t="n">
        <v>41</v>
      </c>
      <c r="BW411" s="111" t="n">
        <v>21</v>
      </c>
      <c r="BX411" s="14" t="s">
        <v>795</v>
      </c>
    </row>
    <row r="412">
      <c r="A412" s="154"/>
      <c r="B412" s="155"/>
      <c r="C412" s="155"/>
      <c r="D412" s="156" t="s">
        <v>796</v>
      </c>
      <c r="E412" s="156" t="s">
        <v>772</v>
      </c>
      <c r="F412" s="155"/>
      <c r="G412" s="157" t="n">
        <v>32.2</v>
      </c>
      <c r="H412" s="155"/>
      <c r="I412" s="155"/>
      <c r="J412" s="155"/>
      <c r="K412" s="146"/>
    </row>
    <row r="413">
      <c r="A413" s="154"/>
      <c r="B413" s="155"/>
      <c r="C413" s="155"/>
      <c r="D413" s="156" t="s">
        <v>797</v>
      </c>
      <c r="E413" s="156" t="s">
        <v>774</v>
      </c>
      <c r="F413" s="155"/>
      <c r="G413" s="157" t="n">
        <v>44.35</v>
      </c>
      <c r="H413" s="155"/>
      <c r="I413" s="155"/>
      <c r="J413" s="155"/>
      <c r="K413" s="146"/>
    </row>
    <row r="414">
      <c r="A414" s="154"/>
      <c r="B414" s="155"/>
      <c r="C414" s="155"/>
      <c r="D414" s="156" t="s">
        <v>798</v>
      </c>
      <c r="E414" s="156" t="s">
        <v>776</v>
      </c>
      <c r="F414" s="155"/>
      <c r="G414" s="157" t="n">
        <v>24.805</v>
      </c>
      <c r="H414" s="155"/>
      <c r="I414" s="155"/>
      <c r="J414" s="155"/>
      <c r="K414" s="146"/>
    </row>
    <row r="415">
      <c r="A415" s="154"/>
      <c r="B415" s="155"/>
      <c r="C415" s="155"/>
      <c r="D415" s="156" t="s">
        <v>799</v>
      </c>
      <c r="E415" s="156" t="s">
        <v>778</v>
      </c>
      <c r="F415" s="155"/>
      <c r="G415" s="157" t="n">
        <v>3.92</v>
      </c>
      <c r="H415" s="155"/>
      <c r="I415" s="155"/>
      <c r="J415" s="155"/>
      <c r="K415" s="146"/>
    </row>
    <row r="416">
      <c r="A416" s="154"/>
      <c r="B416" s="155"/>
      <c r="C416" s="155"/>
      <c r="D416" s="156" t="s">
        <v>800</v>
      </c>
      <c r="E416" s="156" t="s">
        <v>780</v>
      </c>
      <c r="F416" s="155"/>
      <c r="G416" s="157" t="n">
        <v>17.55</v>
      </c>
      <c r="H416" s="155"/>
      <c r="I416" s="155"/>
      <c r="J416" s="155"/>
      <c r="K416" s="146"/>
    </row>
    <row r="417">
      <c r="A417" s="154"/>
      <c r="B417" s="155"/>
      <c r="C417" s="155"/>
      <c r="D417" s="156" t="s">
        <v>801</v>
      </c>
      <c r="E417" s="156" t="s">
        <v>782</v>
      </c>
      <c r="F417" s="155"/>
      <c r="G417" s="157" t="n">
        <v>10.98</v>
      </c>
      <c r="H417" s="155"/>
      <c r="I417" s="155"/>
      <c r="J417" s="155"/>
      <c r="K417" s="146"/>
    </row>
    <row r="418">
      <c r="A418" s="9" t="s">
        <v>802</v>
      </c>
      <c r="B418" s="10" t="s">
        <v>84</v>
      </c>
      <c r="C418" s="10" t="s">
        <v>803</v>
      </c>
      <c r="D418" s="14" t="s">
        <v>804</v>
      </c>
      <c r="E418" s="10"/>
      <c r="F418" s="10" t="s">
        <v>282</v>
      </c>
      <c r="G418" s="111">
        <f>'Stavební rozpočet'!G418</f>
      </c>
      <c r="H418" s="111">
        <f>'Stavební rozpočet'!H418</f>
      </c>
      <c r="I418" s="111">
        <f>G418*H418</f>
      </c>
      <c r="J418" s="153" t="s">
        <v>134</v>
      </c>
      <c r="K418" s="146"/>
      <c r="Z418" s="111">
        <f>IF(AQ418="5",BJ418,0)</f>
      </c>
      <c r="AB418" s="111">
        <f>IF(AQ418="1",BH418,0)</f>
      </c>
      <c r="AC418" s="111">
        <f>IF(AQ418="1",BI418,0)</f>
      </c>
      <c r="AD418" s="111">
        <f>IF(AQ418="7",BH418,0)</f>
      </c>
      <c r="AE418" s="111">
        <f>IF(AQ418="7",BI418,0)</f>
      </c>
      <c r="AF418" s="111">
        <f>IF(AQ418="2",BH418,0)</f>
      </c>
      <c r="AG418" s="111">
        <f>IF(AQ418="2",BI418,0)</f>
      </c>
      <c r="AH418" s="111">
        <f>IF(AQ418="0",BJ418,0)</f>
      </c>
      <c r="AI418" s="132" t="s">
        <v>84</v>
      </c>
      <c r="AJ418" s="111">
        <f>IF(AN418=0,I418,0)</f>
      </c>
      <c r="AK418" s="111">
        <f>IF(AN418=12,I418,0)</f>
      </c>
      <c r="AL418" s="111">
        <f>IF(AN418=21,I418,0)</f>
      </c>
      <c r="AN418" s="111" t="n">
        <v>21</v>
      </c>
      <c r="AO418" s="111">
        <f>H418*0</f>
      </c>
      <c r="AP418" s="111">
        <f>H418*(1-0)</f>
      </c>
      <c r="AQ418" s="153" t="s">
        <v>130</v>
      </c>
      <c r="AV418" s="111">
        <f>AW418+AX418</f>
      </c>
      <c r="AW418" s="111">
        <f>G418*AO418</f>
      </c>
      <c r="AX418" s="111">
        <f>G418*AP418</f>
      </c>
      <c r="AY418" s="153" t="s">
        <v>718</v>
      </c>
      <c r="AZ418" s="153" t="s">
        <v>719</v>
      </c>
      <c r="BA418" s="132" t="s">
        <v>137</v>
      </c>
      <c r="BC418" s="111">
        <f>AW418+AX418</f>
      </c>
      <c r="BD418" s="111">
        <f>H418/(100-BE418)*100</f>
      </c>
      <c r="BE418" s="111" t="n">
        <v>0</v>
      </c>
      <c r="BF418" s="111">
        <f>418</f>
      </c>
      <c r="BH418" s="111">
        <f>G418*AO418</f>
      </c>
      <c r="BI418" s="111">
        <f>G418*AP418</f>
      </c>
      <c r="BJ418" s="111">
        <f>G418*H418</f>
      </c>
      <c r="BK418" s="111"/>
      <c r="BL418" s="111" t="n">
        <v>41</v>
      </c>
      <c r="BW418" s="111" t="n">
        <v>21</v>
      </c>
      <c r="BX418" s="14" t="s">
        <v>804</v>
      </c>
    </row>
    <row r="419">
      <c r="A419" s="154"/>
      <c r="B419" s="155"/>
      <c r="C419" s="155"/>
      <c r="D419" s="156" t="s">
        <v>796</v>
      </c>
      <c r="E419" s="156" t="s">
        <v>772</v>
      </c>
      <c r="F419" s="155"/>
      <c r="G419" s="157" t="n">
        <v>32.2</v>
      </c>
      <c r="H419" s="155"/>
      <c r="I419" s="155"/>
      <c r="J419" s="155"/>
      <c r="K419" s="146"/>
    </row>
    <row r="420">
      <c r="A420" s="154"/>
      <c r="B420" s="155"/>
      <c r="C420" s="155"/>
      <c r="D420" s="156" t="s">
        <v>797</v>
      </c>
      <c r="E420" s="156" t="s">
        <v>774</v>
      </c>
      <c r="F420" s="155"/>
      <c r="G420" s="157" t="n">
        <v>44.35</v>
      </c>
      <c r="H420" s="155"/>
      <c r="I420" s="155"/>
      <c r="J420" s="155"/>
      <c r="K420" s="146"/>
    </row>
    <row r="421">
      <c r="A421" s="154"/>
      <c r="B421" s="155"/>
      <c r="C421" s="155"/>
      <c r="D421" s="156" t="s">
        <v>798</v>
      </c>
      <c r="E421" s="156" t="s">
        <v>776</v>
      </c>
      <c r="F421" s="155"/>
      <c r="G421" s="157" t="n">
        <v>24.805</v>
      </c>
      <c r="H421" s="155"/>
      <c r="I421" s="155"/>
      <c r="J421" s="155"/>
      <c r="K421" s="146"/>
    </row>
    <row r="422">
      <c r="A422" s="154"/>
      <c r="B422" s="155"/>
      <c r="C422" s="155"/>
      <c r="D422" s="156" t="s">
        <v>799</v>
      </c>
      <c r="E422" s="156" t="s">
        <v>778</v>
      </c>
      <c r="F422" s="155"/>
      <c r="G422" s="157" t="n">
        <v>3.92</v>
      </c>
      <c r="H422" s="155"/>
      <c r="I422" s="155"/>
      <c r="J422" s="155"/>
      <c r="K422" s="146"/>
    </row>
    <row r="423">
      <c r="A423" s="154"/>
      <c r="B423" s="155"/>
      <c r="C423" s="155"/>
      <c r="D423" s="156" t="s">
        <v>800</v>
      </c>
      <c r="E423" s="156" t="s">
        <v>780</v>
      </c>
      <c r="F423" s="155"/>
      <c r="G423" s="157" t="n">
        <v>17.55</v>
      </c>
      <c r="H423" s="155"/>
      <c r="I423" s="155"/>
      <c r="J423" s="155"/>
      <c r="K423" s="146"/>
    </row>
    <row r="424">
      <c r="A424" s="154"/>
      <c r="B424" s="155"/>
      <c r="C424" s="155"/>
      <c r="D424" s="156" t="s">
        <v>801</v>
      </c>
      <c r="E424" s="156" t="s">
        <v>782</v>
      </c>
      <c r="F424" s="155"/>
      <c r="G424" s="157" t="n">
        <v>10.98</v>
      </c>
      <c r="H424" s="155"/>
      <c r="I424" s="155"/>
      <c r="J424" s="155"/>
      <c r="K424" s="146"/>
    </row>
    <row r="425">
      <c r="A425" s="9" t="s">
        <v>805</v>
      </c>
      <c r="B425" s="10" t="s">
        <v>84</v>
      </c>
      <c r="C425" s="10" t="s">
        <v>806</v>
      </c>
      <c r="D425" s="14" t="s">
        <v>807</v>
      </c>
      <c r="E425" s="10"/>
      <c r="F425" s="10" t="s">
        <v>145</v>
      </c>
      <c r="G425" s="111">
        <f>'Stavební rozpočet'!G425</f>
      </c>
      <c r="H425" s="111">
        <f>'Stavební rozpočet'!H425</f>
      </c>
      <c r="I425" s="111">
        <f>G425*H425</f>
      </c>
      <c r="J425" s="153" t="s">
        <v>134</v>
      </c>
      <c r="K425" s="146"/>
      <c r="Z425" s="111">
        <f>IF(AQ425="5",BJ425,0)</f>
      </c>
      <c r="AB425" s="111">
        <f>IF(AQ425="1",BH425,0)</f>
      </c>
      <c r="AC425" s="111">
        <f>IF(AQ425="1",BI425,0)</f>
      </c>
      <c r="AD425" s="111">
        <f>IF(AQ425="7",BH425,0)</f>
      </c>
      <c r="AE425" s="111">
        <f>IF(AQ425="7",BI425,0)</f>
      </c>
      <c r="AF425" s="111">
        <f>IF(AQ425="2",BH425,0)</f>
      </c>
      <c r="AG425" s="111">
        <f>IF(AQ425="2",BI425,0)</f>
      </c>
      <c r="AH425" s="111">
        <f>IF(AQ425="0",BJ425,0)</f>
      </c>
      <c r="AI425" s="132" t="s">
        <v>84</v>
      </c>
      <c r="AJ425" s="111">
        <f>IF(AN425=0,I425,0)</f>
      </c>
      <c r="AK425" s="111">
        <f>IF(AN425=12,I425,0)</f>
      </c>
      <c r="AL425" s="111">
        <f>IF(AN425=21,I425,0)</f>
      </c>
      <c r="AN425" s="111" t="n">
        <v>21</v>
      </c>
      <c r="AO425" s="111">
        <f>H425*0.528247415</f>
      </c>
      <c r="AP425" s="111">
        <f>H425*(1-0.528247415)</f>
      </c>
      <c r="AQ425" s="153" t="s">
        <v>130</v>
      </c>
      <c r="AV425" s="111">
        <f>AW425+AX425</f>
      </c>
      <c r="AW425" s="111">
        <f>G425*AO425</f>
      </c>
      <c r="AX425" s="111">
        <f>G425*AP425</f>
      </c>
      <c r="AY425" s="153" t="s">
        <v>718</v>
      </c>
      <c r="AZ425" s="153" t="s">
        <v>719</v>
      </c>
      <c r="BA425" s="132" t="s">
        <v>137</v>
      </c>
      <c r="BC425" s="111">
        <f>AW425+AX425</f>
      </c>
      <c r="BD425" s="111">
        <f>H425/(100-BE425)*100</f>
      </c>
      <c r="BE425" s="111" t="n">
        <v>0</v>
      </c>
      <c r="BF425" s="111">
        <f>425</f>
      </c>
      <c r="BH425" s="111">
        <f>G425*AO425</f>
      </c>
      <c r="BI425" s="111">
        <f>G425*AP425</f>
      </c>
      <c r="BJ425" s="111">
        <f>G425*H425</f>
      </c>
      <c r="BK425" s="111"/>
      <c r="BL425" s="111" t="n">
        <v>41</v>
      </c>
      <c r="BW425" s="111" t="n">
        <v>21</v>
      </c>
      <c r="BX425" s="14" t="s">
        <v>807</v>
      </c>
    </row>
    <row r="426">
      <c r="A426" s="154"/>
      <c r="B426" s="155"/>
      <c r="C426" s="155"/>
      <c r="D426" s="156" t="s">
        <v>808</v>
      </c>
      <c r="E426" s="156" t="s">
        <v>776</v>
      </c>
      <c r="F426" s="155"/>
      <c r="G426" s="157" t="n">
        <v>117.465</v>
      </c>
      <c r="H426" s="155"/>
      <c r="I426" s="155"/>
      <c r="J426" s="155"/>
      <c r="K426" s="146"/>
    </row>
    <row r="427">
      <c r="A427" s="154"/>
      <c r="B427" s="155"/>
      <c r="C427" s="155"/>
      <c r="D427" s="156" t="s">
        <v>809</v>
      </c>
      <c r="E427" s="156" t="s">
        <v>778</v>
      </c>
      <c r="F427" s="155"/>
      <c r="G427" s="157" t="n">
        <v>15.484</v>
      </c>
      <c r="H427" s="155"/>
      <c r="I427" s="155"/>
      <c r="J427" s="155"/>
      <c r="K427" s="146"/>
    </row>
    <row r="428">
      <c r="A428" s="154"/>
      <c r="B428" s="155"/>
      <c r="C428" s="155"/>
      <c r="D428" s="156" t="s">
        <v>810</v>
      </c>
      <c r="E428" s="156" t="s">
        <v>780</v>
      </c>
      <c r="F428" s="155"/>
      <c r="G428" s="157" t="n">
        <v>80.78</v>
      </c>
      <c r="H428" s="155"/>
      <c r="I428" s="155"/>
      <c r="J428" s="155"/>
      <c r="K428" s="146"/>
    </row>
    <row r="429">
      <c r="A429" s="154"/>
      <c r="B429" s="155"/>
      <c r="C429" s="155"/>
      <c r="D429" s="156" t="s">
        <v>811</v>
      </c>
      <c r="E429" s="156" t="s">
        <v>782</v>
      </c>
      <c r="F429" s="155"/>
      <c r="G429" s="157" t="n">
        <v>20.34</v>
      </c>
      <c r="H429" s="155"/>
      <c r="I429" s="155"/>
      <c r="J429" s="155"/>
      <c r="K429" s="146"/>
    </row>
    <row r="430">
      <c r="A430" s="9" t="s">
        <v>812</v>
      </c>
      <c r="B430" s="10" t="s">
        <v>84</v>
      </c>
      <c r="C430" s="10" t="s">
        <v>813</v>
      </c>
      <c r="D430" s="14" t="s">
        <v>814</v>
      </c>
      <c r="E430" s="10"/>
      <c r="F430" s="10" t="s">
        <v>145</v>
      </c>
      <c r="G430" s="111">
        <f>'Stavební rozpočet'!G430</f>
      </c>
      <c r="H430" s="111">
        <f>'Stavební rozpočet'!H430</f>
      </c>
      <c r="I430" s="111">
        <f>G430*H430</f>
      </c>
      <c r="J430" s="153" t="s">
        <v>134</v>
      </c>
      <c r="K430" s="146"/>
      <c r="Z430" s="111">
        <f>IF(AQ430="5",BJ430,0)</f>
      </c>
      <c r="AB430" s="111">
        <f>IF(AQ430="1",BH430,0)</f>
      </c>
      <c r="AC430" s="111">
        <f>IF(AQ430="1",BI430,0)</f>
      </c>
      <c r="AD430" s="111">
        <f>IF(AQ430="7",BH430,0)</f>
      </c>
      <c r="AE430" s="111">
        <f>IF(AQ430="7",BI430,0)</f>
      </c>
      <c r="AF430" s="111">
        <f>IF(AQ430="2",BH430,0)</f>
      </c>
      <c r="AG430" s="111">
        <f>IF(AQ430="2",BI430,0)</f>
      </c>
      <c r="AH430" s="111">
        <f>IF(AQ430="0",BJ430,0)</f>
      </c>
      <c r="AI430" s="132" t="s">
        <v>84</v>
      </c>
      <c r="AJ430" s="111">
        <f>IF(AN430=0,I430,0)</f>
      </c>
      <c r="AK430" s="111">
        <f>IF(AN430=12,I430,0)</f>
      </c>
      <c r="AL430" s="111">
        <f>IF(AN430=21,I430,0)</f>
      </c>
      <c r="AN430" s="111" t="n">
        <v>21</v>
      </c>
      <c r="AO430" s="111">
        <f>H430*0</f>
      </c>
      <c r="AP430" s="111">
        <f>H430*(1-0)</f>
      </c>
      <c r="AQ430" s="153" t="s">
        <v>130</v>
      </c>
      <c r="AV430" s="111">
        <f>AW430+AX430</f>
      </c>
      <c r="AW430" s="111">
        <f>G430*AO430</f>
      </c>
      <c r="AX430" s="111">
        <f>G430*AP430</f>
      </c>
      <c r="AY430" s="153" t="s">
        <v>718</v>
      </c>
      <c r="AZ430" s="153" t="s">
        <v>719</v>
      </c>
      <c r="BA430" s="132" t="s">
        <v>137</v>
      </c>
      <c r="BC430" s="111">
        <f>AW430+AX430</f>
      </c>
      <c r="BD430" s="111">
        <f>H430/(100-BE430)*100</f>
      </c>
      <c r="BE430" s="111" t="n">
        <v>0</v>
      </c>
      <c r="BF430" s="111">
        <f>430</f>
      </c>
      <c r="BH430" s="111">
        <f>G430*AO430</f>
      </c>
      <c r="BI430" s="111">
        <f>G430*AP430</f>
      </c>
      <c r="BJ430" s="111">
        <f>G430*H430</f>
      </c>
      <c r="BK430" s="111"/>
      <c r="BL430" s="111" t="n">
        <v>41</v>
      </c>
      <c r="BW430" s="111" t="n">
        <v>21</v>
      </c>
      <c r="BX430" s="14" t="s">
        <v>814</v>
      </c>
    </row>
    <row r="431">
      <c r="A431" s="154"/>
      <c r="B431" s="155"/>
      <c r="C431" s="155"/>
      <c r="D431" s="156" t="s">
        <v>808</v>
      </c>
      <c r="E431" s="156" t="s">
        <v>776</v>
      </c>
      <c r="F431" s="155"/>
      <c r="G431" s="157" t="n">
        <v>117.465</v>
      </c>
      <c r="H431" s="155"/>
      <c r="I431" s="155"/>
      <c r="J431" s="155"/>
      <c r="K431" s="146"/>
    </row>
    <row r="432">
      <c r="A432" s="154"/>
      <c r="B432" s="155"/>
      <c r="C432" s="155"/>
      <c r="D432" s="156" t="s">
        <v>809</v>
      </c>
      <c r="E432" s="156" t="s">
        <v>778</v>
      </c>
      <c r="F432" s="155"/>
      <c r="G432" s="157" t="n">
        <v>15.484</v>
      </c>
      <c r="H432" s="155"/>
      <c r="I432" s="155"/>
      <c r="J432" s="155"/>
      <c r="K432" s="146"/>
    </row>
    <row r="433">
      <c r="A433" s="154"/>
      <c r="B433" s="155"/>
      <c r="C433" s="155"/>
      <c r="D433" s="156" t="s">
        <v>810</v>
      </c>
      <c r="E433" s="156" t="s">
        <v>780</v>
      </c>
      <c r="F433" s="155"/>
      <c r="G433" s="157" t="n">
        <v>80.78</v>
      </c>
      <c r="H433" s="155"/>
      <c r="I433" s="155"/>
      <c r="J433" s="155"/>
      <c r="K433" s="146"/>
    </row>
    <row r="434">
      <c r="A434" s="154"/>
      <c r="B434" s="155"/>
      <c r="C434" s="155"/>
      <c r="D434" s="156" t="s">
        <v>811</v>
      </c>
      <c r="E434" s="156" t="s">
        <v>782</v>
      </c>
      <c r="F434" s="155"/>
      <c r="G434" s="157" t="n">
        <v>20.34</v>
      </c>
      <c r="H434" s="155"/>
      <c r="I434" s="155"/>
      <c r="J434" s="155"/>
      <c r="K434" s="146"/>
    </row>
    <row r="435">
      <c r="A435" s="9" t="s">
        <v>815</v>
      </c>
      <c r="B435" s="10" t="s">
        <v>84</v>
      </c>
      <c r="C435" s="10" t="s">
        <v>816</v>
      </c>
      <c r="D435" s="14" t="s">
        <v>817</v>
      </c>
      <c r="E435" s="10"/>
      <c r="F435" s="10" t="s">
        <v>145</v>
      </c>
      <c r="G435" s="111">
        <f>'Stavební rozpočet'!G435</f>
      </c>
      <c r="H435" s="111">
        <f>'Stavební rozpočet'!H435</f>
      </c>
      <c r="I435" s="111">
        <f>G435*H435</f>
      </c>
      <c r="J435" s="153" t="s">
        <v>134</v>
      </c>
      <c r="K435" s="146"/>
      <c r="Z435" s="111">
        <f>IF(AQ435="5",BJ435,0)</f>
      </c>
      <c r="AB435" s="111">
        <f>IF(AQ435="1",BH435,0)</f>
      </c>
      <c r="AC435" s="111">
        <f>IF(AQ435="1",BI435,0)</f>
      </c>
      <c r="AD435" s="111">
        <f>IF(AQ435="7",BH435,0)</f>
      </c>
      <c r="AE435" s="111">
        <f>IF(AQ435="7",BI435,0)</f>
      </c>
      <c r="AF435" s="111">
        <f>IF(AQ435="2",BH435,0)</f>
      </c>
      <c r="AG435" s="111">
        <f>IF(AQ435="2",BI435,0)</f>
      </c>
      <c r="AH435" s="111">
        <f>IF(AQ435="0",BJ435,0)</f>
      </c>
      <c r="AI435" s="132" t="s">
        <v>84</v>
      </c>
      <c r="AJ435" s="111">
        <f>IF(AN435=0,I435,0)</f>
      </c>
      <c r="AK435" s="111">
        <f>IF(AN435=12,I435,0)</f>
      </c>
      <c r="AL435" s="111">
        <f>IF(AN435=21,I435,0)</f>
      </c>
      <c r="AN435" s="111" t="n">
        <v>21</v>
      </c>
      <c r="AO435" s="111">
        <f>H435*0.581326295</f>
      </c>
      <c r="AP435" s="111">
        <f>H435*(1-0.581326295)</f>
      </c>
      <c r="AQ435" s="153" t="s">
        <v>130</v>
      </c>
      <c r="AV435" s="111">
        <f>AW435+AX435</f>
      </c>
      <c r="AW435" s="111">
        <f>G435*AO435</f>
      </c>
      <c r="AX435" s="111">
        <f>G435*AP435</f>
      </c>
      <c r="AY435" s="153" t="s">
        <v>718</v>
      </c>
      <c r="AZ435" s="153" t="s">
        <v>719</v>
      </c>
      <c r="BA435" s="132" t="s">
        <v>137</v>
      </c>
      <c r="BC435" s="111">
        <f>AW435+AX435</f>
      </c>
      <c r="BD435" s="111">
        <f>H435/(100-BE435)*100</f>
      </c>
      <c r="BE435" s="111" t="n">
        <v>0</v>
      </c>
      <c r="BF435" s="111">
        <f>435</f>
      </c>
      <c r="BH435" s="111">
        <f>G435*AO435</f>
      </c>
      <c r="BI435" s="111">
        <f>G435*AP435</f>
      </c>
      <c r="BJ435" s="111">
        <f>G435*H435</f>
      </c>
      <c r="BK435" s="111"/>
      <c r="BL435" s="111" t="n">
        <v>41</v>
      </c>
      <c r="BW435" s="111" t="n">
        <v>21</v>
      </c>
      <c r="BX435" s="14" t="s">
        <v>817</v>
      </c>
    </row>
    <row r="436">
      <c r="A436" s="154"/>
      <c r="B436" s="155"/>
      <c r="C436" s="155"/>
      <c r="D436" s="156" t="s">
        <v>818</v>
      </c>
      <c r="E436" s="156" t="s">
        <v>819</v>
      </c>
      <c r="F436" s="155"/>
      <c r="G436" s="157" t="n">
        <v>197.652</v>
      </c>
      <c r="H436" s="155"/>
      <c r="I436" s="155"/>
      <c r="J436" s="155"/>
      <c r="K436" s="146"/>
    </row>
    <row r="437">
      <c r="A437" s="154"/>
      <c r="B437" s="155"/>
      <c r="C437" s="155"/>
      <c r="D437" s="156" t="s">
        <v>820</v>
      </c>
      <c r="E437" s="156" t="s">
        <v>821</v>
      </c>
      <c r="F437" s="155"/>
      <c r="G437" s="157" t="n">
        <v>98.813</v>
      </c>
      <c r="H437" s="155"/>
      <c r="I437" s="155"/>
      <c r="J437" s="155"/>
      <c r="K437" s="146"/>
    </row>
    <row r="438">
      <c r="A438" s="9" t="s">
        <v>822</v>
      </c>
      <c r="B438" s="10" t="s">
        <v>84</v>
      </c>
      <c r="C438" s="10" t="s">
        <v>823</v>
      </c>
      <c r="D438" s="14" t="s">
        <v>824</v>
      </c>
      <c r="E438" s="10"/>
      <c r="F438" s="10" t="s">
        <v>145</v>
      </c>
      <c r="G438" s="111">
        <f>'Stavební rozpočet'!G438</f>
      </c>
      <c r="H438" s="111">
        <f>'Stavební rozpočet'!H438</f>
      </c>
      <c r="I438" s="111">
        <f>G438*H438</f>
      </c>
      <c r="J438" s="153" t="s">
        <v>134</v>
      </c>
      <c r="K438" s="146"/>
      <c r="Z438" s="111">
        <f>IF(AQ438="5",BJ438,0)</f>
      </c>
      <c r="AB438" s="111">
        <f>IF(AQ438="1",BH438,0)</f>
      </c>
      <c r="AC438" s="111">
        <f>IF(AQ438="1",BI438,0)</f>
      </c>
      <c r="AD438" s="111">
        <f>IF(AQ438="7",BH438,0)</f>
      </c>
      <c r="AE438" s="111">
        <f>IF(AQ438="7",BI438,0)</f>
      </c>
      <c r="AF438" s="111">
        <f>IF(AQ438="2",BH438,0)</f>
      </c>
      <c r="AG438" s="111">
        <f>IF(AQ438="2",BI438,0)</f>
      </c>
      <c r="AH438" s="111">
        <f>IF(AQ438="0",BJ438,0)</f>
      </c>
      <c r="AI438" s="132" t="s">
        <v>84</v>
      </c>
      <c r="AJ438" s="111">
        <f>IF(AN438=0,I438,0)</f>
      </c>
      <c r="AK438" s="111">
        <f>IF(AN438=12,I438,0)</f>
      </c>
      <c r="AL438" s="111">
        <f>IF(AN438=21,I438,0)</f>
      </c>
      <c r="AN438" s="111" t="n">
        <v>21</v>
      </c>
      <c r="AO438" s="111">
        <f>H438*0</f>
      </c>
      <c r="AP438" s="111">
        <f>H438*(1-0)</f>
      </c>
      <c r="AQ438" s="153" t="s">
        <v>130</v>
      </c>
      <c r="AV438" s="111">
        <f>AW438+AX438</f>
      </c>
      <c r="AW438" s="111">
        <f>G438*AO438</f>
      </c>
      <c r="AX438" s="111">
        <f>G438*AP438</f>
      </c>
      <c r="AY438" s="153" t="s">
        <v>718</v>
      </c>
      <c r="AZ438" s="153" t="s">
        <v>719</v>
      </c>
      <c r="BA438" s="132" t="s">
        <v>137</v>
      </c>
      <c r="BC438" s="111">
        <f>AW438+AX438</f>
      </c>
      <c r="BD438" s="111">
        <f>H438/(100-BE438)*100</f>
      </c>
      <c r="BE438" s="111" t="n">
        <v>0</v>
      </c>
      <c r="BF438" s="111">
        <f>438</f>
      </c>
      <c r="BH438" s="111">
        <f>G438*AO438</f>
      </c>
      <c r="BI438" s="111">
        <f>G438*AP438</f>
      </c>
      <c r="BJ438" s="111">
        <f>G438*H438</f>
      </c>
      <c r="BK438" s="111"/>
      <c r="BL438" s="111" t="n">
        <v>41</v>
      </c>
      <c r="BW438" s="111" t="n">
        <v>21</v>
      </c>
      <c r="BX438" s="14" t="s">
        <v>824</v>
      </c>
    </row>
    <row r="439">
      <c r="A439" s="154"/>
      <c r="B439" s="155"/>
      <c r="C439" s="155"/>
      <c r="D439" s="156" t="s">
        <v>818</v>
      </c>
      <c r="E439" s="156" t="s">
        <v>819</v>
      </c>
      <c r="F439" s="155"/>
      <c r="G439" s="157" t="n">
        <v>197.652</v>
      </c>
      <c r="H439" s="155"/>
      <c r="I439" s="155"/>
      <c r="J439" s="155"/>
      <c r="K439" s="146"/>
    </row>
    <row r="440">
      <c r="A440" s="154"/>
      <c r="B440" s="155"/>
      <c r="C440" s="155"/>
      <c r="D440" s="156" t="s">
        <v>820</v>
      </c>
      <c r="E440" s="156" t="s">
        <v>821</v>
      </c>
      <c r="F440" s="155"/>
      <c r="G440" s="157" t="n">
        <v>98.813</v>
      </c>
      <c r="H440" s="155"/>
      <c r="I440" s="155"/>
      <c r="J440" s="155"/>
      <c r="K440" s="146"/>
    </row>
    <row r="441">
      <c r="A441" s="9" t="s">
        <v>825</v>
      </c>
      <c r="B441" s="10" t="s">
        <v>84</v>
      </c>
      <c r="C441" s="10" t="s">
        <v>826</v>
      </c>
      <c r="D441" s="14" t="s">
        <v>827</v>
      </c>
      <c r="E441" s="10"/>
      <c r="F441" s="10" t="s">
        <v>133</v>
      </c>
      <c r="G441" s="111">
        <f>'Stavební rozpočet'!G441</f>
      </c>
      <c r="H441" s="111">
        <f>'Stavební rozpočet'!H441</f>
      </c>
      <c r="I441" s="111">
        <f>G441*H441</f>
      </c>
      <c r="J441" s="153" t="s">
        <v>134</v>
      </c>
      <c r="K441" s="146"/>
      <c r="Z441" s="111">
        <f>IF(AQ441="5",BJ441,0)</f>
      </c>
      <c r="AB441" s="111">
        <f>IF(AQ441="1",BH441,0)</f>
      </c>
      <c r="AC441" s="111">
        <f>IF(AQ441="1",BI441,0)</f>
      </c>
      <c r="AD441" s="111">
        <f>IF(AQ441="7",BH441,0)</f>
      </c>
      <c r="AE441" s="111">
        <f>IF(AQ441="7",BI441,0)</f>
      </c>
      <c r="AF441" s="111">
        <f>IF(AQ441="2",BH441,0)</f>
      </c>
      <c r="AG441" s="111">
        <f>IF(AQ441="2",BI441,0)</f>
      </c>
      <c r="AH441" s="111">
        <f>IF(AQ441="0",BJ441,0)</f>
      </c>
      <c r="AI441" s="132" t="s">
        <v>84</v>
      </c>
      <c r="AJ441" s="111">
        <f>IF(AN441=0,I441,0)</f>
      </c>
      <c r="AK441" s="111">
        <f>IF(AN441=12,I441,0)</f>
      </c>
      <c r="AL441" s="111">
        <f>IF(AN441=21,I441,0)</f>
      </c>
      <c r="AN441" s="111" t="n">
        <v>21</v>
      </c>
      <c r="AO441" s="111">
        <f>H441*0.331085766</f>
      </c>
      <c r="AP441" s="111">
        <f>H441*(1-0.331085766)</f>
      </c>
      <c r="AQ441" s="153" t="s">
        <v>130</v>
      </c>
      <c r="AV441" s="111">
        <f>AW441+AX441</f>
      </c>
      <c r="AW441" s="111">
        <f>G441*AO441</f>
      </c>
      <c r="AX441" s="111">
        <f>G441*AP441</f>
      </c>
      <c r="AY441" s="153" t="s">
        <v>718</v>
      </c>
      <c r="AZ441" s="153" t="s">
        <v>719</v>
      </c>
      <c r="BA441" s="132" t="s">
        <v>137</v>
      </c>
      <c r="BC441" s="111">
        <f>AW441+AX441</f>
      </c>
      <c r="BD441" s="111">
        <f>H441/(100-BE441)*100</f>
      </c>
      <c r="BE441" s="111" t="n">
        <v>0</v>
      </c>
      <c r="BF441" s="111">
        <f>441</f>
      </c>
      <c r="BH441" s="111">
        <f>G441*AO441</f>
      </c>
      <c r="BI441" s="111">
        <f>G441*AP441</f>
      </c>
      <c r="BJ441" s="111">
        <f>G441*H441</f>
      </c>
      <c r="BK441" s="111"/>
      <c r="BL441" s="111" t="n">
        <v>41</v>
      </c>
      <c r="BW441" s="111" t="n">
        <v>21</v>
      </c>
      <c r="BX441" s="14" t="s">
        <v>827</v>
      </c>
    </row>
    <row r="442" customHeight="true" ht="13.5">
      <c r="A442" s="159"/>
      <c r="C442" s="160" t="s">
        <v>146</v>
      </c>
      <c r="D442" s="161" t="s">
        <v>828</v>
      </c>
      <c r="E442" s="156"/>
      <c r="F442" s="156"/>
      <c r="G442" s="156"/>
      <c r="H442" s="156"/>
      <c r="I442" s="156"/>
      <c r="J442" s="156"/>
      <c r="K442" s="163"/>
    </row>
    <row r="443">
      <c r="A443" s="154"/>
      <c r="B443" s="155"/>
      <c r="C443" s="155"/>
      <c r="D443" s="156" t="s">
        <v>140</v>
      </c>
      <c r="E443" s="156" t="s">
        <v>829</v>
      </c>
      <c r="F443" s="155"/>
      <c r="G443" s="157" t="n">
        <v>2</v>
      </c>
      <c r="H443" s="155"/>
      <c r="I443" s="155"/>
      <c r="J443" s="155"/>
      <c r="K443" s="146"/>
    </row>
    <row r="444">
      <c r="A444" s="154"/>
      <c r="B444" s="155"/>
      <c r="C444" s="155"/>
      <c r="D444" s="156" t="s">
        <v>138</v>
      </c>
      <c r="E444" s="156" t="s">
        <v>830</v>
      </c>
      <c r="F444" s="155"/>
      <c r="G444" s="157" t="n">
        <v>3</v>
      </c>
      <c r="H444" s="155"/>
      <c r="I444" s="155"/>
      <c r="J444" s="155"/>
      <c r="K444" s="146"/>
    </row>
    <row r="445">
      <c r="A445" s="9" t="s">
        <v>831</v>
      </c>
      <c r="B445" s="10" t="s">
        <v>84</v>
      </c>
      <c r="C445" s="10" t="s">
        <v>832</v>
      </c>
      <c r="D445" s="14" t="s">
        <v>833</v>
      </c>
      <c r="E445" s="10"/>
      <c r="F445" s="10" t="s">
        <v>133</v>
      </c>
      <c r="G445" s="111">
        <f>'Stavební rozpočet'!G445</f>
      </c>
      <c r="H445" s="111">
        <f>'Stavební rozpočet'!H445</f>
      </c>
      <c r="I445" s="111">
        <f>G445*H445</f>
      </c>
      <c r="J445" s="153" t="s">
        <v>134</v>
      </c>
      <c r="K445" s="146"/>
      <c r="Z445" s="111">
        <f>IF(AQ445="5",BJ445,0)</f>
      </c>
      <c r="AB445" s="111">
        <f>IF(AQ445="1",BH445,0)</f>
      </c>
      <c r="AC445" s="111">
        <f>IF(AQ445="1",BI445,0)</f>
      </c>
      <c r="AD445" s="111">
        <f>IF(AQ445="7",BH445,0)</f>
      </c>
      <c r="AE445" s="111">
        <f>IF(AQ445="7",BI445,0)</f>
      </c>
      <c r="AF445" s="111">
        <f>IF(AQ445="2",BH445,0)</f>
      </c>
      <c r="AG445" s="111">
        <f>IF(AQ445="2",BI445,0)</f>
      </c>
      <c r="AH445" s="111">
        <f>IF(AQ445="0",BJ445,0)</f>
      </c>
      <c r="AI445" s="132" t="s">
        <v>84</v>
      </c>
      <c r="AJ445" s="111">
        <f>IF(AN445=0,I445,0)</f>
      </c>
      <c r="AK445" s="111">
        <f>IF(AN445=12,I445,0)</f>
      </c>
      <c r="AL445" s="111">
        <f>IF(AN445=21,I445,0)</f>
      </c>
      <c r="AN445" s="111" t="n">
        <v>21</v>
      </c>
      <c r="AO445" s="111">
        <f>H445*0.237163959</f>
      </c>
      <c r="AP445" s="111">
        <f>H445*(1-0.237163959)</f>
      </c>
      <c r="AQ445" s="153" t="s">
        <v>130</v>
      </c>
      <c r="AV445" s="111">
        <f>AW445+AX445</f>
      </c>
      <c r="AW445" s="111">
        <f>G445*AO445</f>
      </c>
      <c r="AX445" s="111">
        <f>G445*AP445</f>
      </c>
      <c r="AY445" s="153" t="s">
        <v>718</v>
      </c>
      <c r="AZ445" s="153" t="s">
        <v>719</v>
      </c>
      <c r="BA445" s="132" t="s">
        <v>137</v>
      </c>
      <c r="BC445" s="111">
        <f>AW445+AX445</f>
      </c>
      <c r="BD445" s="111">
        <f>H445/(100-BE445)*100</f>
      </c>
      <c r="BE445" s="111" t="n">
        <v>0</v>
      </c>
      <c r="BF445" s="111">
        <f>445</f>
      </c>
      <c r="BH445" s="111">
        <f>G445*AO445</f>
      </c>
      <c r="BI445" s="111">
        <f>G445*AP445</f>
      </c>
      <c r="BJ445" s="111">
        <f>G445*H445</f>
      </c>
      <c r="BK445" s="111"/>
      <c r="BL445" s="111" t="n">
        <v>41</v>
      </c>
      <c r="BW445" s="111" t="n">
        <v>21</v>
      </c>
      <c r="BX445" s="14" t="s">
        <v>833</v>
      </c>
    </row>
    <row r="446" customHeight="true" ht="13.5">
      <c r="A446" s="159"/>
      <c r="C446" s="160" t="s">
        <v>146</v>
      </c>
      <c r="D446" s="161" t="s">
        <v>834</v>
      </c>
      <c r="E446" s="156"/>
      <c r="F446" s="156"/>
      <c r="G446" s="156"/>
      <c r="H446" s="156"/>
      <c r="I446" s="156"/>
      <c r="J446" s="156"/>
      <c r="K446" s="163"/>
    </row>
    <row r="447">
      <c r="A447" s="154"/>
      <c r="B447" s="155"/>
      <c r="C447" s="155"/>
      <c r="D447" s="156" t="s">
        <v>835</v>
      </c>
      <c r="E447" s="156" t="s">
        <v>836</v>
      </c>
      <c r="F447" s="155"/>
      <c r="G447" s="157" t="n">
        <v>32</v>
      </c>
      <c r="H447" s="155"/>
      <c r="I447" s="155"/>
      <c r="J447" s="155"/>
      <c r="K447" s="146"/>
    </row>
    <row r="448">
      <c r="A448" s="9" t="s">
        <v>837</v>
      </c>
      <c r="B448" s="10" t="s">
        <v>84</v>
      </c>
      <c r="C448" s="10" t="s">
        <v>832</v>
      </c>
      <c r="D448" s="14" t="s">
        <v>833</v>
      </c>
      <c r="E448" s="10"/>
      <c r="F448" s="10" t="s">
        <v>133</v>
      </c>
      <c r="G448" s="111">
        <f>'Stavební rozpočet'!G448</f>
      </c>
      <c r="H448" s="111">
        <f>'Stavební rozpočet'!H448</f>
      </c>
      <c r="I448" s="111">
        <f>G448*H448</f>
      </c>
      <c r="J448" s="153" t="s">
        <v>134</v>
      </c>
      <c r="K448" s="146"/>
      <c r="Z448" s="111">
        <f>IF(AQ448="5",BJ448,0)</f>
      </c>
      <c r="AB448" s="111">
        <f>IF(AQ448="1",BH448,0)</f>
      </c>
      <c r="AC448" s="111">
        <f>IF(AQ448="1",BI448,0)</f>
      </c>
      <c r="AD448" s="111">
        <f>IF(AQ448="7",BH448,0)</f>
      </c>
      <c r="AE448" s="111">
        <f>IF(AQ448="7",BI448,0)</f>
      </c>
      <c r="AF448" s="111">
        <f>IF(AQ448="2",BH448,0)</f>
      </c>
      <c r="AG448" s="111">
        <f>IF(AQ448="2",BI448,0)</f>
      </c>
      <c r="AH448" s="111">
        <f>IF(AQ448="0",BJ448,0)</f>
      </c>
      <c r="AI448" s="132" t="s">
        <v>84</v>
      </c>
      <c r="AJ448" s="111">
        <f>IF(AN448=0,I448,0)</f>
      </c>
      <c r="AK448" s="111">
        <f>IF(AN448=12,I448,0)</f>
      </c>
      <c r="AL448" s="111">
        <f>IF(AN448=21,I448,0)</f>
      </c>
      <c r="AN448" s="111" t="n">
        <v>21</v>
      </c>
      <c r="AO448" s="111">
        <f>H448*0.237163959</f>
      </c>
      <c r="AP448" s="111">
        <f>H448*(1-0.237163959)</f>
      </c>
      <c r="AQ448" s="153" t="s">
        <v>130</v>
      </c>
      <c r="AV448" s="111">
        <f>AW448+AX448</f>
      </c>
      <c r="AW448" s="111">
        <f>G448*AO448</f>
      </c>
      <c r="AX448" s="111">
        <f>G448*AP448</f>
      </c>
      <c r="AY448" s="153" t="s">
        <v>718</v>
      </c>
      <c r="AZ448" s="153" t="s">
        <v>719</v>
      </c>
      <c r="BA448" s="132" t="s">
        <v>137</v>
      </c>
      <c r="BC448" s="111">
        <f>AW448+AX448</f>
      </c>
      <c r="BD448" s="111">
        <f>H448/(100-BE448)*100</f>
      </c>
      <c r="BE448" s="111" t="n">
        <v>0</v>
      </c>
      <c r="BF448" s="111">
        <f>448</f>
      </c>
      <c r="BH448" s="111">
        <f>G448*AO448</f>
      </c>
      <c r="BI448" s="111">
        <f>G448*AP448</f>
      </c>
      <c r="BJ448" s="111">
        <f>G448*H448</f>
      </c>
      <c r="BK448" s="111"/>
      <c r="BL448" s="111" t="n">
        <v>41</v>
      </c>
      <c r="BW448" s="111" t="n">
        <v>21</v>
      </c>
      <c r="BX448" s="14" t="s">
        <v>833</v>
      </c>
    </row>
    <row r="449" customHeight="true" ht="13.5">
      <c r="A449" s="159"/>
      <c r="C449" s="160" t="s">
        <v>146</v>
      </c>
      <c r="D449" s="161" t="s">
        <v>838</v>
      </c>
      <c r="E449" s="156"/>
      <c r="F449" s="156"/>
      <c r="G449" s="156"/>
      <c r="H449" s="156"/>
      <c r="I449" s="156"/>
      <c r="J449" s="156"/>
      <c r="K449" s="163"/>
    </row>
    <row r="450">
      <c r="A450" s="154"/>
      <c r="B450" s="155"/>
      <c r="C450" s="155"/>
      <c r="D450" s="156" t="s">
        <v>839</v>
      </c>
      <c r="E450" s="156" t="s">
        <v>840</v>
      </c>
      <c r="F450" s="155"/>
      <c r="G450" s="157" t="n">
        <v>13</v>
      </c>
      <c r="H450" s="155"/>
      <c r="I450" s="155"/>
      <c r="J450" s="155"/>
      <c r="K450" s="146"/>
    </row>
    <row r="451">
      <c r="A451" s="154"/>
      <c r="B451" s="155"/>
      <c r="C451" s="155"/>
      <c r="D451" s="156" t="s">
        <v>149</v>
      </c>
      <c r="E451" s="156" t="s">
        <v>841</v>
      </c>
      <c r="F451" s="155"/>
      <c r="G451" s="157" t="n">
        <v>4</v>
      </c>
      <c r="H451" s="155"/>
      <c r="I451" s="155"/>
      <c r="J451" s="155"/>
      <c r="K451" s="146"/>
    </row>
    <row r="452">
      <c r="A452" s="9" t="s">
        <v>842</v>
      </c>
      <c r="B452" s="10" t="s">
        <v>84</v>
      </c>
      <c r="C452" s="10" t="s">
        <v>843</v>
      </c>
      <c r="D452" s="14" t="s">
        <v>844</v>
      </c>
      <c r="E452" s="10"/>
      <c r="F452" s="10" t="s">
        <v>159</v>
      </c>
      <c r="G452" s="111">
        <f>'Stavební rozpočet'!G452</f>
      </c>
      <c r="H452" s="111">
        <f>'Stavební rozpočet'!H452</f>
      </c>
      <c r="I452" s="111">
        <f>G452*H452</f>
      </c>
      <c r="J452" s="153" t="s">
        <v>134</v>
      </c>
      <c r="K452" s="146"/>
      <c r="Z452" s="111">
        <f>IF(AQ452="5",BJ452,0)</f>
      </c>
      <c r="AB452" s="111">
        <f>IF(AQ452="1",BH452,0)</f>
      </c>
      <c r="AC452" s="111">
        <f>IF(AQ452="1",BI452,0)</f>
      </c>
      <c r="AD452" s="111">
        <f>IF(AQ452="7",BH452,0)</f>
      </c>
      <c r="AE452" s="111">
        <f>IF(AQ452="7",BI452,0)</f>
      </c>
      <c r="AF452" s="111">
        <f>IF(AQ452="2",BH452,0)</f>
      </c>
      <c r="AG452" s="111">
        <f>IF(AQ452="2",BI452,0)</f>
      </c>
      <c r="AH452" s="111">
        <f>IF(AQ452="0",BJ452,0)</f>
      </c>
      <c r="AI452" s="132" t="s">
        <v>84</v>
      </c>
      <c r="AJ452" s="111">
        <f>IF(AN452=0,I452,0)</f>
      </c>
      <c r="AK452" s="111">
        <f>IF(AN452=12,I452,0)</f>
      </c>
      <c r="AL452" s="111">
        <f>IF(AN452=21,I452,0)</f>
      </c>
      <c r="AN452" s="111" t="n">
        <v>21</v>
      </c>
      <c r="AO452" s="111">
        <f>H452*0.857664378</f>
      </c>
      <c r="AP452" s="111">
        <f>H452*(1-0.857664378)</f>
      </c>
      <c r="AQ452" s="153" t="s">
        <v>130</v>
      </c>
      <c r="AV452" s="111">
        <f>AW452+AX452</f>
      </c>
      <c r="AW452" s="111">
        <f>G452*AO452</f>
      </c>
      <c r="AX452" s="111">
        <f>G452*AP452</f>
      </c>
      <c r="AY452" s="153" t="s">
        <v>718</v>
      </c>
      <c r="AZ452" s="153" t="s">
        <v>719</v>
      </c>
      <c r="BA452" s="132" t="s">
        <v>137</v>
      </c>
      <c r="BC452" s="111">
        <f>AW452+AX452</f>
      </c>
      <c r="BD452" s="111">
        <f>H452/(100-BE452)*100</f>
      </c>
      <c r="BE452" s="111" t="n">
        <v>0</v>
      </c>
      <c r="BF452" s="111">
        <f>452</f>
      </c>
      <c r="BH452" s="111">
        <f>G452*AO452</f>
      </c>
      <c r="BI452" s="111">
        <f>G452*AP452</f>
      </c>
      <c r="BJ452" s="111">
        <f>G452*H452</f>
      </c>
      <c r="BK452" s="111"/>
      <c r="BL452" s="111" t="n">
        <v>41</v>
      </c>
      <c r="BW452" s="111" t="n">
        <v>21</v>
      </c>
      <c r="BX452" s="14" t="s">
        <v>844</v>
      </c>
    </row>
    <row r="453">
      <c r="A453" s="154"/>
      <c r="B453" s="155"/>
      <c r="C453" s="155"/>
      <c r="D453" s="156" t="s">
        <v>845</v>
      </c>
      <c r="E453" s="156" t="s">
        <v>846</v>
      </c>
      <c r="F453" s="155"/>
      <c r="G453" s="157" t="n">
        <v>0.9125</v>
      </c>
      <c r="H453" s="155"/>
      <c r="I453" s="155"/>
      <c r="J453" s="155"/>
      <c r="K453" s="146"/>
    </row>
    <row r="454">
      <c r="A454" s="9" t="s">
        <v>847</v>
      </c>
      <c r="B454" s="10" t="s">
        <v>84</v>
      </c>
      <c r="C454" s="10" t="s">
        <v>848</v>
      </c>
      <c r="D454" s="14" t="s">
        <v>849</v>
      </c>
      <c r="E454" s="10"/>
      <c r="F454" s="10" t="s">
        <v>229</v>
      </c>
      <c r="G454" s="111">
        <f>'Stavební rozpočet'!G454</f>
      </c>
      <c r="H454" s="111">
        <f>'Stavební rozpočet'!H454</f>
      </c>
      <c r="I454" s="111">
        <f>G454*H454</f>
      </c>
      <c r="J454" s="153" t="s">
        <v>134</v>
      </c>
      <c r="K454" s="146"/>
      <c r="Z454" s="111">
        <f>IF(AQ454="5",BJ454,0)</f>
      </c>
      <c r="AB454" s="111">
        <f>IF(AQ454="1",BH454,0)</f>
      </c>
      <c r="AC454" s="111">
        <f>IF(AQ454="1",BI454,0)</f>
      </c>
      <c r="AD454" s="111">
        <f>IF(AQ454="7",BH454,0)</f>
      </c>
      <c r="AE454" s="111">
        <f>IF(AQ454="7",BI454,0)</f>
      </c>
      <c r="AF454" s="111">
        <f>IF(AQ454="2",BH454,0)</f>
      </c>
      <c r="AG454" s="111">
        <f>IF(AQ454="2",BI454,0)</f>
      </c>
      <c r="AH454" s="111">
        <f>IF(AQ454="0",BJ454,0)</f>
      </c>
      <c r="AI454" s="132" t="s">
        <v>84</v>
      </c>
      <c r="AJ454" s="111">
        <f>IF(AN454=0,I454,0)</f>
      </c>
      <c r="AK454" s="111">
        <f>IF(AN454=12,I454,0)</f>
      </c>
      <c r="AL454" s="111">
        <f>IF(AN454=21,I454,0)</f>
      </c>
      <c r="AN454" s="111" t="n">
        <v>21</v>
      </c>
      <c r="AO454" s="111">
        <f>H454*0.721519951</f>
      </c>
      <c r="AP454" s="111">
        <f>H454*(1-0.721519951)</f>
      </c>
      <c r="AQ454" s="153" t="s">
        <v>130</v>
      </c>
      <c r="AV454" s="111">
        <f>AW454+AX454</f>
      </c>
      <c r="AW454" s="111">
        <f>G454*AO454</f>
      </c>
      <c r="AX454" s="111">
        <f>G454*AP454</f>
      </c>
      <c r="AY454" s="153" t="s">
        <v>718</v>
      </c>
      <c r="AZ454" s="153" t="s">
        <v>719</v>
      </c>
      <c r="BA454" s="132" t="s">
        <v>137</v>
      </c>
      <c r="BC454" s="111">
        <f>AW454+AX454</f>
      </c>
      <c r="BD454" s="111">
        <f>H454/(100-BE454)*100</f>
      </c>
      <c r="BE454" s="111" t="n">
        <v>0</v>
      </c>
      <c r="BF454" s="111">
        <f>454</f>
      </c>
      <c r="BH454" s="111">
        <f>G454*AO454</f>
      </c>
      <c r="BI454" s="111">
        <f>G454*AP454</f>
      </c>
      <c r="BJ454" s="111">
        <f>G454*H454</f>
      </c>
      <c r="BK454" s="111"/>
      <c r="BL454" s="111" t="n">
        <v>41</v>
      </c>
      <c r="BW454" s="111" t="n">
        <v>21</v>
      </c>
      <c r="BX454" s="14" t="s">
        <v>849</v>
      </c>
    </row>
    <row r="455">
      <c r="A455" s="154"/>
      <c r="B455" s="155"/>
      <c r="C455" s="155"/>
      <c r="D455" s="156" t="s">
        <v>850</v>
      </c>
      <c r="E455" s="156" t="s">
        <v>846</v>
      </c>
      <c r="F455" s="155"/>
      <c r="G455" s="157" t="n">
        <v>0.0946</v>
      </c>
      <c r="H455" s="155"/>
      <c r="I455" s="155"/>
      <c r="J455" s="155"/>
      <c r="K455" s="146"/>
    </row>
    <row r="456">
      <c r="A456" s="154"/>
      <c r="B456" s="155"/>
      <c r="C456" s="155"/>
      <c r="D456" s="156" t="s">
        <v>851</v>
      </c>
      <c r="E456" s="156" t="s">
        <v>736</v>
      </c>
      <c r="F456" s="155"/>
      <c r="G456" s="157" t="n">
        <v>0.00946</v>
      </c>
      <c r="H456" s="155"/>
      <c r="I456" s="155"/>
      <c r="J456" s="155"/>
      <c r="K456" s="146"/>
    </row>
    <row r="457">
      <c r="A457" s="9" t="s">
        <v>852</v>
      </c>
      <c r="B457" s="10" t="s">
        <v>84</v>
      </c>
      <c r="C457" s="10" t="s">
        <v>853</v>
      </c>
      <c r="D457" s="14" t="s">
        <v>854</v>
      </c>
      <c r="E457" s="10"/>
      <c r="F457" s="10" t="s">
        <v>282</v>
      </c>
      <c r="G457" s="111">
        <f>'Stavební rozpočet'!G457</f>
      </c>
      <c r="H457" s="111">
        <f>'Stavební rozpočet'!H457</f>
      </c>
      <c r="I457" s="111">
        <f>G457*H457</f>
      </c>
      <c r="J457" s="153" t="s">
        <v>134</v>
      </c>
      <c r="K457" s="146"/>
      <c r="Z457" s="111">
        <f>IF(AQ457="5",BJ457,0)</f>
      </c>
      <c r="AB457" s="111">
        <f>IF(AQ457="1",BH457,0)</f>
      </c>
      <c r="AC457" s="111">
        <f>IF(AQ457="1",BI457,0)</f>
      </c>
      <c r="AD457" s="111">
        <f>IF(AQ457="7",BH457,0)</f>
      </c>
      <c r="AE457" s="111">
        <f>IF(AQ457="7",BI457,0)</f>
      </c>
      <c r="AF457" s="111">
        <f>IF(AQ457="2",BH457,0)</f>
      </c>
      <c r="AG457" s="111">
        <f>IF(AQ457="2",BI457,0)</f>
      </c>
      <c r="AH457" s="111">
        <f>IF(AQ457="0",BJ457,0)</f>
      </c>
      <c r="AI457" s="132" t="s">
        <v>84</v>
      </c>
      <c r="AJ457" s="111">
        <f>IF(AN457=0,I457,0)</f>
      </c>
      <c r="AK457" s="111">
        <f>IF(AN457=12,I457,0)</f>
      </c>
      <c r="AL457" s="111">
        <f>IF(AN457=21,I457,0)</f>
      </c>
      <c r="AN457" s="111" t="n">
        <v>21</v>
      </c>
      <c r="AO457" s="111">
        <f>H457*0.174137931</f>
      </c>
      <c r="AP457" s="111">
        <f>H457*(1-0.174137931)</f>
      </c>
      <c r="AQ457" s="153" t="s">
        <v>130</v>
      </c>
      <c r="AV457" s="111">
        <f>AW457+AX457</f>
      </c>
      <c r="AW457" s="111">
        <f>G457*AO457</f>
      </c>
      <c r="AX457" s="111">
        <f>G457*AP457</f>
      </c>
      <c r="AY457" s="153" t="s">
        <v>718</v>
      </c>
      <c r="AZ457" s="153" t="s">
        <v>719</v>
      </c>
      <c r="BA457" s="132" t="s">
        <v>137</v>
      </c>
      <c r="BC457" s="111">
        <f>AW457+AX457</f>
      </c>
      <c r="BD457" s="111">
        <f>H457/(100-BE457)*100</f>
      </c>
      <c r="BE457" s="111" t="n">
        <v>0</v>
      </c>
      <c r="BF457" s="111">
        <f>457</f>
      </c>
      <c r="BH457" s="111">
        <f>G457*AO457</f>
      </c>
      <c r="BI457" s="111">
        <f>G457*AP457</f>
      </c>
      <c r="BJ457" s="111">
        <f>G457*H457</f>
      </c>
      <c r="BK457" s="111"/>
      <c r="BL457" s="111" t="n">
        <v>41</v>
      </c>
      <c r="BW457" s="111" t="n">
        <v>21</v>
      </c>
      <c r="BX457" s="14" t="s">
        <v>854</v>
      </c>
    </row>
    <row r="458">
      <c r="A458" s="154"/>
      <c r="B458" s="155"/>
      <c r="C458" s="155"/>
      <c r="D458" s="156" t="s">
        <v>855</v>
      </c>
      <c r="E458" s="156" t="s">
        <v>846</v>
      </c>
      <c r="F458" s="155"/>
      <c r="G458" s="157" t="n">
        <v>14.6</v>
      </c>
      <c r="H458" s="155"/>
      <c r="I458" s="155"/>
      <c r="J458" s="155"/>
      <c r="K458" s="146"/>
    </row>
    <row r="459">
      <c r="A459" s="9" t="s">
        <v>856</v>
      </c>
      <c r="B459" s="10" t="s">
        <v>84</v>
      </c>
      <c r="C459" s="10" t="s">
        <v>857</v>
      </c>
      <c r="D459" s="14" t="s">
        <v>858</v>
      </c>
      <c r="E459" s="10"/>
      <c r="F459" s="10" t="s">
        <v>282</v>
      </c>
      <c r="G459" s="111">
        <f>'Stavební rozpočet'!G459</f>
      </c>
      <c r="H459" s="111">
        <f>'Stavební rozpočet'!H459</f>
      </c>
      <c r="I459" s="111">
        <f>G459*H459</f>
      </c>
      <c r="J459" s="153" t="s">
        <v>134</v>
      </c>
      <c r="K459" s="146"/>
      <c r="Z459" s="111">
        <f>IF(AQ459="5",BJ459,0)</f>
      </c>
      <c r="AB459" s="111">
        <f>IF(AQ459="1",BH459,0)</f>
      </c>
      <c r="AC459" s="111">
        <f>IF(AQ459="1",BI459,0)</f>
      </c>
      <c r="AD459" s="111">
        <f>IF(AQ459="7",BH459,0)</f>
      </c>
      <c r="AE459" s="111">
        <f>IF(AQ459="7",BI459,0)</f>
      </c>
      <c r="AF459" s="111">
        <f>IF(AQ459="2",BH459,0)</f>
      </c>
      <c r="AG459" s="111">
        <f>IF(AQ459="2",BI459,0)</f>
      </c>
      <c r="AH459" s="111">
        <f>IF(AQ459="0",BJ459,0)</f>
      </c>
      <c r="AI459" s="132" t="s">
        <v>84</v>
      </c>
      <c r="AJ459" s="111">
        <f>IF(AN459=0,I459,0)</f>
      </c>
      <c r="AK459" s="111">
        <f>IF(AN459=12,I459,0)</f>
      </c>
      <c r="AL459" s="111">
        <f>IF(AN459=21,I459,0)</f>
      </c>
      <c r="AN459" s="111" t="n">
        <v>21</v>
      </c>
      <c r="AO459" s="111">
        <f>H459*0</f>
      </c>
      <c r="AP459" s="111">
        <f>H459*(1-0)</f>
      </c>
      <c r="AQ459" s="153" t="s">
        <v>130</v>
      </c>
      <c r="AV459" s="111">
        <f>AW459+AX459</f>
      </c>
      <c r="AW459" s="111">
        <f>G459*AO459</f>
      </c>
      <c r="AX459" s="111">
        <f>G459*AP459</f>
      </c>
      <c r="AY459" s="153" t="s">
        <v>718</v>
      </c>
      <c r="AZ459" s="153" t="s">
        <v>719</v>
      </c>
      <c r="BA459" s="132" t="s">
        <v>137</v>
      </c>
      <c r="BC459" s="111">
        <f>AW459+AX459</f>
      </c>
      <c r="BD459" s="111">
        <f>H459/(100-BE459)*100</f>
      </c>
      <c r="BE459" s="111" t="n">
        <v>0</v>
      </c>
      <c r="BF459" s="111">
        <f>459</f>
      </c>
      <c r="BH459" s="111">
        <f>G459*AO459</f>
      </c>
      <c r="BI459" s="111">
        <f>G459*AP459</f>
      </c>
      <c r="BJ459" s="111">
        <f>G459*H459</f>
      </c>
      <c r="BK459" s="111"/>
      <c r="BL459" s="111" t="n">
        <v>41</v>
      </c>
      <c r="BW459" s="111" t="n">
        <v>21</v>
      </c>
      <c r="BX459" s="14" t="s">
        <v>858</v>
      </c>
    </row>
    <row r="460">
      <c r="A460" s="154"/>
      <c r="B460" s="155"/>
      <c r="C460" s="155"/>
      <c r="D460" s="156" t="s">
        <v>855</v>
      </c>
      <c r="E460" s="156" t="s">
        <v>846</v>
      </c>
      <c r="F460" s="155"/>
      <c r="G460" s="157" t="n">
        <v>14.6</v>
      </c>
      <c r="H460" s="155"/>
      <c r="I460" s="155"/>
      <c r="J460" s="155"/>
      <c r="K460" s="146"/>
    </row>
    <row r="461">
      <c r="A461" s="9" t="s">
        <v>859</v>
      </c>
      <c r="B461" s="10" t="s">
        <v>84</v>
      </c>
      <c r="C461" s="10" t="s">
        <v>860</v>
      </c>
      <c r="D461" s="14" t="s">
        <v>861</v>
      </c>
      <c r="E461" s="10"/>
      <c r="F461" s="10" t="s">
        <v>145</v>
      </c>
      <c r="G461" s="111">
        <f>'Stavební rozpočet'!G461</f>
      </c>
      <c r="H461" s="111">
        <f>'Stavební rozpočet'!H461</f>
      </c>
      <c r="I461" s="111">
        <f>G461*H461</f>
      </c>
      <c r="J461" s="153" t="s">
        <v>134</v>
      </c>
      <c r="K461" s="146"/>
      <c r="Z461" s="111">
        <f>IF(AQ461="5",BJ461,0)</f>
      </c>
      <c r="AB461" s="111">
        <f>IF(AQ461="1",BH461,0)</f>
      </c>
      <c r="AC461" s="111">
        <f>IF(AQ461="1",BI461,0)</f>
      </c>
      <c r="AD461" s="111">
        <f>IF(AQ461="7",BH461,0)</f>
      </c>
      <c r="AE461" s="111">
        <f>IF(AQ461="7",BI461,0)</f>
      </c>
      <c r="AF461" s="111">
        <f>IF(AQ461="2",BH461,0)</f>
      </c>
      <c r="AG461" s="111">
        <f>IF(AQ461="2",BI461,0)</f>
      </c>
      <c r="AH461" s="111">
        <f>IF(AQ461="0",BJ461,0)</f>
      </c>
      <c r="AI461" s="132" t="s">
        <v>84</v>
      </c>
      <c r="AJ461" s="111">
        <f>IF(AN461=0,I461,0)</f>
      </c>
      <c r="AK461" s="111">
        <f>IF(AN461=12,I461,0)</f>
      </c>
      <c r="AL461" s="111">
        <f>IF(AN461=21,I461,0)</f>
      </c>
      <c r="AN461" s="111" t="n">
        <v>21</v>
      </c>
      <c r="AO461" s="111">
        <f>H461*0.4222333</f>
      </c>
      <c r="AP461" s="111">
        <f>H461*(1-0.4222333)</f>
      </c>
      <c r="AQ461" s="153" t="s">
        <v>130</v>
      </c>
      <c r="AV461" s="111">
        <f>AW461+AX461</f>
      </c>
      <c r="AW461" s="111">
        <f>G461*AO461</f>
      </c>
      <c r="AX461" s="111">
        <f>G461*AP461</f>
      </c>
      <c r="AY461" s="153" t="s">
        <v>718</v>
      </c>
      <c r="AZ461" s="153" t="s">
        <v>719</v>
      </c>
      <c r="BA461" s="132" t="s">
        <v>137</v>
      </c>
      <c r="BC461" s="111">
        <f>AW461+AX461</f>
      </c>
      <c r="BD461" s="111">
        <f>H461/(100-BE461)*100</f>
      </c>
      <c r="BE461" s="111" t="n">
        <v>0</v>
      </c>
      <c r="BF461" s="111">
        <f>461</f>
      </c>
      <c r="BH461" s="111">
        <f>G461*AO461</f>
      </c>
      <c r="BI461" s="111">
        <f>G461*AP461</f>
      </c>
      <c r="BJ461" s="111">
        <f>G461*H461</f>
      </c>
      <c r="BK461" s="111"/>
      <c r="BL461" s="111" t="n">
        <v>41</v>
      </c>
      <c r="BW461" s="111" t="n">
        <v>21</v>
      </c>
      <c r="BX461" s="14" t="s">
        <v>861</v>
      </c>
    </row>
    <row r="462">
      <c r="A462" s="154"/>
      <c r="B462" s="155"/>
      <c r="C462" s="155"/>
      <c r="D462" s="156" t="s">
        <v>186</v>
      </c>
      <c r="E462" s="156" t="s">
        <v>862</v>
      </c>
      <c r="F462" s="155"/>
      <c r="G462" s="157" t="n">
        <v>10</v>
      </c>
      <c r="H462" s="155"/>
      <c r="I462" s="155"/>
      <c r="J462" s="155"/>
      <c r="K462" s="146"/>
    </row>
    <row r="463">
      <c r="A463" s="154"/>
      <c r="B463" s="155"/>
      <c r="C463" s="155"/>
      <c r="D463" s="156" t="s">
        <v>863</v>
      </c>
      <c r="E463" s="156" t="s">
        <v>864</v>
      </c>
      <c r="F463" s="155"/>
      <c r="G463" s="157" t="n">
        <v>6.5</v>
      </c>
      <c r="H463" s="155"/>
      <c r="I463" s="155"/>
      <c r="J463" s="155"/>
      <c r="K463" s="146"/>
    </row>
    <row r="464">
      <c r="A464" s="154"/>
      <c r="B464" s="155"/>
      <c r="C464" s="155"/>
      <c r="D464" s="156" t="s">
        <v>176</v>
      </c>
      <c r="E464" s="156" t="s">
        <v>566</v>
      </c>
      <c r="F464" s="155"/>
      <c r="G464" s="157" t="n">
        <v>8</v>
      </c>
      <c r="H464" s="155"/>
      <c r="I464" s="155"/>
      <c r="J464" s="155"/>
      <c r="K464" s="146"/>
    </row>
    <row r="465">
      <c r="A465" s="154"/>
      <c r="B465" s="155"/>
      <c r="C465" s="155"/>
      <c r="D465" s="156" t="s">
        <v>149</v>
      </c>
      <c r="E465" s="156" t="s">
        <v>865</v>
      </c>
      <c r="F465" s="155"/>
      <c r="G465" s="157" t="n">
        <v>4</v>
      </c>
      <c r="H465" s="155"/>
      <c r="I465" s="155"/>
      <c r="J465" s="155"/>
      <c r="K465" s="146"/>
    </row>
    <row r="466">
      <c r="A466" s="154"/>
      <c r="B466" s="155"/>
      <c r="C466" s="155"/>
      <c r="D466" s="156" t="s">
        <v>140</v>
      </c>
      <c r="E466" s="156" t="s">
        <v>866</v>
      </c>
      <c r="F466" s="155"/>
      <c r="G466" s="157" t="n">
        <v>2</v>
      </c>
      <c r="H466" s="155"/>
      <c r="I466" s="155"/>
      <c r="J466" s="155"/>
      <c r="K466" s="146"/>
    </row>
    <row r="467">
      <c r="A467" s="154"/>
      <c r="B467" s="155"/>
      <c r="C467" s="155"/>
      <c r="D467" s="156" t="s">
        <v>867</v>
      </c>
      <c r="E467" s="156" t="s">
        <v>868</v>
      </c>
      <c r="F467" s="155"/>
      <c r="G467" s="157" t="n">
        <v>1.7</v>
      </c>
      <c r="H467" s="155"/>
      <c r="I467" s="155"/>
      <c r="J467" s="155"/>
      <c r="K467" s="146"/>
    </row>
    <row r="468">
      <c r="A468" s="154"/>
      <c r="B468" s="155"/>
      <c r="C468" s="155"/>
      <c r="D468" s="156" t="s">
        <v>140</v>
      </c>
      <c r="E468" s="156" t="s">
        <v>869</v>
      </c>
      <c r="F468" s="155"/>
      <c r="G468" s="157" t="n">
        <v>2</v>
      </c>
      <c r="H468" s="155"/>
      <c r="I468" s="155"/>
      <c r="J468" s="155"/>
      <c r="K468" s="146"/>
    </row>
    <row r="469">
      <c r="A469" s="154"/>
      <c r="B469" s="155"/>
      <c r="C469" s="155"/>
      <c r="D469" s="156" t="s">
        <v>867</v>
      </c>
      <c r="E469" s="156" t="s">
        <v>870</v>
      </c>
      <c r="F469" s="155"/>
      <c r="G469" s="157" t="n">
        <v>1.7</v>
      </c>
      <c r="H469" s="155"/>
      <c r="I469" s="155"/>
      <c r="J469" s="155"/>
      <c r="K469" s="146"/>
    </row>
    <row r="470">
      <c r="A470" s="154"/>
      <c r="B470" s="155"/>
      <c r="C470" s="155"/>
      <c r="D470" s="156" t="s">
        <v>871</v>
      </c>
      <c r="E470" s="156" t="s">
        <v>872</v>
      </c>
      <c r="F470" s="155"/>
      <c r="G470" s="157" t="n">
        <v>3.6</v>
      </c>
      <c r="H470" s="155"/>
      <c r="I470" s="155"/>
      <c r="J470" s="155"/>
      <c r="K470" s="146"/>
    </row>
    <row r="471">
      <c r="A471" s="154"/>
      <c r="B471" s="155"/>
      <c r="C471" s="155"/>
      <c r="D471" s="156" t="s">
        <v>867</v>
      </c>
      <c r="E471" s="156" t="s">
        <v>873</v>
      </c>
      <c r="F471" s="155"/>
      <c r="G471" s="157" t="n">
        <v>1.7</v>
      </c>
      <c r="H471" s="155"/>
      <c r="I471" s="155"/>
      <c r="J471" s="155"/>
      <c r="K471" s="146"/>
    </row>
    <row r="472">
      <c r="A472" s="154"/>
      <c r="B472" s="155"/>
      <c r="C472" s="155"/>
      <c r="D472" s="156" t="s">
        <v>874</v>
      </c>
      <c r="E472" s="156" t="s">
        <v>875</v>
      </c>
      <c r="F472" s="155"/>
      <c r="G472" s="157" t="n">
        <v>2.1</v>
      </c>
      <c r="H472" s="155"/>
      <c r="I472" s="155"/>
      <c r="J472" s="155"/>
      <c r="K472" s="146"/>
    </row>
    <row r="473">
      <c r="A473" s="154"/>
      <c r="B473" s="155"/>
      <c r="C473" s="155"/>
      <c r="D473" s="156" t="s">
        <v>867</v>
      </c>
      <c r="E473" s="156" t="s">
        <v>876</v>
      </c>
      <c r="F473" s="155"/>
      <c r="G473" s="157" t="n">
        <v>1.7</v>
      </c>
      <c r="H473" s="155"/>
      <c r="I473" s="155"/>
      <c r="J473" s="155"/>
      <c r="K473" s="146"/>
    </row>
    <row r="474">
      <c r="A474" s="154"/>
      <c r="B474" s="155"/>
      <c r="C474" s="155"/>
      <c r="D474" s="156" t="s">
        <v>874</v>
      </c>
      <c r="E474" s="156" t="s">
        <v>877</v>
      </c>
      <c r="F474" s="155"/>
      <c r="G474" s="157" t="n">
        <v>2.1</v>
      </c>
      <c r="H474" s="155"/>
      <c r="I474" s="155"/>
      <c r="J474" s="155"/>
      <c r="K474" s="146"/>
    </row>
    <row r="475">
      <c r="A475" s="9" t="s">
        <v>878</v>
      </c>
      <c r="B475" s="10" t="s">
        <v>84</v>
      </c>
      <c r="C475" s="10" t="s">
        <v>879</v>
      </c>
      <c r="D475" s="14" t="s">
        <v>880</v>
      </c>
      <c r="E475" s="10"/>
      <c r="F475" s="10" t="s">
        <v>145</v>
      </c>
      <c r="G475" s="111">
        <f>'Stavební rozpočet'!G475</f>
      </c>
      <c r="H475" s="111">
        <f>'Stavební rozpočet'!H475</f>
      </c>
      <c r="I475" s="111">
        <f>G475*H475</f>
      </c>
      <c r="J475" s="153" t="s">
        <v>134</v>
      </c>
      <c r="K475" s="146"/>
      <c r="Z475" s="111">
        <f>IF(AQ475="5",BJ475,0)</f>
      </c>
      <c r="AB475" s="111">
        <f>IF(AQ475="1",BH475,0)</f>
      </c>
      <c r="AC475" s="111">
        <f>IF(AQ475="1",BI475,0)</f>
      </c>
      <c r="AD475" s="111">
        <f>IF(AQ475="7",BH475,0)</f>
      </c>
      <c r="AE475" s="111">
        <f>IF(AQ475="7",BI475,0)</f>
      </c>
      <c r="AF475" s="111">
        <f>IF(AQ475="2",BH475,0)</f>
      </c>
      <c r="AG475" s="111">
        <f>IF(AQ475="2",BI475,0)</f>
      </c>
      <c r="AH475" s="111">
        <f>IF(AQ475="0",BJ475,0)</f>
      </c>
      <c r="AI475" s="132" t="s">
        <v>84</v>
      </c>
      <c r="AJ475" s="111">
        <f>IF(AN475=0,I475,0)</f>
      </c>
      <c r="AK475" s="111">
        <f>IF(AN475=12,I475,0)</f>
      </c>
      <c r="AL475" s="111">
        <f>IF(AN475=21,I475,0)</f>
      </c>
      <c r="AN475" s="111" t="n">
        <v>21</v>
      </c>
      <c r="AO475" s="111">
        <f>H475*0</f>
      </c>
      <c r="AP475" s="111">
        <f>H475*(1-0)</f>
      </c>
      <c r="AQ475" s="153" t="s">
        <v>130</v>
      </c>
      <c r="AV475" s="111">
        <f>AW475+AX475</f>
      </c>
      <c r="AW475" s="111">
        <f>G475*AO475</f>
      </c>
      <c r="AX475" s="111">
        <f>G475*AP475</f>
      </c>
      <c r="AY475" s="153" t="s">
        <v>718</v>
      </c>
      <c r="AZ475" s="153" t="s">
        <v>719</v>
      </c>
      <c r="BA475" s="132" t="s">
        <v>137</v>
      </c>
      <c r="BC475" s="111">
        <f>AW475+AX475</f>
      </c>
      <c r="BD475" s="111">
        <f>H475/(100-BE475)*100</f>
      </c>
      <c r="BE475" s="111" t="n">
        <v>0</v>
      </c>
      <c r="BF475" s="111">
        <f>475</f>
      </c>
      <c r="BH475" s="111">
        <f>G475*AO475</f>
      </c>
      <c r="BI475" s="111">
        <f>G475*AP475</f>
      </c>
      <c r="BJ475" s="111">
        <f>G475*H475</f>
      </c>
      <c r="BK475" s="111"/>
      <c r="BL475" s="111" t="n">
        <v>41</v>
      </c>
      <c r="BW475" s="111" t="n">
        <v>21</v>
      </c>
      <c r="BX475" s="14" t="s">
        <v>880</v>
      </c>
    </row>
    <row r="476">
      <c r="A476" s="154"/>
      <c r="B476" s="155"/>
      <c r="C476" s="155"/>
      <c r="D476" s="156" t="s">
        <v>140</v>
      </c>
      <c r="E476" s="156" t="s">
        <v>866</v>
      </c>
      <c r="F476" s="155"/>
      <c r="G476" s="157" t="n">
        <v>2</v>
      </c>
      <c r="H476" s="155"/>
      <c r="I476" s="155"/>
      <c r="J476" s="155"/>
      <c r="K476" s="146"/>
    </row>
    <row r="477">
      <c r="A477" s="154"/>
      <c r="B477" s="155"/>
      <c r="C477" s="155"/>
      <c r="D477" s="156" t="s">
        <v>867</v>
      </c>
      <c r="E477" s="156" t="s">
        <v>868</v>
      </c>
      <c r="F477" s="155"/>
      <c r="G477" s="157" t="n">
        <v>1.7</v>
      </c>
      <c r="H477" s="155"/>
      <c r="I477" s="155"/>
      <c r="J477" s="155"/>
      <c r="K477" s="146"/>
    </row>
    <row r="478">
      <c r="A478" s="154"/>
      <c r="B478" s="155"/>
      <c r="C478" s="155"/>
      <c r="D478" s="156" t="s">
        <v>140</v>
      </c>
      <c r="E478" s="156" t="s">
        <v>869</v>
      </c>
      <c r="F478" s="155"/>
      <c r="G478" s="157" t="n">
        <v>2</v>
      </c>
      <c r="H478" s="155"/>
      <c r="I478" s="155"/>
      <c r="J478" s="155"/>
      <c r="K478" s="146"/>
    </row>
    <row r="479">
      <c r="A479" s="154"/>
      <c r="B479" s="155"/>
      <c r="C479" s="155"/>
      <c r="D479" s="156" t="s">
        <v>867</v>
      </c>
      <c r="E479" s="156" t="s">
        <v>870</v>
      </c>
      <c r="F479" s="155"/>
      <c r="G479" s="157" t="n">
        <v>1.7</v>
      </c>
      <c r="H479" s="155"/>
      <c r="I479" s="155"/>
      <c r="J479" s="155"/>
      <c r="K479" s="146"/>
    </row>
    <row r="480">
      <c r="A480" s="154"/>
      <c r="B480" s="155"/>
      <c r="C480" s="155"/>
      <c r="D480" s="156" t="s">
        <v>867</v>
      </c>
      <c r="E480" s="156" t="s">
        <v>873</v>
      </c>
      <c r="F480" s="155"/>
      <c r="G480" s="157" t="n">
        <v>1.7</v>
      </c>
      <c r="H480" s="155"/>
      <c r="I480" s="155"/>
      <c r="J480" s="155"/>
      <c r="K480" s="146"/>
    </row>
    <row r="481">
      <c r="A481" s="154"/>
      <c r="B481" s="155"/>
      <c r="C481" s="155"/>
      <c r="D481" s="156" t="s">
        <v>867</v>
      </c>
      <c r="E481" s="156" t="s">
        <v>876</v>
      </c>
      <c r="F481" s="155"/>
      <c r="G481" s="157" t="n">
        <v>1.7</v>
      </c>
      <c r="H481" s="155"/>
      <c r="I481" s="155"/>
      <c r="J481" s="155"/>
      <c r="K481" s="146"/>
    </row>
    <row r="482">
      <c r="A482" s="9" t="s">
        <v>881</v>
      </c>
      <c r="B482" s="10" t="s">
        <v>84</v>
      </c>
      <c r="C482" s="10" t="s">
        <v>882</v>
      </c>
      <c r="D482" s="14" t="s">
        <v>883</v>
      </c>
      <c r="E482" s="10"/>
      <c r="F482" s="10" t="s">
        <v>145</v>
      </c>
      <c r="G482" s="111">
        <f>'Stavební rozpočet'!G482</f>
      </c>
      <c r="H482" s="111">
        <f>'Stavební rozpočet'!H482</f>
      </c>
      <c r="I482" s="111">
        <f>G482*H482</f>
      </c>
      <c r="J482" s="153" t="s">
        <v>134</v>
      </c>
      <c r="K482" s="146"/>
      <c r="Z482" s="111">
        <f>IF(AQ482="5",BJ482,0)</f>
      </c>
      <c r="AB482" s="111">
        <f>IF(AQ482="1",BH482,0)</f>
      </c>
      <c r="AC482" s="111">
        <f>IF(AQ482="1",BI482,0)</f>
      </c>
      <c r="AD482" s="111">
        <f>IF(AQ482="7",BH482,0)</f>
      </c>
      <c r="AE482" s="111">
        <f>IF(AQ482="7",BI482,0)</f>
      </c>
      <c r="AF482" s="111">
        <f>IF(AQ482="2",BH482,0)</f>
      </c>
      <c r="AG482" s="111">
        <f>IF(AQ482="2",BI482,0)</f>
      </c>
      <c r="AH482" s="111">
        <f>IF(AQ482="0",BJ482,0)</f>
      </c>
      <c r="AI482" s="132" t="s">
        <v>84</v>
      </c>
      <c r="AJ482" s="111">
        <f>IF(AN482=0,I482,0)</f>
      </c>
      <c r="AK482" s="111">
        <f>IF(AN482=12,I482,0)</f>
      </c>
      <c r="AL482" s="111">
        <f>IF(AN482=21,I482,0)</f>
      </c>
      <c r="AN482" s="111" t="n">
        <v>21</v>
      </c>
      <c r="AO482" s="111">
        <f>H482*0</f>
      </c>
      <c r="AP482" s="111">
        <f>H482*(1-0)</f>
      </c>
      <c r="AQ482" s="153" t="s">
        <v>130</v>
      </c>
      <c r="AV482" s="111">
        <f>AW482+AX482</f>
      </c>
      <c r="AW482" s="111">
        <f>G482*AO482</f>
      </c>
      <c r="AX482" s="111">
        <f>G482*AP482</f>
      </c>
      <c r="AY482" s="153" t="s">
        <v>718</v>
      </c>
      <c r="AZ482" s="153" t="s">
        <v>719</v>
      </c>
      <c r="BA482" s="132" t="s">
        <v>137</v>
      </c>
      <c r="BC482" s="111">
        <f>AW482+AX482</f>
      </c>
      <c r="BD482" s="111">
        <f>H482/(100-BE482)*100</f>
      </c>
      <c r="BE482" s="111" t="n">
        <v>0</v>
      </c>
      <c r="BF482" s="111">
        <f>482</f>
      </c>
      <c r="BH482" s="111">
        <f>G482*AO482</f>
      </c>
      <c r="BI482" s="111">
        <f>G482*AP482</f>
      </c>
      <c r="BJ482" s="111">
        <f>G482*H482</f>
      </c>
      <c r="BK482" s="111"/>
      <c r="BL482" s="111" t="n">
        <v>41</v>
      </c>
      <c r="BW482" s="111" t="n">
        <v>21</v>
      </c>
      <c r="BX482" s="14" t="s">
        <v>883</v>
      </c>
    </row>
    <row r="483">
      <c r="A483" s="154"/>
      <c r="B483" s="155"/>
      <c r="C483" s="155"/>
      <c r="D483" s="156" t="s">
        <v>149</v>
      </c>
      <c r="E483" s="156" t="s">
        <v>865</v>
      </c>
      <c r="F483" s="155"/>
      <c r="G483" s="157" t="n">
        <v>4</v>
      </c>
      <c r="H483" s="155"/>
      <c r="I483" s="155"/>
      <c r="J483" s="155"/>
      <c r="K483" s="146"/>
    </row>
    <row r="484">
      <c r="A484" s="154"/>
      <c r="B484" s="155"/>
      <c r="C484" s="155"/>
      <c r="D484" s="156" t="s">
        <v>871</v>
      </c>
      <c r="E484" s="156" t="s">
        <v>872</v>
      </c>
      <c r="F484" s="155"/>
      <c r="G484" s="157" t="n">
        <v>3.6</v>
      </c>
      <c r="H484" s="155"/>
      <c r="I484" s="155"/>
      <c r="J484" s="155"/>
      <c r="K484" s="146"/>
    </row>
    <row r="485">
      <c r="A485" s="154"/>
      <c r="B485" s="155"/>
      <c r="C485" s="155"/>
      <c r="D485" s="156" t="s">
        <v>874</v>
      </c>
      <c r="E485" s="156" t="s">
        <v>875</v>
      </c>
      <c r="F485" s="155"/>
      <c r="G485" s="157" t="n">
        <v>2.1</v>
      </c>
      <c r="H485" s="155"/>
      <c r="I485" s="155"/>
      <c r="J485" s="155"/>
      <c r="K485" s="146"/>
    </row>
    <row r="486">
      <c r="A486" s="154"/>
      <c r="B486" s="155"/>
      <c r="C486" s="155"/>
      <c r="D486" s="156" t="s">
        <v>874</v>
      </c>
      <c r="E486" s="156" t="s">
        <v>877</v>
      </c>
      <c r="F486" s="155"/>
      <c r="G486" s="157" t="n">
        <v>2.1</v>
      </c>
      <c r="H486" s="155"/>
      <c r="I486" s="155"/>
      <c r="J486" s="155"/>
      <c r="K486" s="146"/>
    </row>
    <row r="487">
      <c r="A487" s="9" t="s">
        <v>884</v>
      </c>
      <c r="B487" s="10" t="s">
        <v>84</v>
      </c>
      <c r="C487" s="10" t="s">
        <v>885</v>
      </c>
      <c r="D487" s="14" t="s">
        <v>886</v>
      </c>
      <c r="E487" s="10"/>
      <c r="F487" s="10" t="s">
        <v>145</v>
      </c>
      <c r="G487" s="111">
        <f>'Stavební rozpočet'!G487</f>
      </c>
      <c r="H487" s="111">
        <f>'Stavební rozpočet'!H487</f>
      </c>
      <c r="I487" s="111">
        <f>G487*H487</f>
      </c>
      <c r="J487" s="153" t="s">
        <v>134</v>
      </c>
      <c r="K487" s="146"/>
      <c r="Z487" s="111">
        <f>IF(AQ487="5",BJ487,0)</f>
      </c>
      <c r="AB487" s="111">
        <f>IF(AQ487="1",BH487,0)</f>
      </c>
      <c r="AC487" s="111">
        <f>IF(AQ487="1",BI487,0)</f>
      </c>
      <c r="AD487" s="111">
        <f>IF(AQ487="7",BH487,0)</f>
      </c>
      <c r="AE487" s="111">
        <f>IF(AQ487="7",BI487,0)</f>
      </c>
      <c r="AF487" s="111">
        <f>IF(AQ487="2",BH487,0)</f>
      </c>
      <c r="AG487" s="111">
        <f>IF(AQ487="2",BI487,0)</f>
      </c>
      <c r="AH487" s="111">
        <f>IF(AQ487="0",BJ487,0)</f>
      </c>
      <c r="AI487" s="132" t="s">
        <v>84</v>
      </c>
      <c r="AJ487" s="111">
        <f>IF(AN487=0,I487,0)</f>
      </c>
      <c r="AK487" s="111">
        <f>IF(AN487=12,I487,0)</f>
      </c>
      <c r="AL487" s="111">
        <f>IF(AN487=21,I487,0)</f>
      </c>
      <c r="AN487" s="111" t="n">
        <v>21</v>
      </c>
      <c r="AO487" s="111">
        <f>H487*0</f>
      </c>
      <c r="AP487" s="111">
        <f>H487*(1-0)</f>
      </c>
      <c r="AQ487" s="153" t="s">
        <v>130</v>
      </c>
      <c r="AV487" s="111">
        <f>AW487+AX487</f>
      </c>
      <c r="AW487" s="111">
        <f>G487*AO487</f>
      </c>
      <c r="AX487" s="111">
        <f>G487*AP487</f>
      </c>
      <c r="AY487" s="153" t="s">
        <v>718</v>
      </c>
      <c r="AZ487" s="153" t="s">
        <v>719</v>
      </c>
      <c r="BA487" s="132" t="s">
        <v>137</v>
      </c>
      <c r="BC487" s="111">
        <f>AW487+AX487</f>
      </c>
      <c r="BD487" s="111">
        <f>H487/(100-BE487)*100</f>
      </c>
      <c r="BE487" s="111" t="n">
        <v>0</v>
      </c>
      <c r="BF487" s="111">
        <f>487</f>
      </c>
      <c r="BH487" s="111">
        <f>G487*AO487</f>
      </c>
      <c r="BI487" s="111">
        <f>G487*AP487</f>
      </c>
      <c r="BJ487" s="111">
        <f>G487*H487</f>
      </c>
      <c r="BK487" s="111"/>
      <c r="BL487" s="111" t="n">
        <v>41</v>
      </c>
      <c r="BW487" s="111" t="n">
        <v>21</v>
      </c>
      <c r="BX487" s="14" t="s">
        <v>886</v>
      </c>
    </row>
    <row r="488">
      <c r="A488" s="154"/>
      <c r="B488" s="155"/>
      <c r="C488" s="155"/>
      <c r="D488" s="156" t="s">
        <v>186</v>
      </c>
      <c r="E488" s="156" t="s">
        <v>862</v>
      </c>
      <c r="F488" s="155"/>
      <c r="G488" s="157" t="n">
        <v>10</v>
      </c>
      <c r="H488" s="155"/>
      <c r="I488" s="155"/>
      <c r="J488" s="155"/>
      <c r="K488" s="146"/>
    </row>
    <row r="489">
      <c r="A489" s="154"/>
      <c r="B489" s="155"/>
      <c r="C489" s="155"/>
      <c r="D489" s="156" t="s">
        <v>863</v>
      </c>
      <c r="E489" s="156" t="s">
        <v>864</v>
      </c>
      <c r="F489" s="155"/>
      <c r="G489" s="157" t="n">
        <v>6.5</v>
      </c>
      <c r="H489" s="155"/>
      <c r="I489" s="155"/>
      <c r="J489" s="155"/>
      <c r="K489" s="146"/>
    </row>
    <row r="490">
      <c r="A490" s="154"/>
      <c r="B490" s="155"/>
      <c r="C490" s="155"/>
      <c r="D490" s="156" t="s">
        <v>176</v>
      </c>
      <c r="E490" s="156" t="s">
        <v>566</v>
      </c>
      <c r="F490" s="155"/>
      <c r="G490" s="157" t="n">
        <v>8</v>
      </c>
      <c r="H490" s="155"/>
      <c r="I490" s="155"/>
      <c r="J490" s="155"/>
      <c r="K490" s="146"/>
    </row>
    <row r="491">
      <c r="A491" s="9" t="s">
        <v>887</v>
      </c>
      <c r="B491" s="10" t="s">
        <v>84</v>
      </c>
      <c r="C491" s="10" t="s">
        <v>888</v>
      </c>
      <c r="D491" s="14" t="s">
        <v>889</v>
      </c>
      <c r="E491" s="10"/>
      <c r="F491" s="10" t="s">
        <v>145</v>
      </c>
      <c r="G491" s="111">
        <f>'Stavební rozpočet'!G491</f>
      </c>
      <c r="H491" s="111">
        <f>'Stavební rozpočet'!H491</f>
      </c>
      <c r="I491" s="111">
        <f>G491*H491</f>
      </c>
      <c r="J491" s="153" t="s">
        <v>134</v>
      </c>
      <c r="K491" s="146"/>
      <c r="Z491" s="111">
        <f>IF(AQ491="5",BJ491,0)</f>
      </c>
      <c r="AB491" s="111">
        <f>IF(AQ491="1",BH491,0)</f>
      </c>
      <c r="AC491" s="111">
        <f>IF(AQ491="1",BI491,0)</f>
      </c>
      <c r="AD491" s="111">
        <f>IF(AQ491="7",BH491,0)</f>
      </c>
      <c r="AE491" s="111">
        <f>IF(AQ491="7",BI491,0)</f>
      </c>
      <c r="AF491" s="111">
        <f>IF(AQ491="2",BH491,0)</f>
      </c>
      <c r="AG491" s="111">
        <f>IF(AQ491="2",BI491,0)</f>
      </c>
      <c r="AH491" s="111">
        <f>IF(AQ491="0",BJ491,0)</f>
      </c>
      <c r="AI491" s="132" t="s">
        <v>84</v>
      </c>
      <c r="AJ491" s="111">
        <f>IF(AN491=0,I491,0)</f>
      </c>
      <c r="AK491" s="111">
        <f>IF(AN491=12,I491,0)</f>
      </c>
      <c r="AL491" s="111">
        <f>IF(AN491=21,I491,0)</f>
      </c>
      <c r="AN491" s="111" t="n">
        <v>21</v>
      </c>
      <c r="AO491" s="111">
        <f>H491*0.808688946</f>
      </c>
      <c r="AP491" s="111">
        <f>H491*(1-0.808688946)</f>
      </c>
      <c r="AQ491" s="153" t="s">
        <v>130</v>
      </c>
      <c r="AV491" s="111">
        <f>AW491+AX491</f>
      </c>
      <c r="AW491" s="111">
        <f>G491*AO491</f>
      </c>
      <c r="AX491" s="111">
        <f>G491*AP491</f>
      </c>
      <c r="AY491" s="153" t="s">
        <v>718</v>
      </c>
      <c r="AZ491" s="153" t="s">
        <v>719</v>
      </c>
      <c r="BA491" s="132" t="s">
        <v>137</v>
      </c>
      <c r="BC491" s="111">
        <f>AW491+AX491</f>
      </c>
      <c r="BD491" s="111">
        <f>H491/(100-BE491)*100</f>
      </c>
      <c r="BE491" s="111" t="n">
        <v>0</v>
      </c>
      <c r="BF491" s="111">
        <f>491</f>
      </c>
      <c r="BH491" s="111">
        <f>G491*AO491</f>
      </c>
      <c r="BI491" s="111">
        <f>G491*AP491</f>
      </c>
      <c r="BJ491" s="111">
        <f>G491*H491</f>
      </c>
      <c r="BK491" s="111"/>
      <c r="BL491" s="111" t="n">
        <v>41</v>
      </c>
      <c r="BW491" s="111" t="n">
        <v>21</v>
      </c>
      <c r="BX491" s="14" t="s">
        <v>889</v>
      </c>
    </row>
    <row r="492" customHeight="true" ht="13.5">
      <c r="A492" s="159"/>
      <c r="C492" s="160" t="s">
        <v>146</v>
      </c>
      <c r="D492" s="161" t="s">
        <v>890</v>
      </c>
      <c r="E492" s="156"/>
      <c r="F492" s="156"/>
      <c r="G492" s="156"/>
      <c r="H492" s="156"/>
      <c r="I492" s="156"/>
      <c r="J492" s="156"/>
      <c r="K492" s="163"/>
    </row>
    <row r="493">
      <c r="A493" s="154"/>
      <c r="B493" s="155"/>
      <c r="C493" s="155"/>
      <c r="D493" s="156" t="s">
        <v>4</v>
      </c>
      <c r="E493" s="156" t="s">
        <v>891</v>
      </c>
      <c r="F493" s="155"/>
      <c r="G493" s="157" t="n">
        <v>0</v>
      </c>
      <c r="H493" s="155"/>
      <c r="I493" s="155"/>
      <c r="J493" s="155"/>
      <c r="K493" s="146"/>
    </row>
    <row r="494">
      <c r="A494" s="154"/>
      <c r="B494" s="155"/>
      <c r="C494" s="155"/>
      <c r="D494" s="156" t="s">
        <v>892</v>
      </c>
      <c r="E494" s="156" t="s">
        <v>893</v>
      </c>
      <c r="F494" s="155"/>
      <c r="G494" s="157" t="n">
        <v>89.1</v>
      </c>
      <c r="H494" s="155"/>
      <c r="I494" s="155"/>
      <c r="J494" s="155"/>
      <c r="K494" s="146"/>
    </row>
    <row r="495">
      <c r="A495" s="9" t="s">
        <v>894</v>
      </c>
      <c r="B495" s="10" t="s">
        <v>84</v>
      </c>
      <c r="C495" s="10" t="s">
        <v>895</v>
      </c>
      <c r="D495" s="14" t="s">
        <v>896</v>
      </c>
      <c r="E495" s="10"/>
      <c r="F495" s="10" t="s">
        <v>133</v>
      </c>
      <c r="G495" s="111">
        <f>'Stavební rozpočet'!G495</f>
      </c>
      <c r="H495" s="111">
        <f>'Stavební rozpočet'!H495</f>
      </c>
      <c r="I495" s="111">
        <f>G495*H495</f>
      </c>
      <c r="J495" s="153" t="s">
        <v>134</v>
      </c>
      <c r="K495" s="146"/>
      <c r="Z495" s="111">
        <f>IF(AQ495="5",BJ495,0)</f>
      </c>
      <c r="AB495" s="111">
        <f>IF(AQ495="1",BH495,0)</f>
      </c>
      <c r="AC495" s="111">
        <f>IF(AQ495="1",BI495,0)</f>
      </c>
      <c r="AD495" s="111">
        <f>IF(AQ495="7",BH495,0)</f>
      </c>
      <c r="AE495" s="111">
        <f>IF(AQ495="7",BI495,0)</f>
      </c>
      <c r="AF495" s="111">
        <f>IF(AQ495="2",BH495,0)</f>
      </c>
      <c r="AG495" s="111">
        <f>IF(AQ495="2",BI495,0)</f>
      </c>
      <c r="AH495" s="111">
        <f>IF(AQ495="0",BJ495,0)</f>
      </c>
      <c r="AI495" s="132" t="s">
        <v>84</v>
      </c>
      <c r="AJ495" s="111">
        <f>IF(AN495=0,I495,0)</f>
      </c>
      <c r="AK495" s="111">
        <f>IF(AN495=12,I495,0)</f>
      </c>
      <c r="AL495" s="111">
        <f>IF(AN495=21,I495,0)</f>
      </c>
      <c r="AN495" s="111" t="n">
        <v>21</v>
      </c>
      <c r="AO495" s="111">
        <f>H495*0.357566462</f>
      </c>
      <c r="AP495" s="111">
        <f>H495*(1-0.357566462)</f>
      </c>
      <c r="AQ495" s="153" t="s">
        <v>130</v>
      </c>
      <c r="AV495" s="111">
        <f>AW495+AX495</f>
      </c>
      <c r="AW495" s="111">
        <f>G495*AO495</f>
      </c>
      <c r="AX495" s="111">
        <f>G495*AP495</f>
      </c>
      <c r="AY495" s="153" t="s">
        <v>718</v>
      </c>
      <c r="AZ495" s="153" t="s">
        <v>719</v>
      </c>
      <c r="BA495" s="132" t="s">
        <v>137</v>
      </c>
      <c r="BC495" s="111">
        <f>AW495+AX495</f>
      </c>
      <c r="BD495" s="111">
        <f>H495/(100-BE495)*100</f>
      </c>
      <c r="BE495" s="111" t="n">
        <v>0</v>
      </c>
      <c r="BF495" s="111">
        <f>495</f>
      </c>
      <c r="BH495" s="111">
        <f>G495*AO495</f>
      </c>
      <c r="BI495" s="111">
        <f>G495*AP495</f>
      </c>
      <c r="BJ495" s="111">
        <f>G495*H495</f>
      </c>
      <c r="BK495" s="111"/>
      <c r="BL495" s="111" t="n">
        <v>41</v>
      </c>
      <c r="BW495" s="111" t="n">
        <v>21</v>
      </c>
      <c r="BX495" s="14" t="s">
        <v>896</v>
      </c>
    </row>
    <row r="496" customHeight="true" ht="13.5">
      <c r="A496" s="159"/>
      <c r="C496" s="160" t="s">
        <v>146</v>
      </c>
      <c r="D496" s="161" t="s">
        <v>897</v>
      </c>
      <c r="E496" s="156"/>
      <c r="F496" s="156"/>
      <c r="G496" s="156"/>
      <c r="H496" s="156"/>
      <c r="I496" s="156"/>
      <c r="J496" s="156"/>
      <c r="K496" s="163"/>
    </row>
    <row r="497">
      <c r="A497" s="154"/>
      <c r="B497" s="155"/>
      <c r="C497" s="155"/>
      <c r="D497" s="156" t="s">
        <v>176</v>
      </c>
      <c r="E497" s="156" t="s">
        <v>898</v>
      </c>
      <c r="F497" s="155"/>
      <c r="G497" s="157" t="n">
        <v>8</v>
      </c>
      <c r="H497" s="155"/>
      <c r="I497" s="155"/>
      <c r="J497" s="155"/>
      <c r="K497" s="146"/>
    </row>
    <row r="498">
      <c r="A498" s="9" t="s">
        <v>899</v>
      </c>
      <c r="B498" s="10" t="s">
        <v>84</v>
      </c>
      <c r="C498" s="10" t="s">
        <v>900</v>
      </c>
      <c r="D498" s="14" t="s">
        <v>901</v>
      </c>
      <c r="E498" s="10"/>
      <c r="F498" s="10" t="s">
        <v>282</v>
      </c>
      <c r="G498" s="111">
        <f>'Stavební rozpočet'!G498</f>
      </c>
      <c r="H498" s="111">
        <f>'Stavební rozpočet'!H498</f>
      </c>
      <c r="I498" s="111">
        <f>G498*H498</f>
      </c>
      <c r="J498" s="153" t="s">
        <v>134</v>
      </c>
      <c r="K498" s="146"/>
      <c r="Z498" s="111">
        <f>IF(AQ498="5",BJ498,0)</f>
      </c>
      <c r="AB498" s="111">
        <f>IF(AQ498="1",BH498,0)</f>
      </c>
      <c r="AC498" s="111">
        <f>IF(AQ498="1",BI498,0)</f>
      </c>
      <c r="AD498" s="111">
        <f>IF(AQ498="7",BH498,0)</f>
      </c>
      <c r="AE498" s="111">
        <f>IF(AQ498="7",BI498,0)</f>
      </c>
      <c r="AF498" s="111">
        <f>IF(AQ498="2",BH498,0)</f>
      </c>
      <c r="AG498" s="111">
        <f>IF(AQ498="2",BI498,0)</f>
      </c>
      <c r="AH498" s="111">
        <f>IF(AQ498="0",BJ498,0)</f>
      </c>
      <c r="AI498" s="132" t="s">
        <v>84</v>
      </c>
      <c r="AJ498" s="111">
        <f>IF(AN498=0,I498,0)</f>
      </c>
      <c r="AK498" s="111">
        <f>IF(AN498=12,I498,0)</f>
      </c>
      <c r="AL498" s="111">
        <f>IF(AN498=21,I498,0)</f>
      </c>
      <c r="AN498" s="111" t="n">
        <v>21</v>
      </c>
      <c r="AO498" s="111">
        <f>H498*0.407386536</f>
      </c>
      <c r="AP498" s="111">
        <f>H498*(1-0.407386536)</f>
      </c>
      <c r="AQ498" s="153" t="s">
        <v>130</v>
      </c>
      <c r="AV498" s="111">
        <f>AW498+AX498</f>
      </c>
      <c r="AW498" s="111">
        <f>G498*AO498</f>
      </c>
      <c r="AX498" s="111">
        <f>G498*AP498</f>
      </c>
      <c r="AY498" s="153" t="s">
        <v>718</v>
      </c>
      <c r="AZ498" s="153" t="s">
        <v>719</v>
      </c>
      <c r="BA498" s="132" t="s">
        <v>137</v>
      </c>
      <c r="BC498" s="111">
        <f>AW498+AX498</f>
      </c>
      <c r="BD498" s="111">
        <f>H498/(100-BE498)*100</f>
      </c>
      <c r="BE498" s="111" t="n">
        <v>0</v>
      </c>
      <c r="BF498" s="111">
        <f>498</f>
      </c>
      <c r="BH498" s="111">
        <f>G498*AO498</f>
      </c>
      <c r="BI498" s="111">
        <f>G498*AP498</f>
      </c>
      <c r="BJ498" s="111">
        <f>G498*H498</f>
      </c>
      <c r="BK498" s="111"/>
      <c r="BL498" s="111" t="n">
        <v>41</v>
      </c>
      <c r="BW498" s="111" t="n">
        <v>21</v>
      </c>
      <c r="BX498" s="14" t="s">
        <v>901</v>
      </c>
    </row>
    <row r="499" customHeight="true" ht="13.5">
      <c r="A499" s="159"/>
      <c r="C499" s="160" t="s">
        <v>146</v>
      </c>
      <c r="D499" s="161" t="s">
        <v>902</v>
      </c>
      <c r="E499" s="156"/>
      <c r="F499" s="156"/>
      <c r="G499" s="156"/>
      <c r="H499" s="156"/>
      <c r="I499" s="156"/>
      <c r="J499" s="156"/>
      <c r="K499" s="163"/>
    </row>
    <row r="500">
      <c r="A500" s="154"/>
      <c r="B500" s="155"/>
      <c r="C500" s="155"/>
      <c r="D500" s="156" t="s">
        <v>4</v>
      </c>
      <c r="E500" s="156" t="s">
        <v>903</v>
      </c>
      <c r="F500" s="155"/>
      <c r="G500" s="157" t="n">
        <v>0</v>
      </c>
      <c r="H500" s="155"/>
      <c r="I500" s="155"/>
      <c r="J500" s="155"/>
      <c r="K500" s="146"/>
    </row>
    <row r="501">
      <c r="A501" s="154"/>
      <c r="B501" s="155"/>
      <c r="C501" s="155"/>
      <c r="D501" s="156" t="s">
        <v>693</v>
      </c>
      <c r="E501" s="156" t="s">
        <v>679</v>
      </c>
      <c r="F501" s="155"/>
      <c r="G501" s="157" t="n">
        <v>8.47</v>
      </c>
      <c r="H501" s="155"/>
      <c r="I501" s="155"/>
      <c r="J501" s="155"/>
      <c r="K501" s="146"/>
    </row>
    <row r="502">
      <c r="A502" s="154"/>
      <c r="B502" s="155"/>
      <c r="C502" s="155"/>
      <c r="D502" s="156" t="s">
        <v>694</v>
      </c>
      <c r="E502" s="156" t="s">
        <v>681</v>
      </c>
      <c r="F502" s="155"/>
      <c r="G502" s="157" t="n">
        <v>4.22</v>
      </c>
      <c r="H502" s="155"/>
      <c r="I502" s="155"/>
      <c r="J502" s="155"/>
      <c r="K502" s="146"/>
    </row>
    <row r="503">
      <c r="A503" s="154"/>
      <c r="B503" s="155"/>
      <c r="C503" s="155"/>
      <c r="D503" s="156" t="s">
        <v>695</v>
      </c>
      <c r="E503" s="156" t="s">
        <v>683</v>
      </c>
      <c r="F503" s="155"/>
      <c r="G503" s="157" t="n">
        <v>13.27</v>
      </c>
      <c r="H503" s="155"/>
      <c r="I503" s="155"/>
      <c r="J503" s="155"/>
      <c r="K503" s="146"/>
    </row>
    <row r="504">
      <c r="A504" s="154"/>
      <c r="B504" s="155"/>
      <c r="C504" s="155"/>
      <c r="D504" s="156" t="s">
        <v>696</v>
      </c>
      <c r="E504" s="156" t="s">
        <v>685</v>
      </c>
      <c r="F504" s="155"/>
      <c r="G504" s="157" t="n">
        <v>35.63</v>
      </c>
      <c r="H504" s="155"/>
      <c r="I504" s="155"/>
      <c r="J504" s="155"/>
      <c r="K504" s="146"/>
    </row>
    <row r="505">
      <c r="A505" s="154"/>
      <c r="B505" s="155"/>
      <c r="C505" s="155"/>
      <c r="D505" s="156" t="s">
        <v>697</v>
      </c>
      <c r="E505" s="156" t="s">
        <v>687</v>
      </c>
      <c r="F505" s="155"/>
      <c r="G505" s="157" t="n">
        <v>34.65</v>
      </c>
      <c r="H505" s="155"/>
      <c r="I505" s="155"/>
      <c r="J505" s="155"/>
      <c r="K505" s="146"/>
    </row>
    <row r="506">
      <c r="A506" s="9" t="s">
        <v>904</v>
      </c>
      <c r="B506" s="10" t="s">
        <v>84</v>
      </c>
      <c r="C506" s="10" t="s">
        <v>905</v>
      </c>
      <c r="D506" s="14" t="s">
        <v>906</v>
      </c>
      <c r="E506" s="10"/>
      <c r="F506" s="10" t="s">
        <v>145</v>
      </c>
      <c r="G506" s="111">
        <f>'Stavební rozpočet'!G506</f>
      </c>
      <c r="H506" s="111">
        <f>'Stavební rozpočet'!H506</f>
      </c>
      <c r="I506" s="111">
        <f>G506*H506</f>
      </c>
      <c r="J506" s="153" t="s">
        <v>134</v>
      </c>
      <c r="K506" s="146"/>
      <c r="Z506" s="111">
        <f>IF(AQ506="5",BJ506,0)</f>
      </c>
      <c r="AB506" s="111">
        <f>IF(AQ506="1",BH506,0)</f>
      </c>
      <c r="AC506" s="111">
        <f>IF(AQ506="1",BI506,0)</f>
      </c>
      <c r="AD506" s="111">
        <f>IF(AQ506="7",BH506,0)</f>
      </c>
      <c r="AE506" s="111">
        <f>IF(AQ506="7",BI506,0)</f>
      </c>
      <c r="AF506" s="111">
        <f>IF(AQ506="2",BH506,0)</f>
      </c>
      <c r="AG506" s="111">
        <f>IF(AQ506="2",BI506,0)</f>
      </c>
      <c r="AH506" s="111">
        <f>IF(AQ506="0",BJ506,0)</f>
      </c>
      <c r="AI506" s="132" t="s">
        <v>84</v>
      </c>
      <c r="AJ506" s="111">
        <f>IF(AN506=0,I506,0)</f>
      </c>
      <c r="AK506" s="111">
        <f>IF(AN506=12,I506,0)</f>
      </c>
      <c r="AL506" s="111">
        <f>IF(AN506=21,I506,0)</f>
      </c>
      <c r="AN506" s="111" t="n">
        <v>21</v>
      </c>
      <c r="AO506" s="111">
        <f>H506*0.932798663</f>
      </c>
      <c r="AP506" s="111">
        <f>H506*(1-0.932798663)</f>
      </c>
      <c r="AQ506" s="153" t="s">
        <v>130</v>
      </c>
      <c r="AV506" s="111">
        <f>AW506+AX506</f>
      </c>
      <c r="AW506" s="111">
        <f>G506*AO506</f>
      </c>
      <c r="AX506" s="111">
        <f>G506*AP506</f>
      </c>
      <c r="AY506" s="153" t="s">
        <v>718</v>
      </c>
      <c r="AZ506" s="153" t="s">
        <v>719</v>
      </c>
      <c r="BA506" s="132" t="s">
        <v>137</v>
      </c>
      <c r="BC506" s="111">
        <f>AW506+AX506</f>
      </c>
      <c r="BD506" s="111">
        <f>H506/(100-BE506)*100</f>
      </c>
      <c r="BE506" s="111" t="n">
        <v>0</v>
      </c>
      <c r="BF506" s="111">
        <f>506</f>
      </c>
      <c r="BH506" s="111">
        <f>G506*AO506</f>
      </c>
      <c r="BI506" s="111">
        <f>G506*AP506</f>
      </c>
      <c r="BJ506" s="111">
        <f>G506*H506</f>
      </c>
      <c r="BK506" s="111"/>
      <c r="BL506" s="111" t="n">
        <v>41</v>
      </c>
      <c r="BW506" s="111" t="n">
        <v>21</v>
      </c>
      <c r="BX506" s="14" t="s">
        <v>906</v>
      </c>
    </row>
    <row r="507">
      <c r="A507" s="154"/>
      <c r="B507" s="155"/>
      <c r="C507" s="155"/>
      <c r="D507" s="156" t="s">
        <v>186</v>
      </c>
      <c r="E507" s="156" t="s">
        <v>907</v>
      </c>
      <c r="F507" s="155"/>
      <c r="G507" s="157" t="n">
        <v>10</v>
      </c>
      <c r="H507" s="155"/>
      <c r="I507" s="155"/>
      <c r="J507" s="155"/>
      <c r="K507" s="146"/>
    </row>
    <row r="508">
      <c r="A508" s="9" t="s">
        <v>908</v>
      </c>
      <c r="B508" s="10" t="s">
        <v>84</v>
      </c>
      <c r="C508" s="10" t="s">
        <v>909</v>
      </c>
      <c r="D508" s="14" t="s">
        <v>910</v>
      </c>
      <c r="E508" s="10"/>
      <c r="F508" s="10" t="s">
        <v>159</v>
      </c>
      <c r="G508" s="111">
        <f>'Stavební rozpočet'!G508</f>
      </c>
      <c r="H508" s="111">
        <f>'Stavební rozpočet'!H508</f>
      </c>
      <c r="I508" s="111">
        <f>G508*H508</f>
      </c>
      <c r="J508" s="153" t="s">
        <v>134</v>
      </c>
      <c r="K508" s="146"/>
      <c r="Z508" s="111">
        <f>IF(AQ508="5",BJ508,0)</f>
      </c>
      <c r="AB508" s="111">
        <f>IF(AQ508="1",BH508,0)</f>
      </c>
      <c r="AC508" s="111">
        <f>IF(AQ508="1",BI508,0)</f>
      </c>
      <c r="AD508" s="111">
        <f>IF(AQ508="7",BH508,0)</f>
      </c>
      <c r="AE508" s="111">
        <f>IF(AQ508="7",BI508,0)</f>
      </c>
      <c r="AF508" s="111">
        <f>IF(AQ508="2",BH508,0)</f>
      </c>
      <c r="AG508" s="111">
        <f>IF(AQ508="2",BI508,0)</f>
      </c>
      <c r="AH508" s="111">
        <f>IF(AQ508="0",BJ508,0)</f>
      </c>
      <c r="AI508" s="132" t="s">
        <v>84</v>
      </c>
      <c r="AJ508" s="111">
        <f>IF(AN508=0,I508,0)</f>
      </c>
      <c r="AK508" s="111">
        <f>IF(AN508=12,I508,0)</f>
      </c>
      <c r="AL508" s="111">
        <f>IF(AN508=21,I508,0)</f>
      </c>
      <c r="AN508" s="111" t="n">
        <v>21</v>
      </c>
      <c r="AO508" s="111">
        <f>H508*0.881729391</f>
      </c>
      <c r="AP508" s="111">
        <f>H508*(1-0.881729391)</f>
      </c>
      <c r="AQ508" s="153" t="s">
        <v>130</v>
      </c>
      <c r="AV508" s="111">
        <f>AW508+AX508</f>
      </c>
      <c r="AW508" s="111">
        <f>G508*AO508</f>
      </c>
      <c r="AX508" s="111">
        <f>G508*AP508</f>
      </c>
      <c r="AY508" s="153" t="s">
        <v>718</v>
      </c>
      <c r="AZ508" s="153" t="s">
        <v>719</v>
      </c>
      <c r="BA508" s="132" t="s">
        <v>137</v>
      </c>
      <c r="BC508" s="111">
        <f>AW508+AX508</f>
      </c>
      <c r="BD508" s="111">
        <f>H508/(100-BE508)*100</f>
      </c>
      <c r="BE508" s="111" t="n">
        <v>0</v>
      </c>
      <c r="BF508" s="111">
        <f>508</f>
      </c>
      <c r="BH508" s="111">
        <f>G508*AO508</f>
      </c>
      <c r="BI508" s="111">
        <f>G508*AP508</f>
      </c>
      <c r="BJ508" s="111">
        <f>G508*H508</f>
      </c>
      <c r="BK508" s="111"/>
      <c r="BL508" s="111" t="n">
        <v>41</v>
      </c>
      <c r="BW508" s="111" t="n">
        <v>21</v>
      </c>
      <c r="BX508" s="14" t="s">
        <v>910</v>
      </c>
    </row>
    <row r="509" customHeight="true" ht="13.5">
      <c r="A509" s="159"/>
      <c r="C509" s="160" t="s">
        <v>146</v>
      </c>
      <c r="D509" s="161" t="s">
        <v>911</v>
      </c>
      <c r="E509" s="156"/>
      <c r="F509" s="156"/>
      <c r="G509" s="156"/>
      <c r="H509" s="156"/>
      <c r="I509" s="156"/>
      <c r="J509" s="156"/>
      <c r="K509" s="163"/>
    </row>
    <row r="510">
      <c r="A510" s="154"/>
      <c r="B510" s="155"/>
      <c r="C510" s="155"/>
      <c r="D510" s="156" t="s">
        <v>912</v>
      </c>
      <c r="E510" s="156" t="s">
        <v>913</v>
      </c>
      <c r="F510" s="155"/>
      <c r="G510" s="157" t="n">
        <v>1.3</v>
      </c>
      <c r="H510" s="155"/>
      <c r="I510" s="155"/>
      <c r="J510" s="155"/>
      <c r="K510" s="146"/>
    </row>
    <row r="511">
      <c r="A511" s="9" t="s">
        <v>914</v>
      </c>
      <c r="B511" s="10" t="s">
        <v>84</v>
      </c>
      <c r="C511" s="10" t="s">
        <v>915</v>
      </c>
      <c r="D511" s="14" t="s">
        <v>916</v>
      </c>
      <c r="E511" s="10"/>
      <c r="F511" s="10" t="s">
        <v>145</v>
      </c>
      <c r="G511" s="111">
        <f>'Stavební rozpočet'!G511</f>
      </c>
      <c r="H511" s="111">
        <f>'Stavební rozpočet'!H511</f>
      </c>
      <c r="I511" s="111">
        <f>G511*H511</f>
      </c>
      <c r="J511" s="153" t="s">
        <v>134</v>
      </c>
      <c r="K511" s="146"/>
      <c r="Z511" s="111">
        <f>IF(AQ511="5",BJ511,0)</f>
      </c>
      <c r="AB511" s="111">
        <f>IF(AQ511="1",BH511,0)</f>
      </c>
      <c r="AC511" s="111">
        <f>IF(AQ511="1",BI511,0)</f>
      </c>
      <c r="AD511" s="111">
        <f>IF(AQ511="7",BH511,0)</f>
      </c>
      <c r="AE511" s="111">
        <f>IF(AQ511="7",BI511,0)</f>
      </c>
      <c r="AF511" s="111">
        <f>IF(AQ511="2",BH511,0)</f>
      </c>
      <c r="AG511" s="111">
        <f>IF(AQ511="2",BI511,0)</f>
      </c>
      <c r="AH511" s="111">
        <f>IF(AQ511="0",BJ511,0)</f>
      </c>
      <c r="AI511" s="132" t="s">
        <v>84</v>
      </c>
      <c r="AJ511" s="111">
        <f>IF(AN511=0,I511,0)</f>
      </c>
      <c r="AK511" s="111">
        <f>IF(AN511=12,I511,0)</f>
      </c>
      <c r="AL511" s="111">
        <f>IF(AN511=21,I511,0)</f>
      </c>
      <c r="AN511" s="111" t="n">
        <v>21</v>
      </c>
      <c r="AO511" s="111">
        <f>H511*0.128730903</f>
      </c>
      <c r="AP511" s="111">
        <f>H511*(1-0.128730903)</f>
      </c>
      <c r="AQ511" s="153" t="s">
        <v>130</v>
      </c>
      <c r="AV511" s="111">
        <f>AW511+AX511</f>
      </c>
      <c r="AW511" s="111">
        <f>G511*AO511</f>
      </c>
      <c r="AX511" s="111">
        <f>G511*AP511</f>
      </c>
      <c r="AY511" s="153" t="s">
        <v>718</v>
      </c>
      <c r="AZ511" s="153" t="s">
        <v>719</v>
      </c>
      <c r="BA511" s="132" t="s">
        <v>137</v>
      </c>
      <c r="BC511" s="111">
        <f>AW511+AX511</f>
      </c>
      <c r="BD511" s="111">
        <f>H511/(100-BE511)*100</f>
      </c>
      <c r="BE511" s="111" t="n">
        <v>0</v>
      </c>
      <c r="BF511" s="111">
        <f>511</f>
      </c>
      <c r="BH511" s="111">
        <f>G511*AO511</f>
      </c>
      <c r="BI511" s="111">
        <f>G511*AP511</f>
      </c>
      <c r="BJ511" s="111">
        <f>G511*H511</f>
      </c>
      <c r="BK511" s="111"/>
      <c r="BL511" s="111" t="n">
        <v>41</v>
      </c>
      <c r="BW511" s="111" t="n">
        <v>21</v>
      </c>
      <c r="BX511" s="14" t="s">
        <v>916</v>
      </c>
    </row>
    <row r="512">
      <c r="A512" s="154"/>
      <c r="B512" s="155"/>
      <c r="C512" s="155"/>
      <c r="D512" s="156" t="s">
        <v>186</v>
      </c>
      <c r="E512" s="156" t="s">
        <v>913</v>
      </c>
      <c r="F512" s="155"/>
      <c r="G512" s="157" t="n">
        <v>10</v>
      </c>
      <c r="H512" s="155"/>
      <c r="I512" s="155"/>
      <c r="J512" s="155"/>
      <c r="K512" s="146"/>
    </row>
    <row r="513">
      <c r="A513" s="9" t="s">
        <v>917</v>
      </c>
      <c r="B513" s="10" t="s">
        <v>84</v>
      </c>
      <c r="C513" s="10" t="s">
        <v>918</v>
      </c>
      <c r="D513" s="14" t="s">
        <v>919</v>
      </c>
      <c r="E513" s="10"/>
      <c r="F513" s="10" t="s">
        <v>145</v>
      </c>
      <c r="G513" s="111">
        <f>'Stavební rozpočet'!G513</f>
      </c>
      <c r="H513" s="111">
        <f>'Stavební rozpočet'!H513</f>
      </c>
      <c r="I513" s="111">
        <f>G513*H513</f>
      </c>
      <c r="J513" s="153" t="s">
        <v>134</v>
      </c>
      <c r="K513" s="146"/>
      <c r="Z513" s="111">
        <f>IF(AQ513="5",BJ513,0)</f>
      </c>
      <c r="AB513" s="111">
        <f>IF(AQ513="1",BH513,0)</f>
      </c>
      <c r="AC513" s="111">
        <f>IF(AQ513="1",BI513,0)</f>
      </c>
      <c r="AD513" s="111">
        <f>IF(AQ513="7",BH513,0)</f>
      </c>
      <c r="AE513" s="111">
        <f>IF(AQ513="7",BI513,0)</f>
      </c>
      <c r="AF513" s="111">
        <f>IF(AQ513="2",BH513,0)</f>
      </c>
      <c r="AG513" s="111">
        <f>IF(AQ513="2",BI513,0)</f>
      </c>
      <c r="AH513" s="111">
        <f>IF(AQ513="0",BJ513,0)</f>
      </c>
      <c r="AI513" s="132" t="s">
        <v>84</v>
      </c>
      <c r="AJ513" s="111">
        <f>IF(AN513=0,I513,0)</f>
      </c>
      <c r="AK513" s="111">
        <f>IF(AN513=12,I513,0)</f>
      </c>
      <c r="AL513" s="111">
        <f>IF(AN513=21,I513,0)</f>
      </c>
      <c r="AN513" s="111" t="n">
        <v>21</v>
      </c>
      <c r="AO513" s="111">
        <f>H513*0</f>
      </c>
      <c r="AP513" s="111">
        <f>H513*(1-0)</f>
      </c>
      <c r="AQ513" s="153" t="s">
        <v>130</v>
      </c>
      <c r="AV513" s="111">
        <f>AW513+AX513</f>
      </c>
      <c r="AW513" s="111">
        <f>G513*AO513</f>
      </c>
      <c r="AX513" s="111">
        <f>G513*AP513</f>
      </c>
      <c r="AY513" s="153" t="s">
        <v>718</v>
      </c>
      <c r="AZ513" s="153" t="s">
        <v>719</v>
      </c>
      <c r="BA513" s="132" t="s">
        <v>137</v>
      </c>
      <c r="BC513" s="111">
        <f>AW513+AX513</f>
      </c>
      <c r="BD513" s="111">
        <f>H513/(100-BE513)*100</f>
      </c>
      <c r="BE513" s="111" t="n">
        <v>0</v>
      </c>
      <c r="BF513" s="111">
        <f>513</f>
      </c>
      <c r="BH513" s="111">
        <f>G513*AO513</f>
      </c>
      <c r="BI513" s="111">
        <f>G513*AP513</f>
      </c>
      <c r="BJ513" s="111">
        <f>G513*H513</f>
      </c>
      <c r="BK513" s="111"/>
      <c r="BL513" s="111" t="n">
        <v>41</v>
      </c>
      <c r="BW513" s="111" t="n">
        <v>21</v>
      </c>
      <c r="BX513" s="14" t="s">
        <v>919</v>
      </c>
    </row>
    <row r="514">
      <c r="A514" s="154"/>
      <c r="B514" s="155"/>
      <c r="C514" s="155"/>
      <c r="D514" s="156" t="s">
        <v>186</v>
      </c>
      <c r="E514" s="156" t="s">
        <v>913</v>
      </c>
      <c r="F514" s="155"/>
      <c r="G514" s="157" t="n">
        <v>10</v>
      </c>
      <c r="H514" s="155"/>
      <c r="I514" s="155"/>
      <c r="J514" s="155"/>
      <c r="K514" s="146"/>
    </row>
    <row r="515">
      <c r="A515" s="9" t="s">
        <v>920</v>
      </c>
      <c r="B515" s="10" t="s">
        <v>84</v>
      </c>
      <c r="C515" s="10" t="s">
        <v>921</v>
      </c>
      <c r="D515" s="14" t="s">
        <v>922</v>
      </c>
      <c r="E515" s="10"/>
      <c r="F515" s="10" t="s">
        <v>229</v>
      </c>
      <c r="G515" s="111">
        <f>'Stavební rozpočet'!G515</f>
      </c>
      <c r="H515" s="111">
        <f>'Stavební rozpočet'!H515</f>
      </c>
      <c r="I515" s="111">
        <f>G515*H515</f>
      </c>
      <c r="J515" s="153" t="s">
        <v>134</v>
      </c>
      <c r="K515" s="146"/>
      <c r="Z515" s="111">
        <f>IF(AQ515="5",BJ515,0)</f>
      </c>
      <c r="AB515" s="111">
        <f>IF(AQ515="1",BH515,0)</f>
      </c>
      <c r="AC515" s="111">
        <f>IF(AQ515="1",BI515,0)</f>
      </c>
      <c r="AD515" s="111">
        <f>IF(AQ515="7",BH515,0)</f>
      </c>
      <c r="AE515" s="111">
        <f>IF(AQ515="7",BI515,0)</f>
      </c>
      <c r="AF515" s="111">
        <f>IF(AQ515="2",BH515,0)</f>
      </c>
      <c r="AG515" s="111">
        <f>IF(AQ515="2",BI515,0)</f>
      </c>
      <c r="AH515" s="111">
        <f>IF(AQ515="0",BJ515,0)</f>
      </c>
      <c r="AI515" s="132" t="s">
        <v>84</v>
      </c>
      <c r="AJ515" s="111">
        <f>IF(AN515=0,I515,0)</f>
      </c>
      <c r="AK515" s="111">
        <f>IF(AN515=12,I515,0)</f>
      </c>
      <c r="AL515" s="111">
        <f>IF(AN515=21,I515,0)</f>
      </c>
      <c r="AN515" s="111" t="n">
        <v>21</v>
      </c>
      <c r="AO515" s="111">
        <f>H515*0.793421576</f>
      </c>
      <c r="AP515" s="111">
        <f>H515*(1-0.793421576)</f>
      </c>
      <c r="AQ515" s="153" t="s">
        <v>130</v>
      </c>
      <c r="AV515" s="111">
        <f>AW515+AX515</f>
      </c>
      <c r="AW515" s="111">
        <f>G515*AO515</f>
      </c>
      <c r="AX515" s="111">
        <f>G515*AP515</f>
      </c>
      <c r="AY515" s="153" t="s">
        <v>718</v>
      </c>
      <c r="AZ515" s="153" t="s">
        <v>719</v>
      </c>
      <c r="BA515" s="132" t="s">
        <v>137</v>
      </c>
      <c r="BC515" s="111">
        <f>AW515+AX515</f>
      </c>
      <c r="BD515" s="111">
        <f>H515/(100-BE515)*100</f>
      </c>
      <c r="BE515" s="111" t="n">
        <v>0</v>
      </c>
      <c r="BF515" s="111">
        <f>515</f>
      </c>
      <c r="BH515" s="111">
        <f>G515*AO515</f>
      </c>
      <c r="BI515" s="111">
        <f>G515*AP515</f>
      </c>
      <c r="BJ515" s="111">
        <f>G515*H515</f>
      </c>
      <c r="BK515" s="111"/>
      <c r="BL515" s="111" t="n">
        <v>41</v>
      </c>
      <c r="BW515" s="111" t="n">
        <v>21</v>
      </c>
      <c r="BX515" s="14" t="s">
        <v>922</v>
      </c>
    </row>
    <row r="516" customHeight="true" ht="13.5">
      <c r="A516" s="159"/>
      <c r="C516" s="160" t="s">
        <v>146</v>
      </c>
      <c r="D516" s="161" t="s">
        <v>923</v>
      </c>
      <c r="E516" s="156"/>
      <c r="F516" s="156"/>
      <c r="G516" s="156"/>
      <c r="H516" s="156"/>
      <c r="I516" s="156"/>
      <c r="J516" s="156"/>
      <c r="K516" s="163"/>
    </row>
    <row r="517">
      <c r="A517" s="154"/>
      <c r="B517" s="155"/>
      <c r="C517" s="155"/>
      <c r="D517" s="156" t="s">
        <v>924</v>
      </c>
      <c r="E517" s="156" t="s">
        <v>925</v>
      </c>
      <c r="F517" s="155"/>
      <c r="G517" s="157" t="n">
        <v>0.06349</v>
      </c>
      <c r="H517" s="155"/>
      <c r="I517" s="155"/>
      <c r="J517" s="155"/>
      <c r="K517" s="146"/>
    </row>
    <row r="518">
      <c r="A518" s="147" t="s">
        <v>4</v>
      </c>
      <c r="B518" s="148" t="s">
        <v>84</v>
      </c>
      <c r="C518" s="148" t="s">
        <v>416</v>
      </c>
      <c r="D518" s="149" t="s">
        <v>926</v>
      </c>
      <c r="E518" s="148"/>
      <c r="F518" s="150" t="s">
        <v>79</v>
      </c>
      <c r="G518" s="150" t="s">
        <v>79</v>
      </c>
      <c r="H518" s="150" t="s">
        <v>79</v>
      </c>
      <c r="I518" s="117">
        <f>SUM(I519:I519)</f>
      </c>
      <c r="J518" s="132" t="s">
        <v>4</v>
      </c>
      <c r="K518" s="146"/>
      <c r="AI518" s="132" t="s">
        <v>84</v>
      </c>
      <c r="AS518" s="117">
        <f>SUM(AJ519:AJ519)</f>
      </c>
      <c r="AT518" s="117">
        <f>SUM(AK519:AK519)</f>
      </c>
      <c r="AU518" s="117">
        <f>SUM(AL519:AL519)</f>
      </c>
    </row>
    <row r="519">
      <c r="A519" s="9" t="s">
        <v>927</v>
      </c>
      <c r="B519" s="10" t="s">
        <v>84</v>
      </c>
      <c r="C519" s="10" t="s">
        <v>928</v>
      </c>
      <c r="D519" s="14" t="s">
        <v>929</v>
      </c>
      <c r="E519" s="10"/>
      <c r="F519" s="10" t="s">
        <v>282</v>
      </c>
      <c r="G519" s="111">
        <f>'Stavební rozpočet'!G519</f>
      </c>
      <c r="H519" s="111">
        <f>'Stavební rozpočet'!H519</f>
      </c>
      <c r="I519" s="111">
        <f>G519*H519</f>
      </c>
      <c r="J519" s="153" t="s">
        <v>134</v>
      </c>
      <c r="K519" s="146"/>
      <c r="Z519" s="111">
        <f>IF(AQ519="5",BJ519,0)</f>
      </c>
      <c r="AB519" s="111">
        <f>IF(AQ519="1",BH519,0)</f>
      </c>
      <c r="AC519" s="111">
        <f>IF(AQ519="1",BI519,0)</f>
      </c>
      <c r="AD519" s="111">
        <f>IF(AQ519="7",BH519,0)</f>
      </c>
      <c r="AE519" s="111">
        <f>IF(AQ519="7",BI519,0)</f>
      </c>
      <c r="AF519" s="111">
        <f>IF(AQ519="2",BH519,0)</f>
      </c>
      <c r="AG519" s="111">
        <f>IF(AQ519="2",BI519,0)</f>
      </c>
      <c r="AH519" s="111">
        <f>IF(AQ519="0",BJ519,0)</f>
      </c>
      <c r="AI519" s="132" t="s">
        <v>84</v>
      </c>
      <c r="AJ519" s="111">
        <f>IF(AN519=0,I519,0)</f>
      </c>
      <c r="AK519" s="111">
        <f>IF(AN519=12,I519,0)</f>
      </c>
      <c r="AL519" s="111">
        <f>IF(AN519=21,I519,0)</f>
      </c>
      <c r="AN519" s="111" t="n">
        <v>21</v>
      </c>
      <c r="AO519" s="111">
        <f>H519*0.445953612</f>
      </c>
      <c r="AP519" s="111">
        <f>H519*(1-0.445953612)</f>
      </c>
      <c r="AQ519" s="153" t="s">
        <v>130</v>
      </c>
      <c r="AV519" s="111">
        <f>AW519+AX519</f>
      </c>
      <c r="AW519" s="111">
        <f>G519*AO519</f>
      </c>
      <c r="AX519" s="111">
        <f>G519*AP519</f>
      </c>
      <c r="AY519" s="153" t="s">
        <v>930</v>
      </c>
      <c r="AZ519" s="153" t="s">
        <v>719</v>
      </c>
      <c r="BA519" s="132" t="s">
        <v>137</v>
      </c>
      <c r="BC519" s="111">
        <f>AW519+AX519</f>
      </c>
      <c r="BD519" s="111">
        <f>H519/(100-BE519)*100</f>
      </c>
      <c r="BE519" s="111" t="n">
        <v>0</v>
      </c>
      <c r="BF519" s="111">
        <f>519</f>
      </c>
      <c r="BH519" s="111">
        <f>G519*AO519</f>
      </c>
      <c r="BI519" s="111">
        <f>G519*AP519</f>
      </c>
      <c r="BJ519" s="111">
        <f>G519*H519</f>
      </c>
      <c r="BK519" s="111"/>
      <c r="BL519" s="111" t="n">
        <v>43</v>
      </c>
      <c r="BW519" s="111" t="n">
        <v>21</v>
      </c>
      <c r="BX519" s="14" t="s">
        <v>929</v>
      </c>
    </row>
    <row r="520" customHeight="true" ht="13.5">
      <c r="A520" s="159"/>
      <c r="C520" s="160" t="s">
        <v>146</v>
      </c>
      <c r="D520" s="161" t="s">
        <v>931</v>
      </c>
      <c r="E520" s="156"/>
      <c r="F520" s="156"/>
      <c r="G520" s="156"/>
      <c r="H520" s="156"/>
      <c r="I520" s="156"/>
      <c r="J520" s="156"/>
      <c r="K520" s="163"/>
    </row>
    <row r="521">
      <c r="A521" s="154"/>
      <c r="B521" s="155"/>
      <c r="C521" s="155"/>
      <c r="D521" s="156" t="s">
        <v>932</v>
      </c>
      <c r="E521" s="156" t="s">
        <v>933</v>
      </c>
      <c r="F521" s="155"/>
      <c r="G521" s="157" t="n">
        <v>7.66</v>
      </c>
      <c r="H521" s="155"/>
      <c r="I521" s="155"/>
      <c r="J521" s="155"/>
      <c r="K521" s="146"/>
    </row>
    <row r="522">
      <c r="A522" s="147" t="s">
        <v>4</v>
      </c>
      <c r="B522" s="148" t="s">
        <v>84</v>
      </c>
      <c r="C522" s="148" t="s">
        <v>525</v>
      </c>
      <c r="D522" s="149" t="s">
        <v>934</v>
      </c>
      <c r="E522" s="148"/>
      <c r="F522" s="150" t="s">
        <v>79</v>
      </c>
      <c r="G522" s="150" t="s">
        <v>79</v>
      </c>
      <c r="H522" s="150" t="s">
        <v>79</v>
      </c>
      <c r="I522" s="117">
        <f>SUM(I523:I550)</f>
      </c>
      <c r="J522" s="132" t="s">
        <v>4</v>
      </c>
      <c r="K522" s="146"/>
      <c r="AI522" s="132" t="s">
        <v>84</v>
      </c>
      <c r="AS522" s="117">
        <f>SUM(AJ523:AJ550)</f>
      </c>
      <c r="AT522" s="117">
        <f>SUM(AK523:AK550)</f>
      </c>
      <c r="AU522" s="117">
        <f>SUM(AL523:AL550)</f>
      </c>
    </row>
    <row r="523">
      <c r="A523" s="9" t="s">
        <v>935</v>
      </c>
      <c r="B523" s="10" t="s">
        <v>84</v>
      </c>
      <c r="C523" s="10" t="s">
        <v>936</v>
      </c>
      <c r="D523" s="14" t="s">
        <v>937</v>
      </c>
      <c r="E523" s="10"/>
      <c r="F523" s="10" t="s">
        <v>145</v>
      </c>
      <c r="G523" s="111">
        <f>'Stavební rozpočet'!G523</f>
      </c>
      <c r="H523" s="111">
        <f>'Stavební rozpočet'!H523</f>
      </c>
      <c r="I523" s="111">
        <f>G523*H523</f>
      </c>
      <c r="J523" s="153" t="s">
        <v>134</v>
      </c>
      <c r="K523" s="146"/>
      <c r="Z523" s="111">
        <f>IF(AQ523="5",BJ523,0)</f>
      </c>
      <c r="AB523" s="111">
        <f>IF(AQ523="1",BH523,0)</f>
      </c>
      <c r="AC523" s="111">
        <f>IF(AQ523="1",BI523,0)</f>
      </c>
      <c r="AD523" s="111">
        <f>IF(AQ523="7",BH523,0)</f>
      </c>
      <c r="AE523" s="111">
        <f>IF(AQ523="7",BI523,0)</f>
      </c>
      <c r="AF523" s="111">
        <f>IF(AQ523="2",BH523,0)</f>
      </c>
      <c r="AG523" s="111">
        <f>IF(AQ523="2",BI523,0)</f>
      </c>
      <c r="AH523" s="111">
        <f>IF(AQ523="0",BJ523,0)</f>
      </c>
      <c r="AI523" s="132" t="s">
        <v>84</v>
      </c>
      <c r="AJ523" s="111">
        <f>IF(AN523=0,I523,0)</f>
      </c>
      <c r="AK523" s="111">
        <f>IF(AN523=12,I523,0)</f>
      </c>
      <c r="AL523" s="111">
        <f>IF(AN523=21,I523,0)</f>
      </c>
      <c r="AN523" s="111" t="n">
        <v>21</v>
      </c>
      <c r="AO523" s="111">
        <f>H523*0.892780318</f>
      </c>
      <c r="AP523" s="111">
        <f>H523*(1-0.892780318)</f>
      </c>
      <c r="AQ523" s="153" t="s">
        <v>130</v>
      </c>
      <c r="AV523" s="111">
        <f>AW523+AX523</f>
      </c>
      <c r="AW523" s="111">
        <f>G523*AO523</f>
      </c>
      <c r="AX523" s="111">
        <f>G523*AP523</f>
      </c>
      <c r="AY523" s="153" t="s">
        <v>938</v>
      </c>
      <c r="AZ523" s="153" t="s">
        <v>939</v>
      </c>
      <c r="BA523" s="132" t="s">
        <v>137</v>
      </c>
      <c r="BC523" s="111">
        <f>AW523+AX523</f>
      </c>
      <c r="BD523" s="111">
        <f>H523/(100-BE523)*100</f>
      </c>
      <c r="BE523" s="111" t="n">
        <v>0</v>
      </c>
      <c r="BF523" s="111">
        <f>523</f>
      </c>
      <c r="BH523" s="111">
        <f>G523*AO523</f>
      </c>
      <c r="BI523" s="111">
        <f>G523*AP523</f>
      </c>
      <c r="BJ523" s="111">
        <f>G523*H523</f>
      </c>
      <c r="BK523" s="111"/>
      <c r="BL523" s="111" t="n">
        <v>59</v>
      </c>
      <c r="BW523" s="111" t="n">
        <v>21</v>
      </c>
      <c r="BX523" s="14" t="s">
        <v>937</v>
      </c>
    </row>
    <row r="524" customHeight="true" ht="13.5">
      <c r="A524" s="159"/>
      <c r="C524" s="160" t="s">
        <v>146</v>
      </c>
      <c r="D524" s="161" t="s">
        <v>940</v>
      </c>
      <c r="E524" s="156"/>
      <c r="F524" s="156"/>
      <c r="G524" s="156"/>
      <c r="H524" s="156"/>
      <c r="I524" s="156"/>
      <c r="J524" s="156"/>
      <c r="K524" s="163"/>
    </row>
    <row r="525">
      <c r="A525" s="154"/>
      <c r="B525" s="155"/>
      <c r="C525" s="155"/>
      <c r="D525" s="156" t="s">
        <v>4</v>
      </c>
      <c r="E525" s="156" t="s">
        <v>941</v>
      </c>
      <c r="F525" s="155"/>
      <c r="G525" s="157" t="n">
        <v>0</v>
      </c>
      <c r="H525" s="155"/>
      <c r="I525" s="155"/>
      <c r="J525" s="155"/>
      <c r="K525" s="146"/>
    </row>
    <row r="526">
      <c r="A526" s="154"/>
      <c r="B526" s="155"/>
      <c r="C526" s="155"/>
      <c r="D526" s="156" t="s">
        <v>942</v>
      </c>
      <c r="E526" s="156" t="s">
        <v>943</v>
      </c>
      <c r="F526" s="155"/>
      <c r="G526" s="157" t="n">
        <v>31.2875</v>
      </c>
      <c r="H526" s="155"/>
      <c r="I526" s="155"/>
      <c r="J526" s="155"/>
      <c r="K526" s="146"/>
    </row>
    <row r="527">
      <c r="A527" s="154"/>
      <c r="B527" s="155"/>
      <c r="C527" s="155"/>
      <c r="D527" s="156" t="s">
        <v>944</v>
      </c>
      <c r="E527" s="156" t="s">
        <v>4</v>
      </c>
      <c r="F527" s="155"/>
      <c r="G527" s="157" t="n">
        <v>2.616</v>
      </c>
      <c r="H527" s="155"/>
      <c r="I527" s="155"/>
      <c r="J527" s="155"/>
      <c r="K527" s="146"/>
    </row>
    <row r="528">
      <c r="A528" s="154"/>
      <c r="B528" s="155"/>
      <c r="C528" s="155"/>
      <c r="D528" s="156" t="s">
        <v>224</v>
      </c>
      <c r="E528" s="156" t="s">
        <v>945</v>
      </c>
      <c r="F528" s="155"/>
      <c r="G528" s="157" t="n">
        <v>15</v>
      </c>
      <c r="H528" s="155"/>
      <c r="I528" s="155"/>
      <c r="J528" s="155"/>
      <c r="K528" s="146"/>
    </row>
    <row r="529">
      <c r="A529" s="154"/>
      <c r="B529" s="155"/>
      <c r="C529" s="155"/>
      <c r="D529" s="156" t="s">
        <v>946</v>
      </c>
      <c r="E529" s="156" t="s">
        <v>947</v>
      </c>
      <c r="F529" s="155"/>
      <c r="G529" s="157" t="n">
        <v>52.5</v>
      </c>
      <c r="H529" s="155"/>
      <c r="I529" s="155"/>
      <c r="J529" s="155"/>
      <c r="K529" s="146"/>
    </row>
    <row r="530">
      <c r="A530" s="9" t="s">
        <v>948</v>
      </c>
      <c r="B530" s="10" t="s">
        <v>84</v>
      </c>
      <c r="C530" s="10" t="s">
        <v>949</v>
      </c>
      <c r="D530" s="14" t="s">
        <v>950</v>
      </c>
      <c r="E530" s="10"/>
      <c r="F530" s="10" t="s">
        <v>145</v>
      </c>
      <c r="G530" s="111">
        <f>'Stavební rozpočet'!G530</f>
      </c>
      <c r="H530" s="111">
        <f>'Stavební rozpočet'!H530</f>
      </c>
      <c r="I530" s="111">
        <f>G530*H530</f>
      </c>
      <c r="J530" s="153" t="s">
        <v>134</v>
      </c>
      <c r="K530" s="146"/>
      <c r="Z530" s="111">
        <f>IF(AQ530="5",BJ530,0)</f>
      </c>
      <c r="AB530" s="111">
        <f>IF(AQ530="1",BH530,0)</f>
      </c>
      <c r="AC530" s="111">
        <f>IF(AQ530="1",BI530,0)</f>
      </c>
      <c r="AD530" s="111">
        <f>IF(AQ530="7",BH530,0)</f>
      </c>
      <c r="AE530" s="111">
        <f>IF(AQ530="7",BI530,0)</f>
      </c>
      <c r="AF530" s="111">
        <f>IF(AQ530="2",BH530,0)</f>
      </c>
      <c r="AG530" s="111">
        <f>IF(AQ530="2",BI530,0)</f>
      </c>
      <c r="AH530" s="111">
        <f>IF(AQ530="0",BJ530,0)</f>
      </c>
      <c r="AI530" s="132" t="s">
        <v>84</v>
      </c>
      <c r="AJ530" s="111">
        <f>IF(AN530=0,I530,0)</f>
      </c>
      <c r="AK530" s="111">
        <f>IF(AN530=12,I530,0)</f>
      </c>
      <c r="AL530" s="111">
        <f>IF(AN530=21,I530,0)</f>
      </c>
      <c r="AN530" s="111" t="n">
        <v>21</v>
      </c>
      <c r="AO530" s="111">
        <f>H530*0.171682856</f>
      </c>
      <c r="AP530" s="111">
        <f>H530*(1-0.171682856)</f>
      </c>
      <c r="AQ530" s="153" t="s">
        <v>130</v>
      </c>
      <c r="AV530" s="111">
        <f>AW530+AX530</f>
      </c>
      <c r="AW530" s="111">
        <f>G530*AO530</f>
      </c>
      <c r="AX530" s="111">
        <f>G530*AP530</f>
      </c>
      <c r="AY530" s="153" t="s">
        <v>938</v>
      </c>
      <c r="AZ530" s="153" t="s">
        <v>939</v>
      </c>
      <c r="BA530" s="132" t="s">
        <v>137</v>
      </c>
      <c r="BC530" s="111">
        <f>AW530+AX530</f>
      </c>
      <c r="BD530" s="111">
        <f>H530/(100-BE530)*100</f>
      </c>
      <c r="BE530" s="111" t="n">
        <v>0</v>
      </c>
      <c r="BF530" s="111">
        <f>530</f>
      </c>
      <c r="BH530" s="111">
        <f>G530*AO530</f>
      </c>
      <c r="BI530" s="111">
        <f>G530*AP530</f>
      </c>
      <c r="BJ530" s="111">
        <f>G530*H530</f>
      </c>
      <c r="BK530" s="111"/>
      <c r="BL530" s="111" t="n">
        <v>59</v>
      </c>
      <c r="BW530" s="111" t="n">
        <v>21</v>
      </c>
      <c r="BX530" s="14" t="s">
        <v>950</v>
      </c>
    </row>
    <row r="531">
      <c r="A531" s="154"/>
      <c r="B531" s="155"/>
      <c r="C531" s="155"/>
      <c r="D531" s="156" t="s">
        <v>4</v>
      </c>
      <c r="E531" s="156" t="s">
        <v>941</v>
      </c>
      <c r="F531" s="155"/>
      <c r="G531" s="157" t="n">
        <v>0</v>
      </c>
      <c r="H531" s="155"/>
      <c r="I531" s="155"/>
      <c r="J531" s="155"/>
      <c r="K531" s="146"/>
    </row>
    <row r="532">
      <c r="A532" s="154"/>
      <c r="B532" s="155"/>
      <c r="C532" s="155"/>
      <c r="D532" s="156" t="s">
        <v>942</v>
      </c>
      <c r="E532" s="156" t="s">
        <v>943</v>
      </c>
      <c r="F532" s="155"/>
      <c r="G532" s="157" t="n">
        <v>31.2875</v>
      </c>
      <c r="H532" s="155"/>
      <c r="I532" s="155"/>
      <c r="J532" s="155"/>
      <c r="K532" s="146"/>
    </row>
    <row r="533">
      <c r="A533" s="154"/>
      <c r="B533" s="155"/>
      <c r="C533" s="155"/>
      <c r="D533" s="156" t="s">
        <v>944</v>
      </c>
      <c r="E533" s="156" t="s">
        <v>4</v>
      </c>
      <c r="F533" s="155"/>
      <c r="G533" s="157" t="n">
        <v>2.616</v>
      </c>
      <c r="H533" s="155"/>
      <c r="I533" s="155"/>
      <c r="J533" s="155"/>
      <c r="K533" s="146"/>
    </row>
    <row r="534">
      <c r="A534" s="154"/>
      <c r="B534" s="155"/>
      <c r="C534" s="155"/>
      <c r="D534" s="156" t="s">
        <v>224</v>
      </c>
      <c r="E534" s="156" t="s">
        <v>945</v>
      </c>
      <c r="F534" s="155"/>
      <c r="G534" s="157" t="n">
        <v>15</v>
      </c>
      <c r="H534" s="155"/>
      <c r="I534" s="155"/>
      <c r="J534" s="155"/>
      <c r="K534" s="146"/>
    </row>
    <row r="535">
      <c r="A535" s="154"/>
      <c r="B535" s="155"/>
      <c r="C535" s="155"/>
      <c r="D535" s="156" t="s">
        <v>946</v>
      </c>
      <c r="E535" s="156" t="s">
        <v>947</v>
      </c>
      <c r="F535" s="155"/>
      <c r="G535" s="157" t="n">
        <v>52.5</v>
      </c>
      <c r="H535" s="155"/>
      <c r="I535" s="155"/>
      <c r="J535" s="155"/>
      <c r="K535" s="146"/>
    </row>
    <row r="536">
      <c r="A536" s="9" t="s">
        <v>951</v>
      </c>
      <c r="B536" s="10" t="s">
        <v>84</v>
      </c>
      <c r="C536" s="10" t="s">
        <v>952</v>
      </c>
      <c r="D536" s="14" t="s">
        <v>953</v>
      </c>
      <c r="E536" s="10"/>
      <c r="F536" s="10" t="s">
        <v>282</v>
      </c>
      <c r="G536" s="111">
        <f>'Stavební rozpočet'!G536</f>
      </c>
      <c r="H536" s="111">
        <f>'Stavební rozpočet'!H536</f>
      </c>
      <c r="I536" s="111">
        <f>G536*H536</f>
      </c>
      <c r="J536" s="153" t="s">
        <v>134</v>
      </c>
      <c r="K536" s="146"/>
      <c r="Z536" s="111">
        <f>IF(AQ536="5",BJ536,0)</f>
      </c>
      <c r="AB536" s="111">
        <f>IF(AQ536="1",BH536,0)</f>
      </c>
      <c r="AC536" s="111">
        <f>IF(AQ536="1",BI536,0)</f>
      </c>
      <c r="AD536" s="111">
        <f>IF(AQ536="7",BH536,0)</f>
      </c>
      <c r="AE536" s="111">
        <f>IF(AQ536="7",BI536,0)</f>
      </c>
      <c r="AF536" s="111">
        <f>IF(AQ536="2",BH536,0)</f>
      </c>
      <c r="AG536" s="111">
        <f>IF(AQ536="2",BI536,0)</f>
      </c>
      <c r="AH536" s="111">
        <f>IF(AQ536="0",BJ536,0)</f>
      </c>
      <c r="AI536" s="132" t="s">
        <v>84</v>
      </c>
      <c r="AJ536" s="111">
        <f>IF(AN536=0,I536,0)</f>
      </c>
      <c r="AK536" s="111">
        <f>IF(AN536=12,I536,0)</f>
      </c>
      <c r="AL536" s="111">
        <f>IF(AN536=21,I536,0)</f>
      </c>
      <c r="AN536" s="111" t="n">
        <v>21</v>
      </c>
      <c r="AO536" s="111">
        <f>H536*0.051523495</f>
      </c>
      <c r="AP536" s="111">
        <f>H536*(1-0.051523495)</f>
      </c>
      <c r="AQ536" s="153" t="s">
        <v>130</v>
      </c>
      <c r="AV536" s="111">
        <f>AW536+AX536</f>
      </c>
      <c r="AW536" s="111">
        <f>G536*AO536</f>
      </c>
      <c r="AX536" s="111">
        <f>G536*AP536</f>
      </c>
      <c r="AY536" s="153" t="s">
        <v>938</v>
      </c>
      <c r="AZ536" s="153" t="s">
        <v>939</v>
      </c>
      <c r="BA536" s="132" t="s">
        <v>137</v>
      </c>
      <c r="BC536" s="111">
        <f>AW536+AX536</f>
      </c>
      <c r="BD536" s="111">
        <f>H536/(100-BE536)*100</f>
      </c>
      <c r="BE536" s="111" t="n">
        <v>0</v>
      </c>
      <c r="BF536" s="111">
        <f>536</f>
      </c>
      <c r="BH536" s="111">
        <f>G536*AO536</f>
      </c>
      <c r="BI536" s="111">
        <f>G536*AP536</f>
      </c>
      <c r="BJ536" s="111">
        <f>G536*H536</f>
      </c>
      <c r="BK536" s="111"/>
      <c r="BL536" s="111" t="n">
        <v>59</v>
      </c>
      <c r="BW536" s="111" t="n">
        <v>21</v>
      </c>
      <c r="BX536" s="14" t="s">
        <v>953</v>
      </c>
    </row>
    <row r="537">
      <c r="A537" s="154"/>
      <c r="B537" s="155"/>
      <c r="C537" s="155"/>
      <c r="D537" s="156" t="s">
        <v>954</v>
      </c>
      <c r="E537" s="156" t="s">
        <v>947</v>
      </c>
      <c r="F537" s="155"/>
      <c r="G537" s="157" t="n">
        <v>40.8</v>
      </c>
      <c r="H537" s="155"/>
      <c r="I537" s="155"/>
      <c r="J537" s="155"/>
      <c r="K537" s="146"/>
    </row>
    <row r="538">
      <c r="A538" s="154"/>
      <c r="B538" s="155"/>
      <c r="C538" s="155"/>
      <c r="D538" s="156" t="s">
        <v>955</v>
      </c>
      <c r="E538" s="156" t="s">
        <v>956</v>
      </c>
      <c r="F538" s="155"/>
      <c r="G538" s="157" t="n">
        <v>22.64</v>
      </c>
      <c r="H538" s="155"/>
      <c r="I538" s="155"/>
      <c r="J538" s="155"/>
      <c r="K538" s="146"/>
    </row>
    <row r="539">
      <c r="A539" s="154"/>
      <c r="B539" s="155"/>
      <c r="C539" s="155"/>
      <c r="D539" s="156" t="s">
        <v>176</v>
      </c>
      <c r="E539" s="156" t="s">
        <v>945</v>
      </c>
      <c r="F539" s="155"/>
      <c r="G539" s="157" t="n">
        <v>8</v>
      </c>
      <c r="H539" s="155"/>
      <c r="I539" s="155"/>
      <c r="J539" s="155"/>
      <c r="K539" s="146"/>
    </row>
    <row r="540">
      <c r="A540" s="9" t="s">
        <v>957</v>
      </c>
      <c r="B540" s="10" t="s">
        <v>84</v>
      </c>
      <c r="C540" s="10" t="s">
        <v>958</v>
      </c>
      <c r="D540" s="14" t="s">
        <v>959</v>
      </c>
      <c r="E540" s="10"/>
      <c r="F540" s="10" t="s">
        <v>145</v>
      </c>
      <c r="G540" s="111">
        <f>'Stavební rozpočet'!G540</f>
      </c>
      <c r="H540" s="111">
        <f>'Stavební rozpočet'!H540</f>
      </c>
      <c r="I540" s="111">
        <f>G540*H540</f>
      </c>
      <c r="J540" s="153" t="s">
        <v>134</v>
      </c>
      <c r="K540" s="146"/>
      <c r="Z540" s="111">
        <f>IF(AQ540="5",BJ540,0)</f>
      </c>
      <c r="AB540" s="111">
        <f>IF(AQ540="1",BH540,0)</f>
      </c>
      <c r="AC540" s="111">
        <f>IF(AQ540="1",BI540,0)</f>
      </c>
      <c r="AD540" s="111">
        <f>IF(AQ540="7",BH540,0)</f>
      </c>
      <c r="AE540" s="111">
        <f>IF(AQ540="7",BI540,0)</f>
      </c>
      <c r="AF540" s="111">
        <f>IF(AQ540="2",BH540,0)</f>
      </c>
      <c r="AG540" s="111">
        <f>IF(AQ540="2",BI540,0)</f>
      </c>
      <c r="AH540" s="111">
        <f>IF(AQ540="0",BJ540,0)</f>
      </c>
      <c r="AI540" s="132" t="s">
        <v>84</v>
      </c>
      <c r="AJ540" s="111">
        <f>IF(AN540=0,I540,0)</f>
      </c>
      <c r="AK540" s="111">
        <f>IF(AN540=12,I540,0)</f>
      </c>
      <c r="AL540" s="111">
        <f>IF(AN540=21,I540,0)</f>
      </c>
      <c r="AN540" s="111" t="n">
        <v>21</v>
      </c>
      <c r="AO540" s="111">
        <f>H540*1</f>
      </c>
      <c r="AP540" s="111">
        <f>H540*(1-1)</f>
      </c>
      <c r="AQ540" s="153" t="s">
        <v>130</v>
      </c>
      <c r="AV540" s="111">
        <f>AW540+AX540</f>
      </c>
      <c r="AW540" s="111">
        <f>G540*AO540</f>
      </c>
      <c r="AX540" s="111">
        <f>G540*AP540</f>
      </c>
      <c r="AY540" s="153" t="s">
        <v>938</v>
      </c>
      <c r="AZ540" s="153" t="s">
        <v>939</v>
      </c>
      <c r="BA540" s="132" t="s">
        <v>137</v>
      </c>
      <c r="BC540" s="111">
        <f>AW540+AX540</f>
      </c>
      <c r="BD540" s="111">
        <f>H540/(100-BE540)*100</f>
      </c>
      <c r="BE540" s="111" t="n">
        <v>0</v>
      </c>
      <c r="BF540" s="111">
        <f>540</f>
      </c>
      <c r="BH540" s="111">
        <f>G540*AO540</f>
      </c>
      <c r="BI540" s="111">
        <f>G540*AP540</f>
      </c>
      <c r="BJ540" s="111">
        <f>G540*H540</f>
      </c>
      <c r="BK540" s="111"/>
      <c r="BL540" s="111" t="n">
        <v>59</v>
      </c>
      <c r="BW540" s="111" t="n">
        <v>21</v>
      </c>
      <c r="BX540" s="14" t="s">
        <v>959</v>
      </c>
    </row>
    <row r="541">
      <c r="A541" s="154"/>
      <c r="B541" s="155"/>
      <c r="C541" s="155"/>
      <c r="D541" s="156" t="s">
        <v>4</v>
      </c>
      <c r="E541" s="156" t="s">
        <v>941</v>
      </c>
      <c r="F541" s="155"/>
      <c r="G541" s="157" t="n">
        <v>0</v>
      </c>
      <c r="H541" s="155"/>
      <c r="I541" s="155"/>
      <c r="J541" s="155"/>
      <c r="K541" s="146"/>
    </row>
    <row r="542">
      <c r="A542" s="154"/>
      <c r="B542" s="155"/>
      <c r="C542" s="155"/>
      <c r="D542" s="156" t="s">
        <v>942</v>
      </c>
      <c r="E542" s="156" t="s">
        <v>943</v>
      </c>
      <c r="F542" s="155"/>
      <c r="G542" s="157" t="n">
        <v>31.2875</v>
      </c>
      <c r="H542" s="155"/>
      <c r="I542" s="155"/>
      <c r="J542" s="155"/>
      <c r="K542" s="146"/>
    </row>
    <row r="543">
      <c r="A543" s="154"/>
      <c r="B543" s="155"/>
      <c r="C543" s="155"/>
      <c r="D543" s="156" t="s">
        <v>944</v>
      </c>
      <c r="E543" s="156" t="s">
        <v>4</v>
      </c>
      <c r="F543" s="155"/>
      <c r="G543" s="157" t="n">
        <v>2.616</v>
      </c>
      <c r="H543" s="155"/>
      <c r="I543" s="155"/>
      <c r="J543" s="155"/>
      <c r="K543" s="146"/>
    </row>
    <row r="544">
      <c r="A544" s="154"/>
      <c r="B544" s="155"/>
      <c r="C544" s="155"/>
      <c r="D544" s="156" t="s">
        <v>224</v>
      </c>
      <c r="E544" s="156" t="s">
        <v>945</v>
      </c>
      <c r="F544" s="155"/>
      <c r="G544" s="157" t="n">
        <v>15</v>
      </c>
      <c r="H544" s="155"/>
      <c r="I544" s="155"/>
      <c r="J544" s="155"/>
      <c r="K544" s="146"/>
    </row>
    <row r="545">
      <c r="A545" s="154"/>
      <c r="B545" s="155"/>
      <c r="C545" s="155"/>
      <c r="D545" s="156" t="s">
        <v>960</v>
      </c>
      <c r="E545" s="156" t="s">
        <v>961</v>
      </c>
      <c r="F545" s="155"/>
      <c r="G545" s="157" t="n">
        <v>7.098</v>
      </c>
      <c r="H545" s="155"/>
      <c r="I545" s="155"/>
      <c r="J545" s="155"/>
      <c r="K545" s="146"/>
    </row>
    <row r="546">
      <c r="A546" s="154"/>
      <c r="B546" s="155"/>
      <c r="C546" s="155"/>
      <c r="D546" s="156" t="s">
        <v>946</v>
      </c>
      <c r="E546" s="156" t="s">
        <v>947</v>
      </c>
      <c r="F546" s="155"/>
      <c r="G546" s="157" t="n">
        <v>52.5</v>
      </c>
      <c r="H546" s="155"/>
      <c r="I546" s="155"/>
      <c r="J546" s="155"/>
      <c r="K546" s="146"/>
    </row>
    <row r="547">
      <c r="A547" s="9" t="s">
        <v>962</v>
      </c>
      <c r="B547" s="10" t="s">
        <v>84</v>
      </c>
      <c r="C547" s="10" t="s">
        <v>963</v>
      </c>
      <c r="D547" s="14" t="s">
        <v>964</v>
      </c>
      <c r="E547" s="10"/>
      <c r="F547" s="10" t="s">
        <v>133</v>
      </c>
      <c r="G547" s="111">
        <f>'Stavební rozpočet'!G547</f>
      </c>
      <c r="H547" s="111">
        <f>'Stavební rozpočet'!H547</f>
      </c>
      <c r="I547" s="111">
        <f>G547*H547</f>
      </c>
      <c r="J547" s="153" t="s">
        <v>134</v>
      </c>
      <c r="K547" s="146"/>
      <c r="Z547" s="111">
        <f>IF(AQ547="5",BJ547,0)</f>
      </c>
      <c r="AB547" s="111">
        <f>IF(AQ547="1",BH547,0)</f>
      </c>
      <c r="AC547" s="111">
        <f>IF(AQ547="1",BI547,0)</f>
      </c>
      <c r="AD547" s="111">
        <f>IF(AQ547="7",BH547,0)</f>
      </c>
      <c r="AE547" s="111">
        <f>IF(AQ547="7",BI547,0)</f>
      </c>
      <c r="AF547" s="111">
        <f>IF(AQ547="2",BH547,0)</f>
      </c>
      <c r="AG547" s="111">
        <f>IF(AQ547="2",BI547,0)</f>
      </c>
      <c r="AH547" s="111">
        <f>IF(AQ547="0",BJ547,0)</f>
      </c>
      <c r="AI547" s="132" t="s">
        <v>84</v>
      </c>
      <c r="AJ547" s="111">
        <f>IF(AN547=0,I547,0)</f>
      </c>
      <c r="AK547" s="111">
        <f>IF(AN547=12,I547,0)</f>
      </c>
      <c r="AL547" s="111">
        <f>IF(AN547=21,I547,0)</f>
      </c>
      <c r="AN547" s="111" t="n">
        <v>21</v>
      </c>
      <c r="AO547" s="111">
        <f>H547*0.336335541</f>
      </c>
      <c r="AP547" s="111">
        <f>H547*(1-0.336335541)</f>
      </c>
      <c r="AQ547" s="153" t="s">
        <v>130</v>
      </c>
      <c r="AV547" s="111">
        <f>AW547+AX547</f>
      </c>
      <c r="AW547" s="111">
        <f>G547*AO547</f>
      </c>
      <c r="AX547" s="111">
        <f>G547*AP547</f>
      </c>
      <c r="AY547" s="153" t="s">
        <v>938</v>
      </c>
      <c r="AZ547" s="153" t="s">
        <v>939</v>
      </c>
      <c r="BA547" s="132" t="s">
        <v>137</v>
      </c>
      <c r="BC547" s="111">
        <f>AW547+AX547</f>
      </c>
      <c r="BD547" s="111">
        <f>H547/(100-BE547)*100</f>
      </c>
      <c r="BE547" s="111" t="n">
        <v>0</v>
      </c>
      <c r="BF547" s="111">
        <f>547</f>
      </c>
      <c r="BH547" s="111">
        <f>G547*AO547</f>
      </c>
      <c r="BI547" s="111">
        <f>G547*AP547</f>
      </c>
      <c r="BJ547" s="111">
        <f>G547*H547</f>
      </c>
      <c r="BK547" s="111"/>
      <c r="BL547" s="111" t="n">
        <v>59</v>
      </c>
      <c r="BW547" s="111" t="n">
        <v>21</v>
      </c>
      <c r="BX547" s="14" t="s">
        <v>964</v>
      </c>
    </row>
    <row r="548" customHeight="true" ht="13.5">
      <c r="A548" s="159"/>
      <c r="C548" s="160" t="s">
        <v>146</v>
      </c>
      <c r="D548" s="161" t="s">
        <v>965</v>
      </c>
      <c r="E548" s="156"/>
      <c r="F548" s="156"/>
      <c r="G548" s="156"/>
      <c r="H548" s="156"/>
      <c r="I548" s="156"/>
      <c r="J548" s="156"/>
      <c r="K548" s="163"/>
    </row>
    <row r="549">
      <c r="A549" s="154"/>
      <c r="B549" s="155"/>
      <c r="C549" s="155"/>
      <c r="D549" s="156" t="s">
        <v>138</v>
      </c>
      <c r="E549" s="156" t="s">
        <v>966</v>
      </c>
      <c r="F549" s="155"/>
      <c r="G549" s="157" t="n">
        <v>3</v>
      </c>
      <c r="H549" s="155"/>
      <c r="I549" s="155"/>
      <c r="J549" s="155"/>
      <c r="K549" s="146"/>
    </row>
    <row r="550">
      <c r="A550" s="9" t="s">
        <v>967</v>
      </c>
      <c r="B550" s="10" t="s">
        <v>84</v>
      </c>
      <c r="C550" s="10" t="s">
        <v>968</v>
      </c>
      <c r="D550" s="14" t="s">
        <v>969</v>
      </c>
      <c r="E550" s="10"/>
      <c r="F550" s="10" t="s">
        <v>229</v>
      </c>
      <c r="G550" s="111">
        <f>'Stavební rozpočet'!G550</f>
      </c>
      <c r="H550" s="111">
        <f>'Stavební rozpočet'!H550</f>
      </c>
      <c r="I550" s="111">
        <f>G550*H550</f>
      </c>
      <c r="J550" s="153" t="s">
        <v>134</v>
      </c>
      <c r="K550" s="146"/>
      <c r="Z550" s="111">
        <f>IF(AQ550="5",BJ550,0)</f>
      </c>
      <c r="AB550" s="111">
        <f>IF(AQ550="1",BH550,0)</f>
      </c>
      <c r="AC550" s="111">
        <f>IF(AQ550="1",BI550,0)</f>
      </c>
      <c r="AD550" s="111">
        <f>IF(AQ550="7",BH550,0)</f>
      </c>
      <c r="AE550" s="111">
        <f>IF(AQ550="7",BI550,0)</f>
      </c>
      <c r="AF550" s="111">
        <f>IF(AQ550="2",BH550,0)</f>
      </c>
      <c r="AG550" s="111">
        <f>IF(AQ550="2",BI550,0)</f>
      </c>
      <c r="AH550" s="111">
        <f>IF(AQ550="0",BJ550,0)</f>
      </c>
      <c r="AI550" s="132" t="s">
        <v>84</v>
      </c>
      <c r="AJ550" s="111">
        <f>IF(AN550=0,I550,0)</f>
      </c>
      <c r="AK550" s="111">
        <f>IF(AN550=12,I550,0)</f>
      </c>
      <c r="AL550" s="111">
        <f>IF(AN550=21,I550,0)</f>
      </c>
      <c r="AN550" s="111" t="n">
        <v>21</v>
      </c>
      <c r="AO550" s="111">
        <f>H550*0</f>
      </c>
      <c r="AP550" s="111">
        <f>H550*(1-0)</f>
      </c>
      <c r="AQ550" s="153" t="s">
        <v>156</v>
      </c>
      <c r="AV550" s="111">
        <f>AW550+AX550</f>
      </c>
      <c r="AW550" s="111">
        <f>G550*AO550</f>
      </c>
      <c r="AX550" s="111">
        <f>G550*AP550</f>
      </c>
      <c r="AY550" s="153" t="s">
        <v>938</v>
      </c>
      <c r="AZ550" s="153" t="s">
        <v>939</v>
      </c>
      <c r="BA550" s="132" t="s">
        <v>137</v>
      </c>
      <c r="BC550" s="111">
        <f>AW550+AX550</f>
      </c>
      <c r="BD550" s="111">
        <f>H550/(100-BE550)*100</f>
      </c>
      <c r="BE550" s="111" t="n">
        <v>0</v>
      </c>
      <c r="BF550" s="111">
        <f>550</f>
      </c>
      <c r="BH550" s="111">
        <f>G550*AO550</f>
      </c>
      <c r="BI550" s="111">
        <f>G550*AP550</f>
      </c>
      <c r="BJ550" s="111">
        <f>G550*H550</f>
      </c>
      <c r="BK550" s="111"/>
      <c r="BL550" s="111" t="n">
        <v>59</v>
      </c>
      <c r="BW550" s="111" t="n">
        <v>21</v>
      </c>
      <c r="BX550" s="14" t="s">
        <v>969</v>
      </c>
    </row>
    <row r="551">
      <c r="A551" s="147" t="s">
        <v>4</v>
      </c>
      <c r="B551" s="148" t="s">
        <v>84</v>
      </c>
      <c r="C551" s="148" t="s">
        <v>534</v>
      </c>
      <c r="D551" s="149" t="s">
        <v>970</v>
      </c>
      <c r="E551" s="148"/>
      <c r="F551" s="150" t="s">
        <v>79</v>
      </c>
      <c r="G551" s="150" t="s">
        <v>79</v>
      </c>
      <c r="H551" s="150" t="s">
        <v>79</v>
      </c>
      <c r="I551" s="117">
        <f>SUM(I552:I596)</f>
      </c>
      <c r="J551" s="132" t="s">
        <v>4</v>
      </c>
      <c r="K551" s="146"/>
      <c r="AI551" s="132" t="s">
        <v>84</v>
      </c>
      <c r="AS551" s="117">
        <f>SUM(AJ552:AJ596)</f>
      </c>
      <c r="AT551" s="117">
        <f>SUM(AK552:AK596)</f>
      </c>
      <c r="AU551" s="117">
        <f>SUM(AL552:AL596)</f>
      </c>
    </row>
    <row r="552">
      <c r="A552" s="9" t="s">
        <v>971</v>
      </c>
      <c r="B552" s="10" t="s">
        <v>84</v>
      </c>
      <c r="C552" s="10" t="s">
        <v>972</v>
      </c>
      <c r="D552" s="14" t="s">
        <v>973</v>
      </c>
      <c r="E552" s="10"/>
      <c r="F552" s="10" t="s">
        <v>145</v>
      </c>
      <c r="G552" s="111">
        <f>'Stavební rozpočet'!G552</f>
      </c>
      <c r="H552" s="111">
        <f>'Stavební rozpočet'!H552</f>
      </c>
      <c r="I552" s="111">
        <f>G552*H552</f>
      </c>
      <c r="J552" s="153" t="s">
        <v>134</v>
      </c>
      <c r="K552" s="146"/>
      <c r="Z552" s="111">
        <f>IF(AQ552="5",BJ552,0)</f>
      </c>
      <c r="AB552" s="111">
        <f>IF(AQ552="1",BH552,0)</f>
      </c>
      <c r="AC552" s="111">
        <f>IF(AQ552="1",BI552,0)</f>
      </c>
      <c r="AD552" s="111">
        <f>IF(AQ552="7",BH552,0)</f>
      </c>
      <c r="AE552" s="111">
        <f>IF(AQ552="7",BI552,0)</f>
      </c>
      <c r="AF552" s="111">
        <f>IF(AQ552="2",BH552,0)</f>
      </c>
      <c r="AG552" s="111">
        <f>IF(AQ552="2",BI552,0)</f>
      </c>
      <c r="AH552" s="111">
        <f>IF(AQ552="0",BJ552,0)</f>
      </c>
      <c r="AI552" s="132" t="s">
        <v>84</v>
      </c>
      <c r="AJ552" s="111">
        <f>IF(AN552=0,I552,0)</f>
      </c>
      <c r="AK552" s="111">
        <f>IF(AN552=12,I552,0)</f>
      </c>
      <c r="AL552" s="111">
        <f>IF(AN552=21,I552,0)</f>
      </c>
      <c r="AN552" s="111" t="n">
        <v>21</v>
      </c>
      <c r="AO552" s="111">
        <f>H552*0.131226055</f>
      </c>
      <c r="AP552" s="111">
        <f>H552*(1-0.131226055)</f>
      </c>
      <c r="AQ552" s="153" t="s">
        <v>130</v>
      </c>
      <c r="AV552" s="111">
        <f>AW552+AX552</f>
      </c>
      <c r="AW552" s="111">
        <f>G552*AO552</f>
      </c>
      <c r="AX552" s="111">
        <f>G552*AP552</f>
      </c>
      <c r="AY552" s="153" t="s">
        <v>974</v>
      </c>
      <c r="AZ552" s="153" t="s">
        <v>975</v>
      </c>
      <c r="BA552" s="132" t="s">
        <v>137</v>
      </c>
      <c r="BC552" s="111">
        <f>AW552+AX552</f>
      </c>
      <c r="BD552" s="111">
        <f>H552/(100-BE552)*100</f>
      </c>
      <c r="BE552" s="111" t="n">
        <v>0</v>
      </c>
      <c r="BF552" s="111">
        <f>552</f>
      </c>
      <c r="BH552" s="111">
        <f>G552*AO552</f>
      </c>
      <c r="BI552" s="111">
        <f>G552*AP552</f>
      </c>
      <c r="BJ552" s="111">
        <f>G552*H552</f>
      </c>
      <c r="BK552" s="111"/>
      <c r="BL552" s="111" t="n">
        <v>61</v>
      </c>
      <c r="BW552" s="111" t="n">
        <v>21</v>
      </c>
      <c r="BX552" s="14" t="s">
        <v>973</v>
      </c>
    </row>
    <row r="553">
      <c r="A553" s="154"/>
      <c r="B553" s="155"/>
      <c r="C553" s="155"/>
      <c r="D553" s="156" t="s">
        <v>976</v>
      </c>
      <c r="E553" s="156" t="s">
        <v>977</v>
      </c>
      <c r="F553" s="155"/>
      <c r="G553" s="157" t="n">
        <v>22.1275</v>
      </c>
      <c r="H553" s="155"/>
      <c r="I553" s="155"/>
      <c r="J553" s="155"/>
      <c r="K553" s="146"/>
    </row>
    <row r="554">
      <c r="A554" s="154"/>
      <c r="B554" s="155"/>
      <c r="C554" s="155"/>
      <c r="D554" s="156" t="s">
        <v>978</v>
      </c>
      <c r="E554" s="156" t="s">
        <v>4</v>
      </c>
      <c r="F554" s="155"/>
      <c r="G554" s="157" t="n">
        <v>-4.32</v>
      </c>
      <c r="H554" s="155"/>
      <c r="I554" s="155"/>
      <c r="J554" s="155"/>
      <c r="K554" s="146"/>
    </row>
    <row r="555">
      <c r="A555" s="154"/>
      <c r="B555" s="155"/>
      <c r="C555" s="155"/>
      <c r="D555" s="156" t="s">
        <v>979</v>
      </c>
      <c r="E555" s="156" t="s">
        <v>596</v>
      </c>
      <c r="F555" s="155"/>
      <c r="G555" s="157" t="n">
        <v>92.17</v>
      </c>
      <c r="H555" s="155"/>
      <c r="I555" s="155"/>
      <c r="J555" s="155"/>
      <c r="K555" s="146"/>
    </row>
    <row r="556">
      <c r="A556" s="154"/>
      <c r="B556" s="155"/>
      <c r="C556" s="155"/>
      <c r="D556" s="156" t="s">
        <v>980</v>
      </c>
      <c r="E556" s="156" t="s">
        <v>4</v>
      </c>
      <c r="F556" s="155"/>
      <c r="G556" s="157" t="n">
        <v>-3.85</v>
      </c>
      <c r="H556" s="155"/>
      <c r="I556" s="155"/>
      <c r="J556" s="155"/>
      <c r="K556" s="146"/>
    </row>
    <row r="557">
      <c r="A557" s="154"/>
      <c r="B557" s="155"/>
      <c r="C557" s="155"/>
      <c r="D557" s="156" t="s">
        <v>981</v>
      </c>
      <c r="E557" s="156" t="s">
        <v>982</v>
      </c>
      <c r="F557" s="155"/>
      <c r="G557" s="157" t="n">
        <v>41.101</v>
      </c>
      <c r="H557" s="155"/>
      <c r="I557" s="155"/>
      <c r="J557" s="155"/>
      <c r="K557" s="146"/>
    </row>
    <row r="558">
      <c r="A558" s="154"/>
      <c r="B558" s="155"/>
      <c r="C558" s="155"/>
      <c r="D558" s="156" t="s">
        <v>983</v>
      </c>
      <c r="E558" s="156" t="s">
        <v>862</v>
      </c>
      <c r="F558" s="155"/>
      <c r="G558" s="157" t="n">
        <v>36.818</v>
      </c>
      <c r="H558" s="155"/>
      <c r="I558" s="155"/>
      <c r="J558" s="155"/>
      <c r="K558" s="146"/>
    </row>
    <row r="559">
      <c r="A559" s="154"/>
      <c r="B559" s="155"/>
      <c r="C559" s="155"/>
      <c r="D559" s="156" t="s">
        <v>984</v>
      </c>
      <c r="E559" s="156" t="s">
        <v>985</v>
      </c>
      <c r="F559" s="155"/>
      <c r="G559" s="157" t="n">
        <v>264.108</v>
      </c>
      <c r="H559" s="155"/>
      <c r="I559" s="155"/>
      <c r="J559" s="155"/>
      <c r="K559" s="146"/>
    </row>
    <row r="560">
      <c r="A560" s="154"/>
      <c r="B560" s="155"/>
      <c r="C560" s="155"/>
      <c r="D560" s="156" t="s">
        <v>986</v>
      </c>
      <c r="E560" s="156" t="s">
        <v>987</v>
      </c>
      <c r="F560" s="155"/>
      <c r="G560" s="157" t="n">
        <v>0</v>
      </c>
      <c r="H560" s="155"/>
      <c r="I560" s="155"/>
      <c r="J560" s="155"/>
      <c r="K560" s="146"/>
    </row>
    <row r="561">
      <c r="A561" s="154"/>
      <c r="B561" s="155"/>
      <c r="C561" s="155"/>
      <c r="D561" s="156" t="s">
        <v>988</v>
      </c>
      <c r="E561" s="156" t="s">
        <v>989</v>
      </c>
      <c r="F561" s="155"/>
      <c r="G561" s="157" t="n">
        <v>40.238</v>
      </c>
      <c r="H561" s="155"/>
      <c r="I561" s="155"/>
      <c r="J561" s="155"/>
      <c r="K561" s="146"/>
    </row>
    <row r="562">
      <c r="A562" s="154"/>
      <c r="B562" s="155"/>
      <c r="C562" s="155"/>
      <c r="D562" s="156" t="s">
        <v>990</v>
      </c>
      <c r="E562" s="156" t="s">
        <v>991</v>
      </c>
      <c r="F562" s="155"/>
      <c r="G562" s="157" t="n">
        <v>14.195</v>
      </c>
      <c r="H562" s="155"/>
      <c r="I562" s="155"/>
      <c r="J562" s="155"/>
      <c r="K562" s="146"/>
    </row>
    <row r="563">
      <c r="A563" s="154"/>
      <c r="B563" s="155"/>
      <c r="C563" s="155"/>
      <c r="D563" s="156" t="s">
        <v>992</v>
      </c>
      <c r="E563" s="156" t="s">
        <v>993</v>
      </c>
      <c r="F563" s="155"/>
      <c r="G563" s="157" t="n">
        <v>15.678</v>
      </c>
      <c r="H563" s="155"/>
      <c r="I563" s="155"/>
      <c r="J563" s="155"/>
      <c r="K563" s="146"/>
    </row>
    <row r="564">
      <c r="A564" s="154"/>
      <c r="B564" s="155"/>
      <c r="C564" s="155"/>
      <c r="D564" s="156" t="s">
        <v>994</v>
      </c>
      <c r="E564" s="156" t="s">
        <v>995</v>
      </c>
      <c r="F564" s="155"/>
      <c r="G564" s="157" t="n">
        <v>13.984</v>
      </c>
      <c r="H564" s="155"/>
      <c r="I564" s="155"/>
      <c r="J564" s="155"/>
      <c r="K564" s="146"/>
    </row>
    <row r="565">
      <c r="A565" s="154"/>
      <c r="B565" s="155"/>
      <c r="C565" s="155"/>
      <c r="D565" s="156" t="s">
        <v>996</v>
      </c>
      <c r="E565" s="156" t="s">
        <v>997</v>
      </c>
      <c r="F565" s="155"/>
      <c r="G565" s="157" t="n">
        <v>38.675</v>
      </c>
      <c r="H565" s="155"/>
      <c r="I565" s="155"/>
      <c r="J565" s="155"/>
      <c r="K565" s="146"/>
    </row>
    <row r="566">
      <c r="A566" s="154"/>
      <c r="B566" s="155"/>
      <c r="C566" s="155"/>
      <c r="D566" s="156" t="s">
        <v>998</v>
      </c>
      <c r="E566" s="156" t="s">
        <v>4</v>
      </c>
      <c r="F566" s="155"/>
      <c r="G566" s="157" t="n">
        <v>-4.762</v>
      </c>
      <c r="H566" s="155"/>
      <c r="I566" s="155"/>
      <c r="J566" s="155"/>
      <c r="K566" s="146"/>
    </row>
    <row r="567">
      <c r="A567" s="154"/>
      <c r="B567" s="155"/>
      <c r="C567" s="155"/>
      <c r="D567" s="156" t="s">
        <v>999</v>
      </c>
      <c r="E567" s="156" t="s">
        <v>1000</v>
      </c>
      <c r="F567" s="155"/>
      <c r="G567" s="157" t="n">
        <v>38.451</v>
      </c>
      <c r="H567" s="155"/>
      <c r="I567" s="155"/>
      <c r="J567" s="155"/>
      <c r="K567" s="146"/>
    </row>
    <row r="568">
      <c r="A568" s="154"/>
      <c r="B568" s="155"/>
      <c r="C568" s="155"/>
      <c r="D568" s="156" t="s">
        <v>1001</v>
      </c>
      <c r="E568" s="156" t="s">
        <v>4</v>
      </c>
      <c r="F568" s="155"/>
      <c r="G568" s="157" t="n">
        <v>-7.718</v>
      </c>
      <c r="H568" s="155"/>
      <c r="I568" s="155"/>
      <c r="J568" s="155"/>
      <c r="K568" s="146"/>
    </row>
    <row r="569">
      <c r="A569" s="154"/>
      <c r="B569" s="155"/>
      <c r="C569" s="155"/>
      <c r="D569" s="156" t="s">
        <v>1002</v>
      </c>
      <c r="E569" s="156" t="s">
        <v>933</v>
      </c>
      <c r="F569" s="155"/>
      <c r="G569" s="157" t="n">
        <v>53.727</v>
      </c>
      <c r="H569" s="155"/>
      <c r="I569" s="155"/>
      <c r="J569" s="155"/>
      <c r="K569" s="146"/>
    </row>
    <row r="570">
      <c r="A570" s="154"/>
      <c r="B570" s="155"/>
      <c r="C570" s="155"/>
      <c r="D570" s="156" t="s">
        <v>1003</v>
      </c>
      <c r="E570" s="156" t="s">
        <v>4</v>
      </c>
      <c r="F570" s="155"/>
      <c r="G570" s="157" t="n">
        <v>-2.758</v>
      </c>
      <c r="H570" s="155"/>
      <c r="I570" s="155"/>
      <c r="J570" s="155"/>
      <c r="K570" s="146"/>
    </row>
    <row r="571">
      <c r="A571" s="154"/>
      <c r="B571" s="155"/>
      <c r="C571" s="155"/>
      <c r="D571" s="156" t="s">
        <v>1004</v>
      </c>
      <c r="E571" s="156" t="s">
        <v>1005</v>
      </c>
      <c r="F571" s="155"/>
      <c r="G571" s="157" t="n">
        <v>114.265</v>
      </c>
      <c r="H571" s="155"/>
      <c r="I571" s="155"/>
      <c r="J571" s="155"/>
      <c r="K571" s="146"/>
    </row>
    <row r="572">
      <c r="A572" s="154"/>
      <c r="B572" s="155"/>
      <c r="C572" s="155"/>
      <c r="D572" s="156" t="s">
        <v>1006</v>
      </c>
      <c r="E572" s="156" t="s">
        <v>4</v>
      </c>
      <c r="F572" s="155"/>
      <c r="G572" s="157" t="n">
        <v>-8.208</v>
      </c>
      <c r="H572" s="155"/>
      <c r="I572" s="155"/>
      <c r="J572" s="155"/>
      <c r="K572" s="146"/>
    </row>
    <row r="573">
      <c r="A573" s="154"/>
      <c r="B573" s="155"/>
      <c r="C573" s="155"/>
      <c r="D573" s="156" t="s">
        <v>1007</v>
      </c>
      <c r="E573" s="156" t="s">
        <v>1008</v>
      </c>
      <c r="F573" s="155"/>
      <c r="G573" s="157" t="n">
        <v>6.23</v>
      </c>
      <c r="H573" s="155"/>
      <c r="I573" s="155"/>
      <c r="J573" s="155"/>
      <c r="K573" s="146"/>
    </row>
    <row r="574">
      <c r="A574" s="154"/>
      <c r="B574" s="155"/>
      <c r="C574" s="155"/>
      <c r="D574" s="156" t="s">
        <v>1009</v>
      </c>
      <c r="E574" s="156" t="s">
        <v>1010</v>
      </c>
      <c r="F574" s="155"/>
      <c r="G574" s="157" t="n">
        <v>9.215</v>
      </c>
      <c r="H574" s="155"/>
      <c r="I574" s="155"/>
      <c r="J574" s="155"/>
      <c r="K574" s="146"/>
    </row>
    <row r="575">
      <c r="A575" s="154"/>
      <c r="B575" s="155"/>
      <c r="C575" s="155"/>
      <c r="D575" s="156" t="s">
        <v>255</v>
      </c>
      <c r="E575" s="156" t="s">
        <v>1011</v>
      </c>
      <c r="F575" s="155"/>
      <c r="G575" s="157" t="n">
        <v>20</v>
      </c>
      <c r="H575" s="155"/>
      <c r="I575" s="155"/>
      <c r="J575" s="155"/>
      <c r="K575" s="146"/>
    </row>
    <row r="576">
      <c r="A576" s="9" t="s">
        <v>1012</v>
      </c>
      <c r="B576" s="10" t="s">
        <v>84</v>
      </c>
      <c r="C576" s="10" t="s">
        <v>1013</v>
      </c>
      <c r="D576" s="14" t="s">
        <v>1014</v>
      </c>
      <c r="E576" s="10"/>
      <c r="F576" s="10" t="s">
        <v>145</v>
      </c>
      <c r="G576" s="111">
        <f>'Stavební rozpočet'!G576</f>
      </c>
      <c r="H576" s="111">
        <f>'Stavební rozpočet'!H576</f>
      </c>
      <c r="I576" s="111">
        <f>G576*H576</f>
      </c>
      <c r="J576" s="153" t="s">
        <v>134</v>
      </c>
      <c r="K576" s="146"/>
      <c r="Z576" s="111">
        <f>IF(AQ576="5",BJ576,0)</f>
      </c>
      <c r="AB576" s="111">
        <f>IF(AQ576="1",BH576,0)</f>
      </c>
      <c r="AC576" s="111">
        <f>IF(AQ576="1",BI576,0)</f>
      </c>
      <c r="AD576" s="111">
        <f>IF(AQ576="7",BH576,0)</f>
      </c>
      <c r="AE576" s="111">
        <f>IF(AQ576="7",BI576,0)</f>
      </c>
      <c r="AF576" s="111">
        <f>IF(AQ576="2",BH576,0)</f>
      </c>
      <c r="AG576" s="111">
        <f>IF(AQ576="2",BI576,0)</f>
      </c>
      <c r="AH576" s="111">
        <f>IF(AQ576="0",BJ576,0)</f>
      </c>
      <c r="AI576" s="132" t="s">
        <v>84</v>
      </c>
      <c r="AJ576" s="111">
        <f>IF(AN576=0,I576,0)</f>
      </c>
      <c r="AK576" s="111">
        <f>IF(AN576=12,I576,0)</f>
      </c>
      <c r="AL576" s="111">
        <f>IF(AN576=21,I576,0)</f>
      </c>
      <c r="AN576" s="111" t="n">
        <v>21</v>
      </c>
      <c r="AO576" s="111">
        <f>H576*0.326461465</f>
      </c>
      <c r="AP576" s="111">
        <f>H576*(1-0.326461465)</f>
      </c>
      <c r="AQ576" s="153" t="s">
        <v>130</v>
      </c>
      <c r="AV576" s="111">
        <f>AW576+AX576</f>
      </c>
      <c r="AW576" s="111">
        <f>G576*AO576</f>
      </c>
      <c r="AX576" s="111">
        <f>G576*AP576</f>
      </c>
      <c r="AY576" s="153" t="s">
        <v>974</v>
      </c>
      <c r="AZ576" s="153" t="s">
        <v>975</v>
      </c>
      <c r="BA576" s="132" t="s">
        <v>137</v>
      </c>
      <c r="BC576" s="111">
        <f>AW576+AX576</f>
      </c>
      <c r="BD576" s="111">
        <f>H576/(100-BE576)*100</f>
      </c>
      <c r="BE576" s="111" t="n">
        <v>0</v>
      </c>
      <c r="BF576" s="111">
        <f>576</f>
      </c>
      <c r="BH576" s="111">
        <f>G576*AO576</f>
      </c>
      <c r="BI576" s="111">
        <f>G576*AP576</f>
      </c>
      <c r="BJ576" s="111">
        <f>G576*H576</f>
      </c>
      <c r="BK576" s="111"/>
      <c r="BL576" s="111" t="n">
        <v>61</v>
      </c>
      <c r="BW576" s="111" t="n">
        <v>21</v>
      </c>
      <c r="BX576" s="14" t="s">
        <v>1014</v>
      </c>
    </row>
    <row r="577" customHeight="true" ht="13.5">
      <c r="A577" s="159"/>
      <c r="C577" s="160" t="s">
        <v>146</v>
      </c>
      <c r="D577" s="161" t="s">
        <v>1015</v>
      </c>
      <c r="E577" s="156"/>
      <c r="F577" s="156"/>
      <c r="G577" s="156"/>
      <c r="H577" s="156"/>
      <c r="I577" s="156"/>
      <c r="J577" s="156"/>
      <c r="K577" s="163"/>
    </row>
    <row r="578">
      <c r="A578" s="154"/>
      <c r="B578" s="155"/>
      <c r="C578" s="155"/>
      <c r="D578" s="156" t="s">
        <v>983</v>
      </c>
      <c r="E578" s="156" t="s">
        <v>1016</v>
      </c>
      <c r="F578" s="155"/>
      <c r="G578" s="157" t="n">
        <v>36.818</v>
      </c>
      <c r="H578" s="155"/>
      <c r="I578" s="155"/>
      <c r="J578" s="155"/>
      <c r="K578" s="146"/>
    </row>
    <row r="579">
      <c r="A579" s="154"/>
      <c r="B579" s="155"/>
      <c r="C579" s="155"/>
      <c r="D579" s="156" t="s">
        <v>255</v>
      </c>
      <c r="E579" s="156" t="s">
        <v>1011</v>
      </c>
      <c r="F579" s="155"/>
      <c r="G579" s="157" t="n">
        <v>20</v>
      </c>
      <c r="H579" s="155"/>
      <c r="I579" s="155"/>
      <c r="J579" s="155"/>
      <c r="K579" s="146"/>
    </row>
    <row r="580">
      <c r="A580" s="9" t="s">
        <v>1017</v>
      </c>
      <c r="B580" s="10" t="s">
        <v>84</v>
      </c>
      <c r="C580" s="10" t="s">
        <v>1018</v>
      </c>
      <c r="D580" s="14" t="s">
        <v>1019</v>
      </c>
      <c r="E580" s="10"/>
      <c r="F580" s="10" t="s">
        <v>145</v>
      </c>
      <c r="G580" s="111">
        <f>'Stavební rozpočet'!G580</f>
      </c>
      <c r="H580" s="111">
        <f>'Stavební rozpočet'!H580</f>
      </c>
      <c r="I580" s="111">
        <f>G580*H580</f>
      </c>
      <c r="J580" s="153" t="s">
        <v>134</v>
      </c>
      <c r="K580" s="146"/>
      <c r="Z580" s="111">
        <f>IF(AQ580="5",BJ580,0)</f>
      </c>
      <c r="AB580" s="111">
        <f>IF(AQ580="1",BH580,0)</f>
      </c>
      <c r="AC580" s="111">
        <f>IF(AQ580="1",BI580,0)</f>
      </c>
      <c r="AD580" s="111">
        <f>IF(AQ580="7",BH580,0)</f>
      </c>
      <c r="AE580" s="111">
        <f>IF(AQ580="7",BI580,0)</f>
      </c>
      <c r="AF580" s="111">
        <f>IF(AQ580="2",BH580,0)</f>
      </c>
      <c r="AG580" s="111">
        <f>IF(AQ580="2",BI580,0)</f>
      </c>
      <c r="AH580" s="111">
        <f>IF(AQ580="0",BJ580,0)</f>
      </c>
      <c r="AI580" s="132" t="s">
        <v>84</v>
      </c>
      <c r="AJ580" s="111">
        <f>IF(AN580=0,I580,0)</f>
      </c>
      <c r="AK580" s="111">
        <f>IF(AN580=12,I580,0)</f>
      </c>
      <c r="AL580" s="111">
        <f>IF(AN580=21,I580,0)</f>
      </c>
      <c r="AN580" s="111" t="n">
        <v>21</v>
      </c>
      <c r="AO580" s="111">
        <f>H580*0.462066116</f>
      </c>
      <c r="AP580" s="111">
        <f>H580*(1-0.462066116)</f>
      </c>
      <c r="AQ580" s="153" t="s">
        <v>130</v>
      </c>
      <c r="AV580" s="111">
        <f>AW580+AX580</f>
      </c>
      <c r="AW580" s="111">
        <f>G580*AO580</f>
      </c>
      <c r="AX580" s="111">
        <f>G580*AP580</f>
      </c>
      <c r="AY580" s="153" t="s">
        <v>974</v>
      </c>
      <c r="AZ580" s="153" t="s">
        <v>975</v>
      </c>
      <c r="BA580" s="132" t="s">
        <v>137</v>
      </c>
      <c r="BC580" s="111">
        <f>AW580+AX580</f>
      </c>
      <c r="BD580" s="111">
        <f>H580/(100-BE580)*100</f>
      </c>
      <c r="BE580" s="111" t="n">
        <v>0</v>
      </c>
      <c r="BF580" s="111">
        <f>580</f>
      </c>
      <c r="BH580" s="111">
        <f>G580*AO580</f>
      </c>
      <c r="BI580" s="111">
        <f>G580*AP580</f>
      </c>
      <c r="BJ580" s="111">
        <f>G580*H580</f>
      </c>
      <c r="BK580" s="111"/>
      <c r="BL580" s="111" t="n">
        <v>61</v>
      </c>
      <c r="BW580" s="111" t="n">
        <v>21</v>
      </c>
      <c r="BX580" s="14" t="s">
        <v>1019</v>
      </c>
    </row>
    <row r="581" customHeight="true" ht="13.5">
      <c r="A581" s="159"/>
      <c r="C581" s="160" t="s">
        <v>146</v>
      </c>
      <c r="D581" s="161" t="s">
        <v>1020</v>
      </c>
      <c r="E581" s="156"/>
      <c r="F581" s="156"/>
      <c r="G581" s="156"/>
      <c r="H581" s="156"/>
      <c r="I581" s="156"/>
      <c r="J581" s="156"/>
      <c r="K581" s="163"/>
    </row>
    <row r="582">
      <c r="A582" s="154"/>
      <c r="B582" s="155"/>
      <c r="C582" s="155"/>
      <c r="D582" s="156" t="s">
        <v>658</v>
      </c>
      <c r="E582" s="156" t="s">
        <v>1021</v>
      </c>
      <c r="F582" s="155"/>
      <c r="G582" s="157" t="n">
        <v>80</v>
      </c>
      <c r="H582" s="155"/>
      <c r="I582" s="155"/>
      <c r="J582" s="155"/>
      <c r="K582" s="146"/>
    </row>
    <row r="583">
      <c r="A583" s="9" t="s">
        <v>1022</v>
      </c>
      <c r="B583" s="10" t="s">
        <v>84</v>
      </c>
      <c r="C583" s="10" t="s">
        <v>1023</v>
      </c>
      <c r="D583" s="14" t="s">
        <v>1024</v>
      </c>
      <c r="E583" s="10"/>
      <c r="F583" s="10" t="s">
        <v>145</v>
      </c>
      <c r="G583" s="111">
        <f>'Stavební rozpočet'!G583</f>
      </c>
      <c r="H583" s="111">
        <f>'Stavební rozpočet'!H583</f>
      </c>
      <c r="I583" s="111">
        <f>G583*H583</f>
      </c>
      <c r="J583" s="153" t="s">
        <v>134</v>
      </c>
      <c r="K583" s="146"/>
      <c r="Z583" s="111">
        <f>IF(AQ583="5",BJ583,0)</f>
      </c>
      <c r="AB583" s="111">
        <f>IF(AQ583="1",BH583,0)</f>
      </c>
      <c r="AC583" s="111">
        <f>IF(AQ583="1",BI583,0)</f>
      </c>
      <c r="AD583" s="111">
        <f>IF(AQ583="7",BH583,0)</f>
      </c>
      <c r="AE583" s="111">
        <f>IF(AQ583="7",BI583,0)</f>
      </c>
      <c r="AF583" s="111">
        <f>IF(AQ583="2",BH583,0)</f>
      </c>
      <c r="AG583" s="111">
        <f>IF(AQ583="2",BI583,0)</f>
      </c>
      <c r="AH583" s="111">
        <f>IF(AQ583="0",BJ583,0)</f>
      </c>
      <c r="AI583" s="132" t="s">
        <v>84</v>
      </c>
      <c r="AJ583" s="111">
        <f>IF(AN583=0,I583,0)</f>
      </c>
      <c r="AK583" s="111">
        <f>IF(AN583=12,I583,0)</f>
      </c>
      <c r="AL583" s="111">
        <f>IF(AN583=21,I583,0)</f>
      </c>
      <c r="AN583" s="111" t="n">
        <v>21</v>
      </c>
      <c r="AO583" s="111">
        <f>H583*0.152220755</f>
      </c>
      <c r="AP583" s="111">
        <f>H583*(1-0.152220755)</f>
      </c>
      <c r="AQ583" s="153" t="s">
        <v>130</v>
      </c>
      <c r="AV583" s="111">
        <f>AW583+AX583</f>
      </c>
      <c r="AW583" s="111">
        <f>G583*AO583</f>
      </c>
      <c r="AX583" s="111">
        <f>G583*AP583</f>
      </c>
      <c r="AY583" s="153" t="s">
        <v>974</v>
      </c>
      <c r="AZ583" s="153" t="s">
        <v>975</v>
      </c>
      <c r="BA583" s="132" t="s">
        <v>137</v>
      </c>
      <c r="BC583" s="111">
        <f>AW583+AX583</f>
      </c>
      <c r="BD583" s="111">
        <f>H583/(100-BE583)*100</f>
      </c>
      <c r="BE583" s="111" t="n">
        <v>0</v>
      </c>
      <c r="BF583" s="111">
        <f>583</f>
      </c>
      <c r="BH583" s="111">
        <f>G583*AO583</f>
      </c>
      <c r="BI583" s="111">
        <f>G583*AP583</f>
      </c>
      <c r="BJ583" s="111">
        <f>G583*H583</f>
      </c>
      <c r="BK583" s="111"/>
      <c r="BL583" s="111" t="n">
        <v>61</v>
      </c>
      <c r="BW583" s="111" t="n">
        <v>21</v>
      </c>
      <c r="BX583" s="14" t="s">
        <v>1024</v>
      </c>
    </row>
    <row r="584" customHeight="true" ht="13.5">
      <c r="A584" s="159"/>
      <c r="C584" s="160" t="s">
        <v>146</v>
      </c>
      <c r="D584" s="161" t="s">
        <v>1025</v>
      </c>
      <c r="E584" s="156"/>
      <c r="F584" s="156"/>
      <c r="G584" s="156"/>
      <c r="H584" s="156"/>
      <c r="I584" s="156"/>
      <c r="J584" s="156"/>
      <c r="K584" s="163"/>
    </row>
    <row r="585">
      <c r="A585" s="154"/>
      <c r="B585" s="155"/>
      <c r="C585" s="155"/>
      <c r="D585" s="156" t="s">
        <v>1026</v>
      </c>
      <c r="E585" s="156" t="s">
        <v>864</v>
      </c>
      <c r="F585" s="155"/>
      <c r="G585" s="157" t="n">
        <v>25.896</v>
      </c>
      <c r="H585" s="155"/>
      <c r="I585" s="155"/>
      <c r="J585" s="155"/>
      <c r="K585" s="146"/>
    </row>
    <row r="586">
      <c r="A586" s="154"/>
      <c r="B586" s="155"/>
      <c r="C586" s="155"/>
      <c r="D586" s="156" t="s">
        <v>1027</v>
      </c>
      <c r="E586" s="156" t="s">
        <v>566</v>
      </c>
      <c r="F586" s="155"/>
      <c r="G586" s="157" t="n">
        <v>25.416</v>
      </c>
      <c r="H586" s="155"/>
      <c r="I586" s="155"/>
      <c r="J586" s="155"/>
      <c r="K586" s="146"/>
    </row>
    <row r="587">
      <c r="A587" s="154"/>
      <c r="B587" s="155"/>
      <c r="C587" s="155"/>
      <c r="D587" s="156" t="s">
        <v>1028</v>
      </c>
      <c r="E587" s="156" t="s">
        <v>865</v>
      </c>
      <c r="F587" s="155"/>
      <c r="G587" s="157" t="n">
        <v>18.342</v>
      </c>
      <c r="H587" s="155"/>
      <c r="I587" s="155"/>
      <c r="J587" s="155"/>
      <c r="K587" s="146"/>
    </row>
    <row r="588">
      <c r="A588" s="154"/>
      <c r="B588" s="155"/>
      <c r="C588" s="155"/>
      <c r="D588" s="156" t="s">
        <v>1029</v>
      </c>
      <c r="E588" s="156" t="s">
        <v>1030</v>
      </c>
      <c r="F588" s="155"/>
      <c r="G588" s="157" t="n">
        <v>17.236</v>
      </c>
      <c r="H588" s="155"/>
      <c r="I588" s="155"/>
      <c r="J588" s="155"/>
      <c r="K588" s="146"/>
    </row>
    <row r="589">
      <c r="A589" s="154"/>
      <c r="B589" s="155"/>
      <c r="C589" s="155"/>
      <c r="D589" s="156" t="s">
        <v>1031</v>
      </c>
      <c r="E589" s="156" t="s">
        <v>1032</v>
      </c>
      <c r="F589" s="155"/>
      <c r="G589" s="157" t="n">
        <v>25.429</v>
      </c>
      <c r="H589" s="155"/>
      <c r="I589" s="155"/>
      <c r="J589" s="155"/>
      <c r="K589" s="146"/>
    </row>
    <row r="590">
      <c r="A590" s="154"/>
      <c r="B590" s="155"/>
      <c r="C590" s="155"/>
      <c r="D590" s="156" t="s">
        <v>1033</v>
      </c>
      <c r="E590" s="156" t="s">
        <v>1034</v>
      </c>
      <c r="F590" s="155"/>
      <c r="G590" s="157" t="n">
        <v>12.973</v>
      </c>
      <c r="H590" s="155"/>
      <c r="I590" s="155"/>
      <c r="J590" s="155"/>
      <c r="K590" s="146"/>
    </row>
    <row r="591">
      <c r="A591" s="154"/>
      <c r="B591" s="155"/>
      <c r="C591" s="155"/>
      <c r="D591" s="156" t="s">
        <v>1035</v>
      </c>
      <c r="E591" s="156" t="s">
        <v>1008</v>
      </c>
      <c r="F591" s="155"/>
      <c r="G591" s="157" t="n">
        <v>15.441</v>
      </c>
      <c r="H591" s="155"/>
      <c r="I591" s="155"/>
      <c r="J591" s="155"/>
      <c r="K591" s="146"/>
    </row>
    <row r="592">
      <c r="A592" s="154"/>
      <c r="B592" s="155"/>
      <c r="C592" s="155"/>
      <c r="D592" s="156" t="s">
        <v>1036</v>
      </c>
      <c r="E592" s="156" t="s">
        <v>1010</v>
      </c>
      <c r="F592" s="155"/>
      <c r="G592" s="157" t="n">
        <v>16.061</v>
      </c>
      <c r="H592" s="155"/>
      <c r="I592" s="155"/>
      <c r="J592" s="155"/>
      <c r="K592" s="146"/>
    </row>
    <row r="593">
      <c r="A593" s="9" t="s">
        <v>1037</v>
      </c>
      <c r="B593" s="10" t="s">
        <v>84</v>
      </c>
      <c r="C593" s="10" t="s">
        <v>1038</v>
      </c>
      <c r="D593" s="14" t="s">
        <v>1039</v>
      </c>
      <c r="E593" s="10"/>
      <c r="F593" s="10" t="s">
        <v>145</v>
      </c>
      <c r="G593" s="111">
        <f>'Stavební rozpočet'!G593</f>
      </c>
      <c r="H593" s="111">
        <f>'Stavební rozpočet'!H593</f>
      </c>
      <c r="I593" s="111">
        <f>G593*H593</f>
      </c>
      <c r="J593" s="153" t="s">
        <v>134</v>
      </c>
      <c r="K593" s="146"/>
      <c r="Z593" s="111">
        <f>IF(AQ593="5",BJ593,0)</f>
      </c>
      <c r="AB593" s="111">
        <f>IF(AQ593="1",BH593,0)</f>
      </c>
      <c r="AC593" s="111">
        <f>IF(AQ593="1",BI593,0)</f>
      </c>
      <c r="AD593" s="111">
        <f>IF(AQ593="7",BH593,0)</f>
      </c>
      <c r="AE593" s="111">
        <f>IF(AQ593="7",BI593,0)</f>
      </c>
      <c r="AF593" s="111">
        <f>IF(AQ593="2",BH593,0)</f>
      </c>
      <c r="AG593" s="111">
        <f>IF(AQ593="2",BI593,0)</f>
      </c>
      <c r="AH593" s="111">
        <f>IF(AQ593="0",BJ593,0)</f>
      </c>
      <c r="AI593" s="132" t="s">
        <v>84</v>
      </c>
      <c r="AJ593" s="111">
        <f>IF(AN593=0,I593,0)</f>
      </c>
      <c r="AK593" s="111">
        <f>IF(AN593=12,I593,0)</f>
      </c>
      <c r="AL593" s="111">
        <f>IF(AN593=21,I593,0)</f>
      </c>
      <c r="AN593" s="111" t="n">
        <v>21</v>
      </c>
      <c r="AO593" s="111">
        <f>H593*0.330070597</f>
      </c>
      <c r="AP593" s="111">
        <f>H593*(1-0.330070597)</f>
      </c>
      <c r="AQ593" s="153" t="s">
        <v>130</v>
      </c>
      <c r="AV593" s="111">
        <f>AW593+AX593</f>
      </c>
      <c r="AW593" s="111">
        <f>G593*AO593</f>
      </c>
      <c r="AX593" s="111">
        <f>G593*AP593</f>
      </c>
      <c r="AY593" s="153" t="s">
        <v>974</v>
      </c>
      <c r="AZ593" s="153" t="s">
        <v>975</v>
      </c>
      <c r="BA593" s="132" t="s">
        <v>137</v>
      </c>
      <c r="BC593" s="111">
        <f>AW593+AX593</f>
      </c>
      <c r="BD593" s="111">
        <f>H593/(100-BE593)*100</f>
      </c>
      <c r="BE593" s="111" t="n">
        <v>0</v>
      </c>
      <c r="BF593" s="111">
        <f>593</f>
      </c>
      <c r="BH593" s="111">
        <f>G593*AO593</f>
      </c>
      <c r="BI593" s="111">
        <f>G593*AP593</f>
      </c>
      <c r="BJ593" s="111">
        <f>G593*H593</f>
      </c>
      <c r="BK593" s="111"/>
      <c r="BL593" s="111" t="n">
        <v>61</v>
      </c>
      <c r="BW593" s="111" t="n">
        <v>21</v>
      </c>
      <c r="BX593" s="14" t="s">
        <v>1039</v>
      </c>
    </row>
    <row r="594" customHeight="true" ht="13.5">
      <c r="A594" s="159"/>
      <c r="C594" s="160" t="s">
        <v>146</v>
      </c>
      <c r="D594" s="161" t="s">
        <v>707</v>
      </c>
      <c r="E594" s="156"/>
      <c r="F594" s="156"/>
      <c r="G594" s="156"/>
      <c r="H594" s="156"/>
      <c r="I594" s="156"/>
      <c r="J594" s="156"/>
      <c r="K594" s="163"/>
    </row>
    <row r="595">
      <c r="A595" s="154"/>
      <c r="B595" s="155"/>
      <c r="C595" s="155"/>
      <c r="D595" s="156" t="s">
        <v>1040</v>
      </c>
      <c r="E595" s="156" t="s">
        <v>1041</v>
      </c>
      <c r="F595" s="155"/>
      <c r="G595" s="157" t="n">
        <v>1.242</v>
      </c>
      <c r="H595" s="155"/>
      <c r="I595" s="155"/>
      <c r="J595" s="155"/>
      <c r="K595" s="146"/>
    </row>
    <row r="596">
      <c r="A596" s="9" t="s">
        <v>1042</v>
      </c>
      <c r="B596" s="10" t="s">
        <v>84</v>
      </c>
      <c r="C596" s="10" t="s">
        <v>1043</v>
      </c>
      <c r="D596" s="14" t="s">
        <v>1044</v>
      </c>
      <c r="E596" s="10"/>
      <c r="F596" s="10" t="s">
        <v>282</v>
      </c>
      <c r="G596" s="111">
        <f>'Stavební rozpočet'!G596</f>
      </c>
      <c r="H596" s="111">
        <f>'Stavební rozpočet'!H596</f>
      </c>
      <c r="I596" s="111">
        <f>G596*H596</f>
      </c>
      <c r="J596" s="153" t="s">
        <v>134</v>
      </c>
      <c r="K596" s="146"/>
      <c r="Z596" s="111">
        <f>IF(AQ596="5",BJ596,0)</f>
      </c>
      <c r="AB596" s="111">
        <f>IF(AQ596="1",BH596,0)</f>
      </c>
      <c r="AC596" s="111">
        <f>IF(AQ596="1",BI596,0)</f>
      </c>
      <c r="AD596" s="111">
        <f>IF(AQ596="7",BH596,0)</f>
      </c>
      <c r="AE596" s="111">
        <f>IF(AQ596="7",BI596,0)</f>
      </c>
      <c r="AF596" s="111">
        <f>IF(AQ596="2",BH596,0)</f>
      </c>
      <c r="AG596" s="111">
        <f>IF(AQ596="2",BI596,0)</f>
      </c>
      <c r="AH596" s="111">
        <f>IF(AQ596="0",BJ596,0)</f>
      </c>
      <c r="AI596" s="132" t="s">
        <v>84</v>
      </c>
      <c r="AJ596" s="111">
        <f>IF(AN596=0,I596,0)</f>
      </c>
      <c r="AK596" s="111">
        <f>IF(AN596=12,I596,0)</f>
      </c>
      <c r="AL596" s="111">
        <f>IF(AN596=21,I596,0)</f>
      </c>
      <c r="AN596" s="111" t="n">
        <v>21</v>
      </c>
      <c r="AO596" s="111">
        <f>H596*0.72339973</f>
      </c>
      <c r="AP596" s="111">
        <f>H596*(1-0.72339973)</f>
      </c>
      <c r="AQ596" s="153" t="s">
        <v>130</v>
      </c>
      <c r="AV596" s="111">
        <f>AW596+AX596</f>
      </c>
      <c r="AW596" s="111">
        <f>G596*AO596</f>
      </c>
      <c r="AX596" s="111">
        <f>G596*AP596</f>
      </c>
      <c r="AY596" s="153" t="s">
        <v>974</v>
      </c>
      <c r="AZ596" s="153" t="s">
        <v>975</v>
      </c>
      <c r="BA596" s="132" t="s">
        <v>137</v>
      </c>
      <c r="BC596" s="111">
        <f>AW596+AX596</f>
      </c>
      <c r="BD596" s="111">
        <f>H596/(100-BE596)*100</f>
      </c>
      <c r="BE596" s="111" t="n">
        <v>0</v>
      </c>
      <c r="BF596" s="111">
        <f>596</f>
      </c>
      <c r="BH596" s="111">
        <f>G596*AO596</f>
      </c>
      <c r="BI596" s="111">
        <f>G596*AP596</f>
      </c>
      <c r="BJ596" s="111">
        <f>G596*H596</f>
      </c>
      <c r="BK596" s="111"/>
      <c r="BL596" s="111" t="n">
        <v>61</v>
      </c>
      <c r="BW596" s="111" t="n">
        <v>21</v>
      </c>
      <c r="BX596" s="14" t="s">
        <v>1044</v>
      </c>
    </row>
    <row r="597" customHeight="true" ht="13.5">
      <c r="A597" s="159"/>
      <c r="C597" s="160" t="s">
        <v>146</v>
      </c>
      <c r="D597" s="161" t="s">
        <v>1020</v>
      </c>
      <c r="E597" s="156"/>
      <c r="F597" s="156"/>
      <c r="G597" s="156"/>
      <c r="H597" s="156"/>
      <c r="I597" s="156"/>
      <c r="J597" s="156"/>
      <c r="K597" s="163"/>
    </row>
    <row r="598">
      <c r="A598" s="154"/>
      <c r="B598" s="155"/>
      <c r="C598" s="155"/>
      <c r="D598" s="156" t="s">
        <v>1045</v>
      </c>
      <c r="E598" s="156" t="s">
        <v>1046</v>
      </c>
      <c r="F598" s="155"/>
      <c r="G598" s="157" t="n">
        <v>28.7</v>
      </c>
      <c r="H598" s="155"/>
      <c r="I598" s="155"/>
      <c r="J598" s="155"/>
      <c r="K598" s="146"/>
    </row>
    <row r="599">
      <c r="A599" s="154"/>
      <c r="B599" s="155"/>
      <c r="C599" s="155"/>
      <c r="D599" s="156" t="s">
        <v>1047</v>
      </c>
      <c r="E599" s="156" t="s">
        <v>1048</v>
      </c>
      <c r="F599" s="155"/>
      <c r="G599" s="157" t="n">
        <v>7.1</v>
      </c>
      <c r="H599" s="155"/>
      <c r="I599" s="155"/>
      <c r="J599" s="155"/>
      <c r="K599" s="146"/>
    </row>
    <row r="600">
      <c r="A600" s="154"/>
      <c r="B600" s="155"/>
      <c r="C600" s="155"/>
      <c r="D600" s="156" t="s">
        <v>1049</v>
      </c>
      <c r="E600" s="156" t="s">
        <v>1050</v>
      </c>
      <c r="F600" s="155"/>
      <c r="G600" s="157" t="n">
        <v>23.15</v>
      </c>
      <c r="H600" s="155"/>
      <c r="I600" s="155"/>
      <c r="J600" s="155"/>
      <c r="K600" s="146"/>
    </row>
    <row r="601">
      <c r="A601" s="154"/>
      <c r="B601" s="155"/>
      <c r="C601" s="155"/>
      <c r="D601" s="156" t="s">
        <v>1051</v>
      </c>
      <c r="E601" s="156" t="s">
        <v>1052</v>
      </c>
      <c r="F601" s="155"/>
      <c r="G601" s="157" t="n">
        <v>5.75</v>
      </c>
      <c r="H601" s="155"/>
      <c r="I601" s="155"/>
      <c r="J601" s="155"/>
      <c r="K601" s="146"/>
    </row>
    <row r="602">
      <c r="A602" s="154"/>
      <c r="B602" s="155"/>
      <c r="C602" s="155"/>
      <c r="D602" s="156" t="s">
        <v>1053</v>
      </c>
      <c r="E602" s="156" t="s">
        <v>1054</v>
      </c>
      <c r="F602" s="155"/>
      <c r="G602" s="157" t="n">
        <v>18.75</v>
      </c>
      <c r="H602" s="155"/>
      <c r="I602" s="155"/>
      <c r="J602" s="155"/>
      <c r="K602" s="146"/>
    </row>
    <row r="603">
      <c r="A603" s="154"/>
      <c r="B603" s="155"/>
      <c r="C603" s="155"/>
      <c r="D603" s="156" t="s">
        <v>1055</v>
      </c>
      <c r="E603" s="156" t="s">
        <v>1054</v>
      </c>
      <c r="F603" s="155"/>
      <c r="G603" s="157" t="n">
        <v>28.5</v>
      </c>
      <c r="H603" s="155"/>
      <c r="I603" s="155"/>
      <c r="J603" s="155"/>
      <c r="K603" s="146"/>
    </row>
    <row r="604">
      <c r="A604" s="154"/>
      <c r="B604" s="155"/>
      <c r="C604" s="155"/>
      <c r="D604" s="156" t="s">
        <v>1056</v>
      </c>
      <c r="E604" s="156" t="s">
        <v>1057</v>
      </c>
      <c r="F604" s="155"/>
      <c r="G604" s="157" t="n">
        <v>3.7</v>
      </c>
      <c r="H604" s="155"/>
      <c r="I604" s="155"/>
      <c r="J604" s="155"/>
      <c r="K604" s="146"/>
    </row>
    <row r="605">
      <c r="A605" s="147" t="s">
        <v>4</v>
      </c>
      <c r="B605" s="148" t="s">
        <v>84</v>
      </c>
      <c r="C605" s="148" t="s">
        <v>539</v>
      </c>
      <c r="D605" s="149" t="s">
        <v>1058</v>
      </c>
      <c r="E605" s="148"/>
      <c r="F605" s="150" t="s">
        <v>79</v>
      </c>
      <c r="G605" s="150" t="s">
        <v>79</v>
      </c>
      <c r="H605" s="150" t="s">
        <v>79</v>
      </c>
      <c r="I605" s="117">
        <f>SUM(I606:I698)</f>
      </c>
      <c r="J605" s="132" t="s">
        <v>4</v>
      </c>
      <c r="K605" s="146"/>
      <c r="AI605" s="132" t="s">
        <v>84</v>
      </c>
      <c r="AS605" s="117">
        <f>SUM(AJ606:AJ698)</f>
      </c>
      <c r="AT605" s="117">
        <f>SUM(AK606:AK698)</f>
      </c>
      <c r="AU605" s="117">
        <f>SUM(AL606:AL698)</f>
      </c>
    </row>
    <row r="606">
      <c r="A606" s="9" t="s">
        <v>1059</v>
      </c>
      <c r="B606" s="10" t="s">
        <v>84</v>
      </c>
      <c r="C606" s="10" t="s">
        <v>1060</v>
      </c>
      <c r="D606" s="14" t="s">
        <v>1061</v>
      </c>
      <c r="E606" s="10"/>
      <c r="F606" s="10" t="s">
        <v>145</v>
      </c>
      <c r="G606" s="111">
        <f>'Stavební rozpočet'!G606</f>
      </c>
      <c r="H606" s="111">
        <f>'Stavební rozpočet'!H606</f>
      </c>
      <c r="I606" s="111">
        <f>G606*H606</f>
      </c>
      <c r="J606" s="153" t="s">
        <v>134</v>
      </c>
      <c r="K606" s="146"/>
      <c r="Z606" s="111">
        <f>IF(AQ606="5",BJ606,0)</f>
      </c>
      <c r="AB606" s="111">
        <f>IF(AQ606="1",BH606,0)</f>
      </c>
      <c r="AC606" s="111">
        <f>IF(AQ606="1",BI606,0)</f>
      </c>
      <c r="AD606" s="111">
        <f>IF(AQ606="7",BH606,0)</f>
      </c>
      <c r="AE606" s="111">
        <f>IF(AQ606="7",BI606,0)</f>
      </c>
      <c r="AF606" s="111">
        <f>IF(AQ606="2",BH606,0)</f>
      </c>
      <c r="AG606" s="111">
        <f>IF(AQ606="2",BI606,0)</f>
      </c>
      <c r="AH606" s="111">
        <f>IF(AQ606="0",BJ606,0)</f>
      </c>
      <c r="AI606" s="132" t="s">
        <v>84</v>
      </c>
      <c r="AJ606" s="111">
        <f>IF(AN606=0,I606,0)</f>
      </c>
      <c r="AK606" s="111">
        <f>IF(AN606=12,I606,0)</f>
      </c>
      <c r="AL606" s="111">
        <f>IF(AN606=21,I606,0)</f>
      </c>
      <c r="AN606" s="111" t="n">
        <v>21</v>
      </c>
      <c r="AO606" s="111">
        <f>H606*0.744976281</f>
      </c>
      <c r="AP606" s="111">
        <f>H606*(1-0.744976281)</f>
      </c>
      <c r="AQ606" s="153" t="s">
        <v>130</v>
      </c>
      <c r="AV606" s="111">
        <f>AW606+AX606</f>
      </c>
      <c r="AW606" s="111">
        <f>G606*AO606</f>
      </c>
      <c r="AX606" s="111">
        <f>G606*AP606</f>
      </c>
      <c r="AY606" s="153" t="s">
        <v>1062</v>
      </c>
      <c r="AZ606" s="153" t="s">
        <v>975</v>
      </c>
      <c r="BA606" s="132" t="s">
        <v>137</v>
      </c>
      <c r="BC606" s="111">
        <f>AW606+AX606</f>
      </c>
      <c r="BD606" s="111">
        <f>H606/(100-BE606)*100</f>
      </c>
      <c r="BE606" s="111" t="n">
        <v>0</v>
      </c>
      <c r="BF606" s="111">
        <f>606</f>
      </c>
      <c r="BH606" s="111">
        <f>G606*AO606</f>
      </c>
      <c r="BI606" s="111">
        <f>G606*AP606</f>
      </c>
      <c r="BJ606" s="111">
        <f>G606*H606</f>
      </c>
      <c r="BK606" s="111"/>
      <c r="BL606" s="111" t="n">
        <v>62</v>
      </c>
      <c r="BW606" s="111" t="n">
        <v>21</v>
      </c>
      <c r="BX606" s="14" t="s">
        <v>1061</v>
      </c>
    </row>
    <row r="607" customHeight="true" ht="13.5">
      <c r="A607" s="159"/>
      <c r="C607" s="160" t="s">
        <v>146</v>
      </c>
      <c r="D607" s="161" t="s">
        <v>1063</v>
      </c>
      <c r="E607" s="156"/>
      <c r="F607" s="156"/>
      <c r="G607" s="156"/>
      <c r="H607" s="156"/>
      <c r="I607" s="156"/>
      <c r="J607" s="156"/>
      <c r="K607" s="163"/>
    </row>
    <row r="608">
      <c r="A608" s="154"/>
      <c r="B608" s="155"/>
      <c r="C608" s="155"/>
      <c r="D608" s="156" t="s">
        <v>1064</v>
      </c>
      <c r="E608" s="156" t="s">
        <v>846</v>
      </c>
      <c r="F608" s="155"/>
      <c r="G608" s="157" t="n">
        <v>3.65</v>
      </c>
      <c r="H608" s="155"/>
      <c r="I608" s="155"/>
      <c r="J608" s="155"/>
      <c r="K608" s="146"/>
    </row>
    <row r="609">
      <c r="A609" s="9" t="s">
        <v>1065</v>
      </c>
      <c r="B609" s="10" t="s">
        <v>84</v>
      </c>
      <c r="C609" s="10" t="s">
        <v>1066</v>
      </c>
      <c r="D609" s="14" t="s">
        <v>1067</v>
      </c>
      <c r="E609" s="10"/>
      <c r="F609" s="10" t="s">
        <v>145</v>
      </c>
      <c r="G609" s="111">
        <f>'Stavební rozpočet'!G609</f>
      </c>
      <c r="H609" s="111">
        <f>'Stavební rozpočet'!H609</f>
      </c>
      <c r="I609" s="111">
        <f>G609*H609</f>
      </c>
      <c r="J609" s="153" t="s">
        <v>134</v>
      </c>
      <c r="K609" s="146"/>
      <c r="Z609" s="111">
        <f>IF(AQ609="5",BJ609,0)</f>
      </c>
      <c r="AB609" s="111">
        <f>IF(AQ609="1",BH609,0)</f>
      </c>
      <c r="AC609" s="111">
        <f>IF(AQ609="1",BI609,0)</f>
      </c>
      <c r="AD609" s="111">
        <f>IF(AQ609="7",BH609,0)</f>
      </c>
      <c r="AE609" s="111">
        <f>IF(AQ609="7",BI609,0)</f>
      </c>
      <c r="AF609" s="111">
        <f>IF(AQ609="2",BH609,0)</f>
      </c>
      <c r="AG609" s="111">
        <f>IF(AQ609="2",BI609,0)</f>
      </c>
      <c r="AH609" s="111">
        <f>IF(AQ609="0",BJ609,0)</f>
      </c>
      <c r="AI609" s="132" t="s">
        <v>84</v>
      </c>
      <c r="AJ609" s="111">
        <f>IF(AN609=0,I609,0)</f>
      </c>
      <c r="AK609" s="111">
        <f>IF(AN609=12,I609,0)</f>
      </c>
      <c r="AL609" s="111">
        <f>IF(AN609=21,I609,0)</f>
      </c>
      <c r="AN609" s="111" t="n">
        <v>21</v>
      </c>
      <c r="AO609" s="111">
        <f>H609*0.074483772</f>
      </c>
      <c r="AP609" s="111">
        <f>H609*(1-0.074483772)</f>
      </c>
      <c r="AQ609" s="153" t="s">
        <v>130</v>
      </c>
      <c r="AV609" s="111">
        <f>AW609+AX609</f>
      </c>
      <c r="AW609" s="111">
        <f>G609*AO609</f>
      </c>
      <c r="AX609" s="111">
        <f>G609*AP609</f>
      </c>
      <c r="AY609" s="153" t="s">
        <v>1062</v>
      </c>
      <c r="AZ609" s="153" t="s">
        <v>975</v>
      </c>
      <c r="BA609" s="132" t="s">
        <v>137</v>
      </c>
      <c r="BC609" s="111">
        <f>AW609+AX609</f>
      </c>
      <c r="BD609" s="111">
        <f>H609/(100-BE609)*100</f>
      </c>
      <c r="BE609" s="111" t="n">
        <v>0</v>
      </c>
      <c r="BF609" s="111">
        <f>609</f>
      </c>
      <c r="BH609" s="111">
        <f>G609*AO609</f>
      </c>
      <c r="BI609" s="111">
        <f>G609*AP609</f>
      </c>
      <c r="BJ609" s="111">
        <f>G609*H609</f>
      </c>
      <c r="BK609" s="111"/>
      <c r="BL609" s="111" t="n">
        <v>62</v>
      </c>
      <c r="BW609" s="111" t="n">
        <v>21</v>
      </c>
      <c r="BX609" s="14" t="s">
        <v>1067</v>
      </c>
    </row>
    <row r="610">
      <c r="A610" s="154"/>
      <c r="B610" s="155"/>
      <c r="C610" s="155"/>
      <c r="D610" s="156" t="s">
        <v>1068</v>
      </c>
      <c r="E610" s="156" t="s">
        <v>1069</v>
      </c>
      <c r="F610" s="155"/>
      <c r="G610" s="157" t="n">
        <v>299.2</v>
      </c>
      <c r="H610" s="155"/>
      <c r="I610" s="155"/>
      <c r="J610" s="155"/>
      <c r="K610" s="146"/>
    </row>
    <row r="611">
      <c r="A611" s="154"/>
      <c r="B611" s="155"/>
      <c r="C611" s="155"/>
      <c r="D611" s="156" t="s">
        <v>1070</v>
      </c>
      <c r="E611" s="156" t="s">
        <v>1071</v>
      </c>
      <c r="F611" s="155"/>
      <c r="G611" s="157" t="n">
        <v>47.268</v>
      </c>
      <c r="H611" s="155"/>
      <c r="I611" s="155"/>
      <c r="J611" s="155"/>
      <c r="K611" s="146"/>
    </row>
    <row r="612">
      <c r="A612" s="154"/>
      <c r="B612" s="155"/>
      <c r="C612" s="155"/>
      <c r="D612" s="156" t="s">
        <v>1072</v>
      </c>
      <c r="E612" s="156" t="s">
        <v>1073</v>
      </c>
      <c r="F612" s="155"/>
      <c r="G612" s="157" t="n">
        <v>28.77</v>
      </c>
      <c r="H612" s="155"/>
      <c r="I612" s="155"/>
      <c r="J612" s="155"/>
      <c r="K612" s="146"/>
    </row>
    <row r="613">
      <c r="A613" s="154"/>
      <c r="B613" s="155"/>
      <c r="C613" s="155"/>
      <c r="D613" s="156" t="s">
        <v>1074</v>
      </c>
      <c r="E613" s="156" t="s">
        <v>1075</v>
      </c>
      <c r="F613" s="155"/>
      <c r="G613" s="157" t="n">
        <v>15.19</v>
      </c>
      <c r="H613" s="155"/>
      <c r="I613" s="155"/>
      <c r="J613" s="155"/>
      <c r="K613" s="146"/>
    </row>
    <row r="614">
      <c r="A614" s="154"/>
      <c r="B614" s="155"/>
      <c r="C614" s="155"/>
      <c r="D614" s="156" t="s">
        <v>1076</v>
      </c>
      <c r="E614" s="156" t="s">
        <v>1077</v>
      </c>
      <c r="F614" s="155"/>
      <c r="G614" s="157" t="n">
        <v>44.8</v>
      </c>
      <c r="H614" s="155"/>
      <c r="I614" s="155"/>
      <c r="J614" s="155"/>
      <c r="K614" s="146"/>
    </row>
    <row r="615">
      <c r="A615" s="9" t="s">
        <v>1078</v>
      </c>
      <c r="B615" s="10" t="s">
        <v>84</v>
      </c>
      <c r="C615" s="10" t="s">
        <v>1079</v>
      </c>
      <c r="D615" s="14" t="s">
        <v>1080</v>
      </c>
      <c r="E615" s="10"/>
      <c r="F615" s="10" t="s">
        <v>145</v>
      </c>
      <c r="G615" s="111">
        <f>'Stavební rozpočet'!G615</f>
      </c>
      <c r="H615" s="111">
        <f>'Stavební rozpočet'!H615</f>
      </c>
      <c r="I615" s="111">
        <f>G615*H615</f>
      </c>
      <c r="J615" s="153" t="s">
        <v>134</v>
      </c>
      <c r="K615" s="146"/>
      <c r="Z615" s="111">
        <f>IF(AQ615="5",BJ615,0)</f>
      </c>
      <c r="AB615" s="111">
        <f>IF(AQ615="1",BH615,0)</f>
      </c>
      <c r="AC615" s="111">
        <f>IF(AQ615="1",BI615,0)</f>
      </c>
      <c r="AD615" s="111">
        <f>IF(AQ615="7",BH615,0)</f>
      </c>
      <c r="AE615" s="111">
        <f>IF(AQ615="7",BI615,0)</f>
      </c>
      <c r="AF615" s="111">
        <f>IF(AQ615="2",BH615,0)</f>
      </c>
      <c r="AG615" s="111">
        <f>IF(AQ615="2",BI615,0)</f>
      </c>
      <c r="AH615" s="111">
        <f>IF(AQ615="0",BJ615,0)</f>
      </c>
      <c r="AI615" s="132" t="s">
        <v>84</v>
      </c>
      <c r="AJ615" s="111">
        <f>IF(AN615=0,I615,0)</f>
      </c>
      <c r="AK615" s="111">
        <f>IF(AN615=12,I615,0)</f>
      </c>
      <c r="AL615" s="111">
        <f>IF(AN615=21,I615,0)</f>
      </c>
      <c r="AN615" s="111" t="n">
        <v>21</v>
      </c>
      <c r="AO615" s="111">
        <f>H615*0.791056231</f>
      </c>
      <c r="AP615" s="111">
        <f>H615*(1-0.791056231)</f>
      </c>
      <c r="AQ615" s="153" t="s">
        <v>130</v>
      </c>
      <c r="AV615" s="111">
        <f>AW615+AX615</f>
      </c>
      <c r="AW615" s="111">
        <f>G615*AO615</f>
      </c>
      <c r="AX615" s="111">
        <f>G615*AP615</f>
      </c>
      <c r="AY615" s="153" t="s">
        <v>1062</v>
      </c>
      <c r="AZ615" s="153" t="s">
        <v>975</v>
      </c>
      <c r="BA615" s="132" t="s">
        <v>137</v>
      </c>
      <c r="BC615" s="111">
        <f>AW615+AX615</f>
      </c>
      <c r="BD615" s="111">
        <f>H615/(100-BE615)*100</f>
      </c>
      <c r="BE615" s="111" t="n">
        <v>0</v>
      </c>
      <c r="BF615" s="111">
        <f>615</f>
      </c>
      <c r="BH615" s="111">
        <f>G615*AO615</f>
      </c>
      <c r="BI615" s="111">
        <f>G615*AP615</f>
      </c>
      <c r="BJ615" s="111">
        <f>G615*H615</f>
      </c>
      <c r="BK615" s="111"/>
      <c r="BL615" s="111" t="n">
        <v>62</v>
      </c>
      <c r="BW615" s="111" t="n">
        <v>21</v>
      </c>
      <c r="BX615" s="14" t="s">
        <v>1080</v>
      </c>
    </row>
    <row r="616" customHeight="true" ht="13.5">
      <c r="A616" s="159"/>
      <c r="C616" s="160" t="s">
        <v>146</v>
      </c>
      <c r="D616" s="161" t="s">
        <v>1081</v>
      </c>
      <c r="E616" s="156"/>
      <c r="F616" s="156"/>
      <c r="G616" s="156"/>
      <c r="H616" s="156"/>
      <c r="I616" s="156"/>
      <c r="J616" s="156"/>
      <c r="K616" s="163"/>
    </row>
    <row r="617">
      <c r="A617" s="154"/>
      <c r="B617" s="155"/>
      <c r="C617" s="155"/>
      <c r="D617" s="156" t="s">
        <v>4</v>
      </c>
      <c r="E617" s="156" t="s">
        <v>1082</v>
      </c>
      <c r="F617" s="155"/>
      <c r="G617" s="157" t="n">
        <v>0</v>
      </c>
      <c r="H617" s="155"/>
      <c r="I617" s="155"/>
      <c r="J617" s="155"/>
      <c r="K617" s="146"/>
    </row>
    <row r="618">
      <c r="A618" s="154"/>
      <c r="B618" s="155"/>
      <c r="C618" s="155"/>
      <c r="D618" s="156" t="s">
        <v>1083</v>
      </c>
      <c r="E618" s="156" t="s">
        <v>1046</v>
      </c>
      <c r="F618" s="155"/>
      <c r="G618" s="157" t="n">
        <v>17.2325</v>
      </c>
      <c r="H618" s="155"/>
      <c r="I618" s="155"/>
      <c r="J618" s="155"/>
      <c r="K618" s="146"/>
    </row>
    <row r="619">
      <c r="A619" s="154"/>
      <c r="B619" s="155"/>
      <c r="C619" s="155"/>
      <c r="D619" s="156" t="s">
        <v>1084</v>
      </c>
      <c r="E619" s="156" t="s">
        <v>1048</v>
      </c>
      <c r="F619" s="155"/>
      <c r="G619" s="157" t="n">
        <v>57.19</v>
      </c>
      <c r="H619" s="155"/>
      <c r="I619" s="155"/>
      <c r="J619" s="155"/>
      <c r="K619" s="146"/>
    </row>
    <row r="620">
      <c r="A620" s="154"/>
      <c r="B620" s="155"/>
      <c r="C620" s="155"/>
      <c r="D620" s="156" t="s">
        <v>1085</v>
      </c>
      <c r="E620" s="156" t="s">
        <v>1050</v>
      </c>
      <c r="F620" s="155"/>
      <c r="G620" s="157" t="n">
        <v>23.72</v>
      </c>
      <c r="H620" s="155"/>
      <c r="I620" s="155"/>
      <c r="J620" s="155"/>
      <c r="K620" s="146"/>
    </row>
    <row r="621">
      <c r="A621" s="154"/>
      <c r="B621" s="155"/>
      <c r="C621" s="155"/>
      <c r="D621" s="156" t="s">
        <v>1086</v>
      </c>
      <c r="E621" s="156" t="s">
        <v>1054</v>
      </c>
      <c r="F621" s="155"/>
      <c r="G621" s="157" t="n">
        <v>2.56</v>
      </c>
      <c r="H621" s="155"/>
      <c r="I621" s="155"/>
      <c r="J621" s="155"/>
      <c r="K621" s="146"/>
    </row>
    <row r="622">
      <c r="A622" s="154"/>
      <c r="B622" s="155"/>
      <c r="C622" s="155"/>
      <c r="D622" s="156" t="s">
        <v>1087</v>
      </c>
      <c r="E622" s="156" t="s">
        <v>1088</v>
      </c>
      <c r="F622" s="155"/>
      <c r="G622" s="157" t="n">
        <v>25.2</v>
      </c>
      <c r="H622" s="155"/>
      <c r="I622" s="155"/>
      <c r="J622" s="155"/>
      <c r="K622" s="146"/>
    </row>
    <row r="623">
      <c r="A623" s="154"/>
      <c r="B623" s="155"/>
      <c r="C623" s="155"/>
      <c r="D623" s="156" t="s">
        <v>1089</v>
      </c>
      <c r="E623" s="156" t="s">
        <v>1090</v>
      </c>
      <c r="F623" s="155"/>
      <c r="G623" s="157" t="n">
        <v>6.435</v>
      </c>
      <c r="H623" s="155"/>
      <c r="I623" s="155"/>
      <c r="J623" s="155"/>
      <c r="K623" s="146"/>
    </row>
    <row r="624">
      <c r="A624" s="154"/>
      <c r="B624" s="155"/>
      <c r="C624" s="155"/>
      <c r="D624" s="156" t="s">
        <v>1091</v>
      </c>
      <c r="E624" s="156" t="s">
        <v>1092</v>
      </c>
      <c r="F624" s="155"/>
      <c r="G624" s="157" t="n">
        <v>16.32</v>
      </c>
      <c r="H624" s="155"/>
      <c r="I624" s="155"/>
      <c r="J624" s="155"/>
      <c r="K624" s="146"/>
    </row>
    <row r="625">
      <c r="A625" s="154"/>
      <c r="B625" s="155"/>
      <c r="C625" s="155"/>
      <c r="D625" s="156" t="s">
        <v>1093</v>
      </c>
      <c r="E625" s="156" t="s">
        <v>1094</v>
      </c>
      <c r="F625" s="155"/>
      <c r="G625" s="157" t="n">
        <v>5.135</v>
      </c>
      <c r="H625" s="155"/>
      <c r="I625" s="155"/>
      <c r="J625" s="155"/>
      <c r="K625" s="146"/>
    </row>
    <row r="626">
      <c r="A626" s="9" t="s">
        <v>1095</v>
      </c>
      <c r="B626" s="10" t="s">
        <v>84</v>
      </c>
      <c r="C626" s="10" t="s">
        <v>1096</v>
      </c>
      <c r="D626" s="14" t="s">
        <v>1097</v>
      </c>
      <c r="E626" s="10"/>
      <c r="F626" s="10" t="s">
        <v>145</v>
      </c>
      <c r="G626" s="111">
        <f>'Stavební rozpočet'!G626</f>
      </c>
      <c r="H626" s="111">
        <f>'Stavební rozpočet'!H626</f>
      </c>
      <c r="I626" s="111">
        <f>G626*H626</f>
      </c>
      <c r="J626" s="153" t="s">
        <v>134</v>
      </c>
      <c r="K626" s="146"/>
      <c r="Z626" s="111">
        <f>IF(AQ626="5",BJ626,0)</f>
      </c>
      <c r="AB626" s="111">
        <f>IF(AQ626="1",BH626,0)</f>
      </c>
      <c r="AC626" s="111">
        <f>IF(AQ626="1",BI626,0)</f>
      </c>
      <c r="AD626" s="111">
        <f>IF(AQ626="7",BH626,0)</f>
      </c>
      <c r="AE626" s="111">
        <f>IF(AQ626="7",BI626,0)</f>
      </c>
      <c r="AF626" s="111">
        <f>IF(AQ626="2",BH626,0)</f>
      </c>
      <c r="AG626" s="111">
        <f>IF(AQ626="2",BI626,0)</f>
      </c>
      <c r="AH626" s="111">
        <f>IF(AQ626="0",BJ626,0)</f>
      </c>
      <c r="AI626" s="132" t="s">
        <v>84</v>
      </c>
      <c r="AJ626" s="111">
        <f>IF(AN626=0,I626,0)</f>
      </c>
      <c r="AK626" s="111">
        <f>IF(AN626=12,I626,0)</f>
      </c>
      <c r="AL626" s="111">
        <f>IF(AN626=21,I626,0)</f>
      </c>
      <c r="AN626" s="111" t="n">
        <v>21</v>
      </c>
      <c r="AO626" s="111">
        <f>H626*0.705914439</f>
      </c>
      <c r="AP626" s="111">
        <f>H626*(1-0.705914439)</f>
      </c>
      <c r="AQ626" s="153" t="s">
        <v>130</v>
      </c>
      <c r="AV626" s="111">
        <f>AW626+AX626</f>
      </c>
      <c r="AW626" s="111">
        <f>G626*AO626</f>
      </c>
      <c r="AX626" s="111">
        <f>G626*AP626</f>
      </c>
      <c r="AY626" s="153" t="s">
        <v>1062</v>
      </c>
      <c r="AZ626" s="153" t="s">
        <v>975</v>
      </c>
      <c r="BA626" s="132" t="s">
        <v>137</v>
      </c>
      <c r="BC626" s="111">
        <f>AW626+AX626</f>
      </c>
      <c r="BD626" s="111">
        <f>H626/(100-BE626)*100</f>
      </c>
      <c r="BE626" s="111" t="n">
        <v>0</v>
      </c>
      <c r="BF626" s="111">
        <f>626</f>
      </c>
      <c r="BH626" s="111">
        <f>G626*AO626</f>
      </c>
      <c r="BI626" s="111">
        <f>G626*AP626</f>
      </c>
      <c r="BJ626" s="111">
        <f>G626*H626</f>
      </c>
      <c r="BK626" s="111"/>
      <c r="BL626" s="111" t="n">
        <v>62</v>
      </c>
      <c r="BW626" s="111" t="n">
        <v>21</v>
      </c>
      <c r="BX626" s="14" t="s">
        <v>1097</v>
      </c>
    </row>
    <row r="627" customHeight="true" ht="13.5">
      <c r="A627" s="159"/>
      <c r="C627" s="160" t="s">
        <v>146</v>
      </c>
      <c r="D627" s="161" t="s">
        <v>1098</v>
      </c>
      <c r="E627" s="156"/>
      <c r="F627" s="156"/>
      <c r="G627" s="156"/>
      <c r="H627" s="156"/>
      <c r="I627" s="156"/>
      <c r="J627" s="156"/>
      <c r="K627" s="163"/>
    </row>
    <row r="628">
      <c r="A628" s="154"/>
      <c r="B628" s="155"/>
      <c r="C628" s="155"/>
      <c r="D628" s="156" t="s">
        <v>1099</v>
      </c>
      <c r="E628" s="156" t="s">
        <v>1100</v>
      </c>
      <c r="F628" s="155"/>
      <c r="G628" s="157" t="n">
        <v>4.02</v>
      </c>
      <c r="H628" s="155"/>
      <c r="I628" s="155"/>
      <c r="J628" s="155"/>
      <c r="K628" s="146"/>
    </row>
    <row r="629">
      <c r="A629" s="9" t="s">
        <v>1101</v>
      </c>
      <c r="B629" s="10" t="s">
        <v>84</v>
      </c>
      <c r="C629" s="10" t="s">
        <v>1102</v>
      </c>
      <c r="D629" s="14" t="s">
        <v>1103</v>
      </c>
      <c r="E629" s="10"/>
      <c r="F629" s="10" t="s">
        <v>145</v>
      </c>
      <c r="G629" s="111">
        <f>'Stavební rozpočet'!G629</f>
      </c>
      <c r="H629" s="111">
        <f>'Stavební rozpočet'!H629</f>
      </c>
      <c r="I629" s="111">
        <f>G629*H629</f>
      </c>
      <c r="J629" s="153" t="s">
        <v>134</v>
      </c>
      <c r="K629" s="146"/>
      <c r="Z629" s="111">
        <f>IF(AQ629="5",BJ629,0)</f>
      </c>
      <c r="AB629" s="111">
        <f>IF(AQ629="1",BH629,0)</f>
      </c>
      <c r="AC629" s="111">
        <f>IF(AQ629="1",BI629,0)</f>
      </c>
      <c r="AD629" s="111">
        <f>IF(AQ629="7",BH629,0)</f>
      </c>
      <c r="AE629" s="111">
        <f>IF(AQ629="7",BI629,0)</f>
      </c>
      <c r="AF629" s="111">
        <f>IF(AQ629="2",BH629,0)</f>
      </c>
      <c r="AG629" s="111">
        <f>IF(AQ629="2",BI629,0)</f>
      </c>
      <c r="AH629" s="111">
        <f>IF(AQ629="0",BJ629,0)</f>
      </c>
      <c r="AI629" s="132" t="s">
        <v>84</v>
      </c>
      <c r="AJ629" s="111">
        <f>IF(AN629=0,I629,0)</f>
      </c>
      <c r="AK629" s="111">
        <f>IF(AN629=12,I629,0)</f>
      </c>
      <c r="AL629" s="111">
        <f>IF(AN629=21,I629,0)</f>
      </c>
      <c r="AN629" s="111" t="n">
        <v>21</v>
      </c>
      <c r="AO629" s="111">
        <f>H629*0.67397224</f>
      </c>
      <c r="AP629" s="111">
        <f>H629*(1-0.67397224)</f>
      </c>
      <c r="AQ629" s="153" t="s">
        <v>130</v>
      </c>
      <c r="AV629" s="111">
        <f>AW629+AX629</f>
      </c>
      <c r="AW629" s="111">
        <f>G629*AO629</f>
      </c>
      <c r="AX629" s="111">
        <f>G629*AP629</f>
      </c>
      <c r="AY629" s="153" t="s">
        <v>1062</v>
      </c>
      <c r="AZ629" s="153" t="s">
        <v>975</v>
      </c>
      <c r="BA629" s="132" t="s">
        <v>137</v>
      </c>
      <c r="BC629" s="111">
        <f>AW629+AX629</f>
      </c>
      <c r="BD629" s="111">
        <f>H629/(100-BE629)*100</f>
      </c>
      <c r="BE629" s="111" t="n">
        <v>0</v>
      </c>
      <c r="BF629" s="111">
        <f>629</f>
      </c>
      <c r="BH629" s="111">
        <f>G629*AO629</f>
      </c>
      <c r="BI629" s="111">
        <f>G629*AP629</f>
      </c>
      <c r="BJ629" s="111">
        <f>G629*H629</f>
      </c>
      <c r="BK629" s="111"/>
      <c r="BL629" s="111" t="n">
        <v>62</v>
      </c>
      <c r="BW629" s="111" t="n">
        <v>21</v>
      </c>
      <c r="BX629" s="14" t="s">
        <v>1103</v>
      </c>
    </row>
    <row r="630" customHeight="true" ht="13.5">
      <c r="A630" s="159"/>
      <c r="C630" s="160" t="s">
        <v>146</v>
      </c>
      <c r="D630" s="161" t="s">
        <v>1104</v>
      </c>
      <c r="E630" s="156"/>
      <c r="F630" s="156"/>
      <c r="G630" s="156"/>
      <c r="H630" s="156"/>
      <c r="I630" s="156"/>
      <c r="J630" s="156"/>
      <c r="K630" s="163"/>
    </row>
    <row r="631">
      <c r="A631" s="154"/>
      <c r="B631" s="155"/>
      <c r="C631" s="155"/>
      <c r="D631" s="156" t="s">
        <v>1105</v>
      </c>
      <c r="E631" s="156" t="s">
        <v>1100</v>
      </c>
      <c r="F631" s="155"/>
      <c r="G631" s="157" t="n">
        <v>15.745</v>
      </c>
      <c r="H631" s="155"/>
      <c r="I631" s="155"/>
      <c r="J631" s="155"/>
      <c r="K631" s="146"/>
    </row>
    <row r="632">
      <c r="A632" s="154"/>
      <c r="B632" s="155"/>
      <c r="C632" s="155"/>
      <c r="D632" s="156" t="s">
        <v>1106</v>
      </c>
      <c r="E632" s="156" t="s">
        <v>1107</v>
      </c>
      <c r="F632" s="155"/>
      <c r="G632" s="157" t="n">
        <v>-5.58</v>
      </c>
      <c r="H632" s="155"/>
      <c r="I632" s="155"/>
      <c r="J632" s="155"/>
      <c r="K632" s="146"/>
    </row>
    <row r="633">
      <c r="A633" s="154"/>
      <c r="B633" s="155"/>
      <c r="C633" s="155"/>
      <c r="D633" s="156" t="s">
        <v>1074</v>
      </c>
      <c r="E633" s="156" t="s">
        <v>1075</v>
      </c>
      <c r="F633" s="155"/>
      <c r="G633" s="157" t="n">
        <v>15.19</v>
      </c>
      <c r="H633" s="155"/>
      <c r="I633" s="155"/>
      <c r="J633" s="155"/>
      <c r="K633" s="146"/>
    </row>
    <row r="634">
      <c r="A634" s="154"/>
      <c r="B634" s="155"/>
      <c r="C634" s="155"/>
      <c r="D634" s="156" t="s">
        <v>1108</v>
      </c>
      <c r="E634" s="156" t="s">
        <v>1109</v>
      </c>
      <c r="F634" s="155"/>
      <c r="G634" s="157" t="n">
        <v>12.3</v>
      </c>
      <c r="H634" s="155"/>
      <c r="I634" s="155"/>
      <c r="J634" s="155"/>
      <c r="K634" s="146"/>
    </row>
    <row r="635">
      <c r="A635" s="154"/>
      <c r="B635" s="155"/>
      <c r="C635" s="155"/>
      <c r="D635" s="156" t="s">
        <v>1110</v>
      </c>
      <c r="E635" s="156" t="s">
        <v>1111</v>
      </c>
      <c r="F635" s="155"/>
      <c r="G635" s="157" t="n">
        <v>-4.02</v>
      </c>
      <c r="H635" s="155"/>
      <c r="I635" s="155"/>
      <c r="J635" s="155"/>
      <c r="K635" s="146"/>
    </row>
    <row r="636">
      <c r="A636" s="9" t="s">
        <v>1112</v>
      </c>
      <c r="B636" s="10" t="s">
        <v>84</v>
      </c>
      <c r="C636" s="10" t="s">
        <v>1113</v>
      </c>
      <c r="D636" s="14" t="s">
        <v>1114</v>
      </c>
      <c r="E636" s="10"/>
      <c r="F636" s="10" t="s">
        <v>145</v>
      </c>
      <c r="G636" s="111">
        <f>'Stavební rozpočet'!G636</f>
      </c>
      <c r="H636" s="111">
        <f>'Stavební rozpočet'!H636</f>
      </c>
      <c r="I636" s="111">
        <f>G636*H636</f>
      </c>
      <c r="J636" s="153" t="s">
        <v>134</v>
      </c>
      <c r="K636" s="146"/>
      <c r="Z636" s="111">
        <f>IF(AQ636="5",BJ636,0)</f>
      </c>
      <c r="AB636" s="111">
        <f>IF(AQ636="1",BH636,0)</f>
      </c>
      <c r="AC636" s="111">
        <f>IF(AQ636="1",BI636,0)</f>
      </c>
      <c r="AD636" s="111">
        <f>IF(AQ636="7",BH636,0)</f>
      </c>
      <c r="AE636" s="111">
        <f>IF(AQ636="7",BI636,0)</f>
      </c>
      <c r="AF636" s="111">
        <f>IF(AQ636="2",BH636,0)</f>
      </c>
      <c r="AG636" s="111">
        <f>IF(AQ636="2",BI636,0)</f>
      </c>
      <c r="AH636" s="111">
        <f>IF(AQ636="0",BJ636,0)</f>
      </c>
      <c r="AI636" s="132" t="s">
        <v>84</v>
      </c>
      <c r="AJ636" s="111">
        <f>IF(AN636=0,I636,0)</f>
      </c>
      <c r="AK636" s="111">
        <f>IF(AN636=12,I636,0)</f>
      </c>
      <c r="AL636" s="111">
        <f>IF(AN636=21,I636,0)</f>
      </c>
      <c r="AN636" s="111" t="n">
        <v>21</v>
      </c>
      <c r="AO636" s="111">
        <f>H636*0.722652243</f>
      </c>
      <c r="AP636" s="111">
        <f>H636*(1-0.722652243)</f>
      </c>
      <c r="AQ636" s="153" t="s">
        <v>130</v>
      </c>
      <c r="AV636" s="111">
        <f>AW636+AX636</f>
      </c>
      <c r="AW636" s="111">
        <f>G636*AO636</f>
      </c>
      <c r="AX636" s="111">
        <f>G636*AP636</f>
      </c>
      <c r="AY636" s="153" t="s">
        <v>1062</v>
      </c>
      <c r="AZ636" s="153" t="s">
        <v>975</v>
      </c>
      <c r="BA636" s="132" t="s">
        <v>137</v>
      </c>
      <c r="BC636" s="111">
        <f>AW636+AX636</f>
      </c>
      <c r="BD636" s="111">
        <f>H636/(100-BE636)*100</f>
      </c>
      <c r="BE636" s="111" t="n">
        <v>0</v>
      </c>
      <c r="BF636" s="111">
        <f>636</f>
      </c>
      <c r="BH636" s="111">
        <f>G636*AO636</f>
      </c>
      <c r="BI636" s="111">
        <f>G636*AP636</f>
      </c>
      <c r="BJ636" s="111">
        <f>G636*H636</f>
      </c>
      <c r="BK636" s="111"/>
      <c r="BL636" s="111" t="n">
        <v>62</v>
      </c>
      <c r="BW636" s="111" t="n">
        <v>21</v>
      </c>
      <c r="BX636" s="14" t="s">
        <v>1114</v>
      </c>
    </row>
    <row r="637" customHeight="true" ht="13.5">
      <c r="A637" s="159"/>
      <c r="C637" s="160" t="s">
        <v>146</v>
      </c>
      <c r="D637" s="161" t="s">
        <v>1104</v>
      </c>
      <c r="E637" s="156"/>
      <c r="F637" s="156"/>
      <c r="G637" s="156"/>
      <c r="H637" s="156"/>
      <c r="I637" s="156"/>
      <c r="J637" s="156"/>
      <c r="K637" s="163"/>
    </row>
    <row r="638">
      <c r="A638" s="154"/>
      <c r="B638" s="155"/>
      <c r="C638" s="155"/>
      <c r="D638" s="156" t="s">
        <v>4</v>
      </c>
      <c r="E638" s="156" t="s">
        <v>1115</v>
      </c>
      <c r="F638" s="155"/>
      <c r="G638" s="157" t="n">
        <v>0</v>
      </c>
      <c r="H638" s="155"/>
      <c r="I638" s="155"/>
      <c r="J638" s="155"/>
      <c r="K638" s="146"/>
    </row>
    <row r="639">
      <c r="A639" s="154"/>
      <c r="B639" s="155"/>
      <c r="C639" s="155"/>
      <c r="D639" s="156" t="s">
        <v>1116</v>
      </c>
      <c r="E639" s="156" t="s">
        <v>1046</v>
      </c>
      <c r="F639" s="155"/>
      <c r="G639" s="157" t="n">
        <v>17.82</v>
      </c>
      <c r="H639" s="155"/>
      <c r="I639" s="155"/>
      <c r="J639" s="155"/>
      <c r="K639" s="146"/>
    </row>
    <row r="640">
      <c r="A640" s="154"/>
      <c r="B640" s="155"/>
      <c r="C640" s="155"/>
      <c r="D640" s="156" t="s">
        <v>1117</v>
      </c>
      <c r="E640" s="156" t="s">
        <v>1048</v>
      </c>
      <c r="F640" s="155"/>
      <c r="G640" s="157" t="n">
        <v>30.074</v>
      </c>
      <c r="H640" s="155"/>
      <c r="I640" s="155"/>
      <c r="J640" s="155"/>
      <c r="K640" s="146"/>
    </row>
    <row r="641">
      <c r="A641" s="154"/>
      <c r="B641" s="155"/>
      <c r="C641" s="155"/>
      <c r="D641" s="156" t="s">
        <v>1118</v>
      </c>
      <c r="E641" s="156" t="s">
        <v>1050</v>
      </c>
      <c r="F641" s="155"/>
      <c r="G641" s="157" t="n">
        <v>21.057</v>
      </c>
      <c r="H641" s="155"/>
      <c r="I641" s="155"/>
      <c r="J641" s="155"/>
      <c r="K641" s="146"/>
    </row>
    <row r="642">
      <c r="A642" s="154"/>
      <c r="B642" s="155"/>
      <c r="C642" s="155"/>
      <c r="D642" s="156" t="s">
        <v>1119</v>
      </c>
      <c r="E642" s="156" t="s">
        <v>1120</v>
      </c>
      <c r="F642" s="155"/>
      <c r="G642" s="157" t="n">
        <v>8.504</v>
      </c>
      <c r="H642" s="155"/>
      <c r="I642" s="155"/>
      <c r="J642" s="155"/>
      <c r="K642" s="146"/>
    </row>
    <row r="643">
      <c r="A643" s="154"/>
      <c r="B643" s="155"/>
      <c r="C643" s="155"/>
      <c r="D643" s="156" t="s">
        <v>1121</v>
      </c>
      <c r="E643" s="156" t="s">
        <v>1054</v>
      </c>
      <c r="F643" s="155"/>
      <c r="G643" s="157" t="n">
        <v>1.788</v>
      </c>
      <c r="H643" s="155"/>
      <c r="I643" s="155"/>
      <c r="J643" s="155"/>
      <c r="K643" s="146"/>
    </row>
    <row r="644">
      <c r="A644" s="154"/>
      <c r="B644" s="155"/>
      <c r="C644" s="155"/>
      <c r="D644" s="156" t="s">
        <v>1122</v>
      </c>
      <c r="E644" s="156" t="s">
        <v>1123</v>
      </c>
      <c r="F644" s="155"/>
      <c r="G644" s="157" t="n">
        <v>8.744</v>
      </c>
      <c r="H644" s="155"/>
      <c r="I644" s="155"/>
      <c r="J644" s="155"/>
      <c r="K644" s="146"/>
    </row>
    <row r="645">
      <c r="A645" s="9" t="s">
        <v>1124</v>
      </c>
      <c r="B645" s="10" t="s">
        <v>84</v>
      </c>
      <c r="C645" s="10" t="s">
        <v>1125</v>
      </c>
      <c r="D645" s="14" t="s">
        <v>1126</v>
      </c>
      <c r="E645" s="10"/>
      <c r="F645" s="10" t="s">
        <v>145</v>
      </c>
      <c r="G645" s="111">
        <f>'Stavební rozpočet'!G645</f>
      </c>
      <c r="H645" s="111">
        <f>'Stavební rozpočet'!H645</f>
      </c>
      <c r="I645" s="111">
        <f>G645*H645</f>
      </c>
      <c r="J645" s="153" t="s">
        <v>134</v>
      </c>
      <c r="K645" s="146"/>
      <c r="Z645" s="111">
        <f>IF(AQ645="5",BJ645,0)</f>
      </c>
      <c r="AB645" s="111">
        <f>IF(AQ645="1",BH645,0)</f>
      </c>
      <c r="AC645" s="111">
        <f>IF(AQ645="1",BI645,0)</f>
      </c>
      <c r="AD645" s="111">
        <f>IF(AQ645="7",BH645,0)</f>
      </c>
      <c r="AE645" s="111">
        <f>IF(AQ645="7",BI645,0)</f>
      </c>
      <c r="AF645" s="111">
        <f>IF(AQ645="2",BH645,0)</f>
      </c>
      <c r="AG645" s="111">
        <f>IF(AQ645="2",BI645,0)</f>
      </c>
      <c r="AH645" s="111">
        <f>IF(AQ645="0",BJ645,0)</f>
      </c>
      <c r="AI645" s="132" t="s">
        <v>84</v>
      </c>
      <c r="AJ645" s="111">
        <f>IF(AN645=0,I645,0)</f>
      </c>
      <c r="AK645" s="111">
        <f>IF(AN645=12,I645,0)</f>
      </c>
      <c r="AL645" s="111">
        <f>IF(AN645=21,I645,0)</f>
      </c>
      <c r="AN645" s="111" t="n">
        <v>21</v>
      </c>
      <c r="AO645" s="111">
        <f>H645*0.703326949</f>
      </c>
      <c r="AP645" s="111">
        <f>H645*(1-0.703326949)</f>
      </c>
      <c r="AQ645" s="153" t="s">
        <v>130</v>
      </c>
      <c r="AV645" s="111">
        <f>AW645+AX645</f>
      </c>
      <c r="AW645" s="111">
        <f>G645*AO645</f>
      </c>
      <c r="AX645" s="111">
        <f>G645*AP645</f>
      </c>
      <c r="AY645" s="153" t="s">
        <v>1062</v>
      </c>
      <c r="AZ645" s="153" t="s">
        <v>975</v>
      </c>
      <c r="BA645" s="132" t="s">
        <v>137</v>
      </c>
      <c r="BC645" s="111">
        <f>AW645+AX645</f>
      </c>
      <c r="BD645" s="111">
        <f>H645/(100-BE645)*100</f>
      </c>
      <c r="BE645" s="111" t="n">
        <v>0</v>
      </c>
      <c r="BF645" s="111">
        <f>645</f>
      </c>
      <c r="BH645" s="111">
        <f>G645*AO645</f>
      </c>
      <c r="BI645" s="111">
        <f>G645*AP645</f>
      </c>
      <c r="BJ645" s="111">
        <f>G645*H645</f>
      </c>
      <c r="BK645" s="111"/>
      <c r="BL645" s="111" t="n">
        <v>62</v>
      </c>
      <c r="BW645" s="111" t="n">
        <v>21</v>
      </c>
      <c r="BX645" s="14" t="s">
        <v>1126</v>
      </c>
    </row>
    <row r="646" customHeight="true" ht="13.5">
      <c r="A646" s="159"/>
      <c r="C646" s="160" t="s">
        <v>146</v>
      </c>
      <c r="D646" s="161" t="s">
        <v>1127</v>
      </c>
      <c r="E646" s="156"/>
      <c r="F646" s="156"/>
      <c r="G646" s="156"/>
      <c r="H646" s="156"/>
      <c r="I646" s="156"/>
      <c r="J646" s="156"/>
      <c r="K646" s="163"/>
    </row>
    <row r="647">
      <c r="A647" s="154"/>
      <c r="B647" s="155"/>
      <c r="C647" s="155"/>
      <c r="D647" s="156" t="s">
        <v>4</v>
      </c>
      <c r="E647" s="156" t="s">
        <v>1128</v>
      </c>
      <c r="F647" s="155"/>
      <c r="G647" s="157" t="n">
        <v>0</v>
      </c>
      <c r="H647" s="155"/>
      <c r="I647" s="155"/>
      <c r="J647" s="155"/>
      <c r="K647" s="146"/>
    </row>
    <row r="648">
      <c r="A648" s="154"/>
      <c r="B648" s="155"/>
      <c r="C648" s="155"/>
      <c r="D648" s="156" t="s">
        <v>1129</v>
      </c>
      <c r="E648" s="156" t="s">
        <v>1046</v>
      </c>
      <c r="F648" s="155"/>
      <c r="G648" s="157" t="n">
        <v>46.322</v>
      </c>
      <c r="H648" s="155"/>
      <c r="I648" s="155"/>
      <c r="J648" s="155"/>
      <c r="K648" s="146"/>
    </row>
    <row r="649">
      <c r="A649" s="154"/>
      <c r="B649" s="155"/>
      <c r="C649" s="155"/>
      <c r="D649" s="156" t="s">
        <v>1130</v>
      </c>
      <c r="E649" s="156" t="s">
        <v>4</v>
      </c>
      <c r="F649" s="155"/>
      <c r="G649" s="157" t="n">
        <v>18.4245</v>
      </c>
      <c r="H649" s="155"/>
      <c r="I649" s="155"/>
      <c r="J649" s="155"/>
      <c r="K649" s="146"/>
    </row>
    <row r="650">
      <c r="A650" s="154"/>
      <c r="B650" s="155"/>
      <c r="C650" s="155"/>
      <c r="D650" s="156" t="s">
        <v>1131</v>
      </c>
      <c r="E650" s="156" t="s">
        <v>1048</v>
      </c>
      <c r="F650" s="155"/>
      <c r="G650" s="157" t="n">
        <v>11.031</v>
      </c>
      <c r="H650" s="155"/>
      <c r="I650" s="155"/>
      <c r="J650" s="155"/>
      <c r="K650" s="146"/>
    </row>
    <row r="651">
      <c r="A651" s="154"/>
      <c r="B651" s="155"/>
      <c r="C651" s="155"/>
      <c r="D651" s="156" t="s">
        <v>1132</v>
      </c>
      <c r="E651" s="156" t="s">
        <v>1050</v>
      </c>
      <c r="F651" s="155"/>
      <c r="G651" s="157" t="n">
        <v>38.1255</v>
      </c>
      <c r="H651" s="155"/>
      <c r="I651" s="155"/>
      <c r="J651" s="155"/>
      <c r="K651" s="146"/>
    </row>
    <row r="652">
      <c r="A652" s="154"/>
      <c r="B652" s="155"/>
      <c r="C652" s="155"/>
      <c r="D652" s="156" t="s">
        <v>1133</v>
      </c>
      <c r="E652" s="156" t="s">
        <v>1134</v>
      </c>
      <c r="F652" s="155"/>
      <c r="G652" s="157" t="n">
        <v>9.9</v>
      </c>
      <c r="H652" s="155"/>
      <c r="I652" s="155"/>
      <c r="J652" s="155"/>
      <c r="K652" s="146"/>
    </row>
    <row r="653">
      <c r="A653" s="154"/>
      <c r="B653" s="155"/>
      <c r="C653" s="155"/>
      <c r="D653" s="156" t="s">
        <v>1135</v>
      </c>
      <c r="E653" s="156" t="s">
        <v>1054</v>
      </c>
      <c r="F653" s="155"/>
      <c r="G653" s="157" t="n">
        <v>115.0824</v>
      </c>
      <c r="H653" s="155"/>
      <c r="I653" s="155"/>
      <c r="J653" s="155"/>
      <c r="K653" s="146"/>
    </row>
    <row r="654">
      <c r="A654" s="154"/>
      <c r="B654" s="155"/>
      <c r="C654" s="155"/>
      <c r="D654" s="156" t="s">
        <v>1136</v>
      </c>
      <c r="E654" s="156" t="s">
        <v>1137</v>
      </c>
      <c r="F654" s="155"/>
      <c r="G654" s="157" t="n">
        <v>-8.8725</v>
      </c>
      <c r="H654" s="155"/>
      <c r="I654" s="155"/>
      <c r="J654" s="155"/>
      <c r="K654" s="146"/>
    </row>
    <row r="655">
      <c r="A655" s="154"/>
      <c r="B655" s="155"/>
      <c r="C655" s="155"/>
      <c r="D655" s="156" t="s">
        <v>1138</v>
      </c>
      <c r="E655" s="156" t="s">
        <v>1139</v>
      </c>
      <c r="F655" s="155"/>
      <c r="G655" s="157" t="n">
        <v>-14.625</v>
      </c>
      <c r="H655" s="155"/>
      <c r="I655" s="155"/>
      <c r="J655" s="155"/>
      <c r="K655" s="146"/>
    </row>
    <row r="656">
      <c r="A656" s="154"/>
      <c r="B656" s="155"/>
      <c r="C656" s="155"/>
      <c r="D656" s="156" t="s">
        <v>1140</v>
      </c>
      <c r="E656" s="156" t="s">
        <v>1141</v>
      </c>
      <c r="F656" s="155"/>
      <c r="G656" s="157" t="n">
        <v>5.902</v>
      </c>
      <c r="H656" s="155"/>
      <c r="I656" s="155"/>
      <c r="J656" s="155"/>
      <c r="K656" s="146"/>
    </row>
    <row r="657">
      <c r="A657" s="9" t="s">
        <v>1142</v>
      </c>
      <c r="B657" s="10" t="s">
        <v>84</v>
      </c>
      <c r="C657" s="10" t="s">
        <v>1143</v>
      </c>
      <c r="D657" s="14" t="s">
        <v>1144</v>
      </c>
      <c r="E657" s="10"/>
      <c r="F657" s="10" t="s">
        <v>145</v>
      </c>
      <c r="G657" s="111">
        <f>'Stavební rozpočet'!G657</f>
      </c>
      <c r="H657" s="111">
        <f>'Stavební rozpočet'!H657</f>
      </c>
      <c r="I657" s="111">
        <f>G657*H657</f>
      </c>
      <c r="J657" s="153" t="s">
        <v>134</v>
      </c>
      <c r="K657" s="146"/>
      <c r="Z657" s="111">
        <f>IF(AQ657="5",BJ657,0)</f>
      </c>
      <c r="AB657" s="111">
        <f>IF(AQ657="1",BH657,0)</f>
      </c>
      <c r="AC657" s="111">
        <f>IF(AQ657="1",BI657,0)</f>
      </c>
      <c r="AD657" s="111">
        <f>IF(AQ657="7",BH657,0)</f>
      </c>
      <c r="AE657" s="111">
        <f>IF(AQ657="7",BI657,0)</f>
      </c>
      <c r="AF657" s="111">
        <f>IF(AQ657="2",BH657,0)</f>
      </c>
      <c r="AG657" s="111">
        <f>IF(AQ657="2",BI657,0)</f>
      </c>
      <c r="AH657" s="111">
        <f>IF(AQ657="0",BJ657,0)</f>
      </c>
      <c r="AI657" s="132" t="s">
        <v>84</v>
      </c>
      <c r="AJ657" s="111">
        <f>IF(AN657=0,I657,0)</f>
      </c>
      <c r="AK657" s="111">
        <f>IF(AN657=12,I657,0)</f>
      </c>
      <c r="AL657" s="111">
        <f>IF(AN657=21,I657,0)</f>
      </c>
      <c r="AN657" s="111" t="n">
        <v>21</v>
      </c>
      <c r="AO657" s="111">
        <f>H657*0</f>
      </c>
      <c r="AP657" s="111">
        <f>H657*(1-0)</f>
      </c>
      <c r="AQ657" s="153" t="s">
        <v>130</v>
      </c>
      <c r="AV657" s="111">
        <f>AW657+AX657</f>
      </c>
      <c r="AW657" s="111">
        <f>G657*AO657</f>
      </c>
      <c r="AX657" s="111">
        <f>G657*AP657</f>
      </c>
      <c r="AY657" s="153" t="s">
        <v>1062</v>
      </c>
      <c r="AZ657" s="153" t="s">
        <v>975</v>
      </c>
      <c r="BA657" s="132" t="s">
        <v>137</v>
      </c>
      <c r="BC657" s="111">
        <f>AW657+AX657</f>
      </c>
      <c r="BD657" s="111">
        <f>H657/(100-BE657)*100</f>
      </c>
      <c r="BE657" s="111" t="n">
        <v>0</v>
      </c>
      <c r="BF657" s="111">
        <f>657</f>
      </c>
      <c r="BH657" s="111">
        <f>G657*AO657</f>
      </c>
      <c r="BI657" s="111">
        <f>G657*AP657</f>
      </c>
      <c r="BJ657" s="111">
        <f>G657*H657</f>
      </c>
      <c r="BK657" s="111"/>
      <c r="BL657" s="111" t="n">
        <v>62</v>
      </c>
      <c r="BW657" s="111" t="n">
        <v>21</v>
      </c>
      <c r="BX657" s="14" t="s">
        <v>1144</v>
      </c>
    </row>
    <row r="658">
      <c r="A658" s="154"/>
      <c r="B658" s="155"/>
      <c r="C658" s="155"/>
      <c r="D658" s="156" t="s">
        <v>1133</v>
      </c>
      <c r="E658" s="156" t="s">
        <v>1134</v>
      </c>
      <c r="F658" s="155"/>
      <c r="G658" s="157" t="n">
        <v>9.9</v>
      </c>
      <c r="H658" s="155"/>
      <c r="I658" s="155"/>
      <c r="J658" s="155"/>
      <c r="K658" s="146"/>
    </row>
    <row r="659">
      <c r="A659" s="9" t="s">
        <v>1145</v>
      </c>
      <c r="B659" s="10" t="s">
        <v>84</v>
      </c>
      <c r="C659" s="10" t="s">
        <v>1146</v>
      </c>
      <c r="D659" s="14" t="s">
        <v>1147</v>
      </c>
      <c r="E659" s="10"/>
      <c r="F659" s="10" t="s">
        <v>145</v>
      </c>
      <c r="G659" s="111">
        <f>'Stavební rozpočet'!G659</f>
      </c>
      <c r="H659" s="111">
        <f>'Stavební rozpočet'!H659</f>
      </c>
      <c r="I659" s="111">
        <f>G659*H659</f>
      </c>
      <c r="J659" s="153" t="s">
        <v>134</v>
      </c>
      <c r="K659" s="146"/>
      <c r="Z659" s="111">
        <f>IF(AQ659="5",BJ659,0)</f>
      </c>
      <c r="AB659" s="111">
        <f>IF(AQ659="1",BH659,0)</f>
      </c>
      <c r="AC659" s="111">
        <f>IF(AQ659="1",BI659,0)</f>
      </c>
      <c r="AD659" s="111">
        <f>IF(AQ659="7",BH659,0)</f>
      </c>
      <c r="AE659" s="111">
        <f>IF(AQ659="7",BI659,0)</f>
      </c>
      <c r="AF659" s="111">
        <f>IF(AQ659="2",BH659,0)</f>
      </c>
      <c r="AG659" s="111">
        <f>IF(AQ659="2",BI659,0)</f>
      </c>
      <c r="AH659" s="111">
        <f>IF(AQ659="0",BJ659,0)</f>
      </c>
      <c r="AI659" s="132" t="s">
        <v>84</v>
      </c>
      <c r="AJ659" s="111">
        <f>IF(AN659=0,I659,0)</f>
      </c>
      <c r="AK659" s="111">
        <f>IF(AN659=12,I659,0)</f>
      </c>
      <c r="AL659" s="111">
        <f>IF(AN659=21,I659,0)</f>
      </c>
      <c r="AN659" s="111" t="n">
        <v>21</v>
      </c>
      <c r="AO659" s="111">
        <f>H659*0.689365924</f>
      </c>
      <c r="AP659" s="111">
        <f>H659*(1-0.689365924)</f>
      </c>
      <c r="AQ659" s="153" t="s">
        <v>130</v>
      </c>
      <c r="AV659" s="111">
        <f>AW659+AX659</f>
      </c>
      <c r="AW659" s="111">
        <f>G659*AO659</f>
      </c>
      <c r="AX659" s="111">
        <f>G659*AP659</f>
      </c>
      <c r="AY659" s="153" t="s">
        <v>1062</v>
      </c>
      <c r="AZ659" s="153" t="s">
        <v>975</v>
      </c>
      <c r="BA659" s="132" t="s">
        <v>137</v>
      </c>
      <c r="BC659" s="111">
        <f>AW659+AX659</f>
      </c>
      <c r="BD659" s="111">
        <f>H659/(100-BE659)*100</f>
      </c>
      <c r="BE659" s="111" t="n">
        <v>0</v>
      </c>
      <c r="BF659" s="111">
        <f>659</f>
      </c>
      <c r="BH659" s="111">
        <f>G659*AO659</f>
      </c>
      <c r="BI659" s="111">
        <f>G659*AP659</f>
      </c>
      <c r="BJ659" s="111">
        <f>G659*H659</f>
      </c>
      <c r="BK659" s="111"/>
      <c r="BL659" s="111" t="n">
        <v>62</v>
      </c>
      <c r="BW659" s="111" t="n">
        <v>21</v>
      </c>
      <c r="BX659" s="14" t="s">
        <v>1147</v>
      </c>
    </row>
    <row r="660" customHeight="true" ht="13.5">
      <c r="A660" s="159"/>
      <c r="C660" s="160" t="s">
        <v>146</v>
      </c>
      <c r="D660" s="161" t="s">
        <v>1127</v>
      </c>
      <c r="E660" s="156"/>
      <c r="F660" s="156"/>
      <c r="G660" s="156"/>
      <c r="H660" s="156"/>
      <c r="I660" s="156"/>
      <c r="J660" s="156"/>
      <c r="K660" s="163"/>
    </row>
    <row r="661">
      <c r="A661" s="154"/>
      <c r="B661" s="155"/>
      <c r="C661" s="155"/>
      <c r="D661" s="156" t="s">
        <v>1148</v>
      </c>
      <c r="E661" s="156" t="s">
        <v>1149</v>
      </c>
      <c r="F661" s="155"/>
      <c r="G661" s="157" t="n">
        <v>34</v>
      </c>
      <c r="H661" s="155"/>
      <c r="I661" s="155"/>
      <c r="J661" s="155"/>
      <c r="K661" s="146"/>
    </row>
    <row r="662">
      <c r="A662" s="9" t="s">
        <v>1150</v>
      </c>
      <c r="B662" s="10" t="s">
        <v>84</v>
      </c>
      <c r="C662" s="10" t="s">
        <v>1151</v>
      </c>
      <c r="D662" s="14" t="s">
        <v>1152</v>
      </c>
      <c r="E662" s="10"/>
      <c r="F662" s="10" t="s">
        <v>145</v>
      </c>
      <c r="G662" s="111">
        <f>'Stavební rozpočet'!G662</f>
      </c>
      <c r="H662" s="111">
        <f>'Stavební rozpočet'!H662</f>
      </c>
      <c r="I662" s="111">
        <f>G662*H662</f>
      </c>
      <c r="J662" s="153" t="s">
        <v>134</v>
      </c>
      <c r="K662" s="146"/>
      <c r="Z662" s="111">
        <f>IF(AQ662="5",BJ662,0)</f>
      </c>
      <c r="AB662" s="111">
        <f>IF(AQ662="1",BH662,0)</f>
      </c>
      <c r="AC662" s="111">
        <f>IF(AQ662="1",BI662,0)</f>
      </c>
      <c r="AD662" s="111">
        <f>IF(AQ662="7",BH662,0)</f>
      </c>
      <c r="AE662" s="111">
        <f>IF(AQ662="7",BI662,0)</f>
      </c>
      <c r="AF662" s="111">
        <f>IF(AQ662="2",BH662,0)</f>
      </c>
      <c r="AG662" s="111">
        <f>IF(AQ662="2",BI662,0)</f>
      </c>
      <c r="AH662" s="111">
        <f>IF(AQ662="0",BJ662,0)</f>
      </c>
      <c r="AI662" s="132" t="s">
        <v>84</v>
      </c>
      <c r="AJ662" s="111">
        <f>IF(AN662=0,I662,0)</f>
      </c>
      <c r="AK662" s="111">
        <f>IF(AN662=12,I662,0)</f>
      </c>
      <c r="AL662" s="111">
        <f>IF(AN662=21,I662,0)</f>
      </c>
      <c r="AN662" s="111" t="n">
        <v>21</v>
      </c>
      <c r="AO662" s="111">
        <f>H662*0.503423834</f>
      </c>
      <c r="AP662" s="111">
        <f>H662*(1-0.503423834)</f>
      </c>
      <c r="AQ662" s="153" t="s">
        <v>130</v>
      </c>
      <c r="AV662" s="111">
        <f>AW662+AX662</f>
      </c>
      <c r="AW662" s="111">
        <f>G662*AO662</f>
      </c>
      <c r="AX662" s="111">
        <f>G662*AP662</f>
      </c>
      <c r="AY662" s="153" t="s">
        <v>1062</v>
      </c>
      <c r="AZ662" s="153" t="s">
        <v>975</v>
      </c>
      <c r="BA662" s="132" t="s">
        <v>137</v>
      </c>
      <c r="BC662" s="111">
        <f>AW662+AX662</f>
      </c>
      <c r="BD662" s="111">
        <f>H662/(100-BE662)*100</f>
      </c>
      <c r="BE662" s="111" t="n">
        <v>0</v>
      </c>
      <c r="BF662" s="111">
        <f>662</f>
      </c>
      <c r="BH662" s="111">
        <f>G662*AO662</f>
      </c>
      <c r="BI662" s="111">
        <f>G662*AP662</f>
      </c>
      <c r="BJ662" s="111">
        <f>G662*H662</f>
      </c>
      <c r="BK662" s="111"/>
      <c r="BL662" s="111" t="n">
        <v>62</v>
      </c>
      <c r="BW662" s="111" t="n">
        <v>21</v>
      </c>
      <c r="BX662" s="14" t="s">
        <v>1152</v>
      </c>
    </row>
    <row r="663" customHeight="true" ht="13.5">
      <c r="A663" s="159"/>
      <c r="C663" s="160" t="s">
        <v>146</v>
      </c>
      <c r="D663" s="161" t="s">
        <v>1153</v>
      </c>
      <c r="E663" s="156"/>
      <c r="F663" s="156"/>
      <c r="G663" s="156"/>
      <c r="H663" s="156"/>
      <c r="I663" s="156"/>
      <c r="J663" s="156"/>
      <c r="K663" s="163"/>
    </row>
    <row r="664">
      <c r="A664" s="154"/>
      <c r="B664" s="155"/>
      <c r="C664" s="155"/>
      <c r="D664" s="156" t="s">
        <v>4</v>
      </c>
      <c r="E664" s="156" t="s">
        <v>1128</v>
      </c>
      <c r="F664" s="155"/>
      <c r="G664" s="157" t="n">
        <v>0</v>
      </c>
      <c r="H664" s="155"/>
      <c r="I664" s="155"/>
      <c r="J664" s="155"/>
      <c r="K664" s="146"/>
    </row>
    <row r="665">
      <c r="A665" s="154"/>
      <c r="B665" s="155"/>
      <c r="C665" s="155"/>
      <c r="D665" s="156" t="s">
        <v>1154</v>
      </c>
      <c r="E665" s="156" t="s">
        <v>1046</v>
      </c>
      <c r="F665" s="155"/>
      <c r="G665" s="157" t="n">
        <v>4.305</v>
      </c>
      <c r="H665" s="155"/>
      <c r="I665" s="155"/>
      <c r="J665" s="155"/>
      <c r="K665" s="146"/>
    </row>
    <row r="666">
      <c r="A666" s="154"/>
      <c r="B666" s="155"/>
      <c r="C666" s="155"/>
      <c r="D666" s="156" t="s">
        <v>1155</v>
      </c>
      <c r="E666" s="156" t="s">
        <v>1048</v>
      </c>
      <c r="F666" s="155"/>
      <c r="G666" s="157" t="n">
        <v>1.065</v>
      </c>
      <c r="H666" s="155"/>
      <c r="I666" s="155"/>
      <c r="J666" s="155"/>
      <c r="K666" s="146"/>
    </row>
    <row r="667">
      <c r="A667" s="154"/>
      <c r="B667" s="155"/>
      <c r="C667" s="155"/>
      <c r="D667" s="156" t="s">
        <v>1156</v>
      </c>
      <c r="E667" s="156" t="s">
        <v>1050</v>
      </c>
      <c r="F667" s="155"/>
      <c r="G667" s="157" t="n">
        <v>3.4725</v>
      </c>
      <c r="H667" s="155"/>
      <c r="I667" s="155"/>
      <c r="J667" s="155"/>
      <c r="K667" s="146"/>
    </row>
    <row r="668">
      <c r="A668" s="154"/>
      <c r="B668" s="155"/>
      <c r="C668" s="155"/>
      <c r="D668" s="156" t="s">
        <v>1157</v>
      </c>
      <c r="E668" s="156" t="s">
        <v>1052</v>
      </c>
      <c r="F668" s="155"/>
      <c r="G668" s="157" t="n">
        <v>0.8625</v>
      </c>
      <c r="H668" s="155"/>
      <c r="I668" s="155"/>
      <c r="J668" s="155"/>
      <c r="K668" s="146"/>
    </row>
    <row r="669">
      <c r="A669" s="154"/>
      <c r="B669" s="155"/>
      <c r="C669" s="155"/>
      <c r="D669" s="156" t="s">
        <v>1158</v>
      </c>
      <c r="E669" s="156" t="s">
        <v>1054</v>
      </c>
      <c r="F669" s="155"/>
      <c r="G669" s="157" t="n">
        <v>2.8125</v>
      </c>
      <c r="H669" s="155"/>
      <c r="I669" s="155"/>
      <c r="J669" s="155"/>
      <c r="K669" s="146"/>
    </row>
    <row r="670">
      <c r="A670" s="154"/>
      <c r="B670" s="155"/>
      <c r="C670" s="155"/>
      <c r="D670" s="156" t="s">
        <v>1159</v>
      </c>
      <c r="E670" s="156" t="s">
        <v>1054</v>
      </c>
      <c r="F670" s="155"/>
      <c r="G670" s="157" t="n">
        <v>4.275</v>
      </c>
      <c r="H670" s="155"/>
      <c r="I670" s="155"/>
      <c r="J670" s="155"/>
      <c r="K670" s="146"/>
    </row>
    <row r="671">
      <c r="A671" s="154"/>
      <c r="B671" s="155"/>
      <c r="C671" s="155"/>
      <c r="D671" s="156" t="s">
        <v>1160</v>
      </c>
      <c r="E671" s="156" t="s">
        <v>1057</v>
      </c>
      <c r="F671" s="155"/>
      <c r="G671" s="157" t="n">
        <v>0.555</v>
      </c>
      <c r="H671" s="155"/>
      <c r="I671" s="155"/>
      <c r="J671" s="155"/>
      <c r="K671" s="146"/>
    </row>
    <row r="672">
      <c r="A672" s="9" t="s">
        <v>1161</v>
      </c>
      <c r="B672" s="10" t="s">
        <v>84</v>
      </c>
      <c r="C672" s="10" t="s">
        <v>1162</v>
      </c>
      <c r="D672" s="14" t="s">
        <v>1163</v>
      </c>
      <c r="E672" s="10"/>
      <c r="F672" s="10" t="s">
        <v>145</v>
      </c>
      <c r="G672" s="111">
        <f>'Stavební rozpočet'!G672</f>
      </c>
      <c r="H672" s="111">
        <f>'Stavební rozpočet'!H672</f>
      </c>
      <c r="I672" s="111">
        <f>G672*H672</f>
      </c>
      <c r="J672" s="153" t="s">
        <v>134</v>
      </c>
      <c r="K672" s="146"/>
      <c r="Z672" s="111">
        <f>IF(AQ672="5",BJ672,0)</f>
      </c>
      <c r="AB672" s="111">
        <f>IF(AQ672="1",BH672,0)</f>
      </c>
      <c r="AC672" s="111">
        <f>IF(AQ672="1",BI672,0)</f>
      </c>
      <c r="AD672" s="111">
        <f>IF(AQ672="7",BH672,0)</f>
      </c>
      <c r="AE672" s="111">
        <f>IF(AQ672="7",BI672,0)</f>
      </c>
      <c r="AF672" s="111">
        <f>IF(AQ672="2",BH672,0)</f>
      </c>
      <c r="AG672" s="111">
        <f>IF(AQ672="2",BI672,0)</f>
      </c>
      <c r="AH672" s="111">
        <f>IF(AQ672="0",BJ672,0)</f>
      </c>
      <c r="AI672" s="132" t="s">
        <v>84</v>
      </c>
      <c r="AJ672" s="111">
        <f>IF(AN672=0,I672,0)</f>
      </c>
      <c r="AK672" s="111">
        <f>IF(AN672=12,I672,0)</f>
      </c>
      <c r="AL672" s="111">
        <f>IF(AN672=21,I672,0)</f>
      </c>
      <c r="AN672" s="111" t="n">
        <v>21</v>
      </c>
      <c r="AO672" s="111">
        <f>H672*0.427123835</f>
      </c>
      <c r="AP672" s="111">
        <f>H672*(1-0.427123835)</f>
      </c>
      <c r="AQ672" s="153" t="s">
        <v>130</v>
      </c>
      <c r="AV672" s="111">
        <f>AW672+AX672</f>
      </c>
      <c r="AW672" s="111">
        <f>G672*AO672</f>
      </c>
      <c r="AX672" s="111">
        <f>G672*AP672</f>
      </c>
      <c r="AY672" s="153" t="s">
        <v>1062</v>
      </c>
      <c r="AZ672" s="153" t="s">
        <v>975</v>
      </c>
      <c r="BA672" s="132" t="s">
        <v>137</v>
      </c>
      <c r="BC672" s="111">
        <f>AW672+AX672</f>
      </c>
      <c r="BD672" s="111">
        <f>H672/(100-BE672)*100</f>
      </c>
      <c r="BE672" s="111" t="n">
        <v>0</v>
      </c>
      <c r="BF672" s="111">
        <f>672</f>
      </c>
      <c r="BH672" s="111">
        <f>G672*AO672</f>
      </c>
      <c r="BI672" s="111">
        <f>G672*AP672</f>
      </c>
      <c r="BJ672" s="111">
        <f>G672*H672</f>
      </c>
      <c r="BK672" s="111"/>
      <c r="BL672" s="111" t="n">
        <v>62</v>
      </c>
      <c r="BW672" s="111" t="n">
        <v>21</v>
      </c>
      <c r="BX672" s="14" t="s">
        <v>1163</v>
      </c>
    </row>
    <row r="673" customHeight="true" ht="13.5">
      <c r="A673" s="159"/>
      <c r="C673" s="160" t="s">
        <v>146</v>
      </c>
      <c r="D673" s="161" t="s">
        <v>1164</v>
      </c>
      <c r="E673" s="156"/>
      <c r="F673" s="156"/>
      <c r="G673" s="156"/>
      <c r="H673" s="156"/>
      <c r="I673" s="156"/>
      <c r="J673" s="156"/>
      <c r="K673" s="163"/>
    </row>
    <row r="674">
      <c r="A674" s="154"/>
      <c r="B674" s="155"/>
      <c r="C674" s="155"/>
      <c r="D674" s="156" t="s">
        <v>4</v>
      </c>
      <c r="E674" s="156" t="s">
        <v>1128</v>
      </c>
      <c r="F674" s="155"/>
      <c r="G674" s="157" t="n">
        <v>0</v>
      </c>
      <c r="H674" s="155"/>
      <c r="I674" s="155"/>
      <c r="J674" s="155"/>
      <c r="K674" s="146"/>
    </row>
    <row r="675">
      <c r="A675" s="154"/>
      <c r="B675" s="155"/>
      <c r="C675" s="155"/>
      <c r="D675" s="156" t="s">
        <v>1165</v>
      </c>
      <c r="E675" s="156" t="s">
        <v>1046</v>
      </c>
      <c r="F675" s="155"/>
      <c r="G675" s="157" t="n">
        <v>1.185</v>
      </c>
      <c r="H675" s="155"/>
      <c r="I675" s="155"/>
      <c r="J675" s="155"/>
      <c r="K675" s="146"/>
    </row>
    <row r="676">
      <c r="A676" s="154"/>
      <c r="B676" s="155"/>
      <c r="C676" s="155"/>
      <c r="D676" s="156" t="s">
        <v>1166</v>
      </c>
      <c r="E676" s="156" t="s">
        <v>1048</v>
      </c>
      <c r="F676" s="155"/>
      <c r="G676" s="157" t="n">
        <v>0.795</v>
      </c>
      <c r="H676" s="155"/>
      <c r="I676" s="155"/>
      <c r="J676" s="155"/>
      <c r="K676" s="146"/>
    </row>
    <row r="677">
      <c r="A677" s="154"/>
      <c r="B677" s="155"/>
      <c r="C677" s="155"/>
      <c r="D677" s="156" t="s">
        <v>1167</v>
      </c>
      <c r="E677" s="156" t="s">
        <v>1050</v>
      </c>
      <c r="F677" s="155"/>
      <c r="G677" s="157" t="n">
        <v>0.675</v>
      </c>
      <c r="H677" s="155"/>
      <c r="I677" s="155"/>
      <c r="J677" s="155"/>
      <c r="K677" s="146"/>
    </row>
    <row r="678">
      <c r="A678" s="154"/>
      <c r="B678" s="155"/>
      <c r="C678" s="155"/>
      <c r="D678" s="156" t="s">
        <v>1168</v>
      </c>
      <c r="E678" s="156" t="s">
        <v>1054</v>
      </c>
      <c r="F678" s="155"/>
      <c r="G678" s="157" t="n">
        <v>1.83</v>
      </c>
      <c r="H678" s="155"/>
      <c r="I678" s="155"/>
      <c r="J678" s="155"/>
      <c r="K678" s="146"/>
    </row>
    <row r="679">
      <c r="A679" s="154"/>
      <c r="B679" s="155"/>
      <c r="C679" s="155"/>
      <c r="D679" s="156" t="s">
        <v>1169</v>
      </c>
      <c r="E679" s="156" t="s">
        <v>1057</v>
      </c>
      <c r="F679" s="155"/>
      <c r="G679" s="157" t="n">
        <v>0.225</v>
      </c>
      <c r="H679" s="155"/>
      <c r="I679" s="155"/>
      <c r="J679" s="155"/>
      <c r="K679" s="146"/>
    </row>
    <row r="680">
      <c r="A680" s="9" t="s">
        <v>1170</v>
      </c>
      <c r="B680" s="10" t="s">
        <v>84</v>
      </c>
      <c r="C680" s="10" t="s">
        <v>1171</v>
      </c>
      <c r="D680" s="14" t="s">
        <v>1172</v>
      </c>
      <c r="E680" s="10"/>
      <c r="F680" s="10" t="s">
        <v>145</v>
      </c>
      <c r="G680" s="111">
        <f>'Stavební rozpočet'!G680</f>
      </c>
      <c r="H680" s="111">
        <f>'Stavební rozpočet'!H680</f>
      </c>
      <c r="I680" s="111">
        <f>G680*H680</f>
      </c>
      <c r="J680" s="153" t="s">
        <v>134</v>
      </c>
      <c r="K680" s="146"/>
      <c r="Z680" s="111">
        <f>IF(AQ680="5",BJ680,0)</f>
      </c>
      <c r="AB680" s="111">
        <f>IF(AQ680="1",BH680,0)</f>
      </c>
      <c r="AC680" s="111">
        <f>IF(AQ680="1",BI680,0)</f>
      </c>
      <c r="AD680" s="111">
        <f>IF(AQ680="7",BH680,0)</f>
      </c>
      <c r="AE680" s="111">
        <f>IF(AQ680="7",BI680,0)</f>
      </c>
      <c r="AF680" s="111">
        <f>IF(AQ680="2",BH680,0)</f>
      </c>
      <c r="AG680" s="111">
        <f>IF(AQ680="2",BI680,0)</f>
      </c>
      <c r="AH680" s="111">
        <f>IF(AQ680="0",BJ680,0)</f>
      </c>
      <c r="AI680" s="132" t="s">
        <v>84</v>
      </c>
      <c r="AJ680" s="111">
        <f>IF(AN680=0,I680,0)</f>
      </c>
      <c r="AK680" s="111">
        <f>IF(AN680=12,I680,0)</f>
      </c>
      <c r="AL680" s="111">
        <f>IF(AN680=21,I680,0)</f>
      </c>
      <c r="AN680" s="111" t="n">
        <v>21</v>
      </c>
      <c r="AO680" s="111">
        <f>H680*0.531037791</f>
      </c>
      <c r="AP680" s="111">
        <f>H680*(1-0.531037791)</f>
      </c>
      <c r="AQ680" s="153" t="s">
        <v>130</v>
      </c>
      <c r="AV680" s="111">
        <f>AW680+AX680</f>
      </c>
      <c r="AW680" s="111">
        <f>G680*AO680</f>
      </c>
      <c r="AX680" s="111">
        <f>G680*AP680</f>
      </c>
      <c r="AY680" s="153" t="s">
        <v>1062</v>
      </c>
      <c r="AZ680" s="153" t="s">
        <v>975</v>
      </c>
      <c r="BA680" s="132" t="s">
        <v>137</v>
      </c>
      <c r="BC680" s="111">
        <f>AW680+AX680</f>
      </c>
      <c r="BD680" s="111">
        <f>H680/(100-BE680)*100</f>
      </c>
      <c r="BE680" s="111" t="n">
        <v>0</v>
      </c>
      <c r="BF680" s="111">
        <f>680</f>
      </c>
      <c r="BH680" s="111">
        <f>G680*AO680</f>
      </c>
      <c r="BI680" s="111">
        <f>G680*AP680</f>
      </c>
      <c r="BJ680" s="111">
        <f>G680*H680</f>
      </c>
      <c r="BK680" s="111"/>
      <c r="BL680" s="111" t="n">
        <v>62</v>
      </c>
      <c r="BW680" s="111" t="n">
        <v>21</v>
      </c>
      <c r="BX680" s="14" t="s">
        <v>1172</v>
      </c>
    </row>
    <row r="681" customHeight="true" ht="13.5">
      <c r="A681" s="159"/>
      <c r="C681" s="160" t="s">
        <v>146</v>
      </c>
      <c r="D681" s="161" t="s">
        <v>1173</v>
      </c>
      <c r="E681" s="156"/>
      <c r="F681" s="156"/>
      <c r="G681" s="156"/>
      <c r="H681" s="156"/>
      <c r="I681" s="156"/>
      <c r="J681" s="156"/>
      <c r="K681" s="163"/>
    </row>
    <row r="682">
      <c r="A682" s="154"/>
      <c r="B682" s="155"/>
      <c r="C682" s="155"/>
      <c r="D682" s="156" t="s">
        <v>4</v>
      </c>
      <c r="E682" s="156" t="s">
        <v>1174</v>
      </c>
      <c r="F682" s="155"/>
      <c r="G682" s="157" t="n">
        <v>0</v>
      </c>
      <c r="H682" s="155"/>
      <c r="I682" s="155"/>
      <c r="J682" s="155"/>
      <c r="K682" s="146"/>
    </row>
    <row r="683">
      <c r="A683" s="154"/>
      <c r="B683" s="155"/>
      <c r="C683" s="155"/>
      <c r="D683" s="156" t="s">
        <v>1175</v>
      </c>
      <c r="E683" s="156" t="s">
        <v>1176</v>
      </c>
      <c r="F683" s="155"/>
      <c r="G683" s="157" t="n">
        <v>0.91</v>
      </c>
      <c r="H683" s="155"/>
      <c r="I683" s="155"/>
      <c r="J683" s="155"/>
      <c r="K683" s="146"/>
    </row>
    <row r="684">
      <c r="A684" s="154"/>
      <c r="B684" s="155"/>
      <c r="C684" s="155"/>
      <c r="D684" s="156" t="s">
        <v>1177</v>
      </c>
      <c r="E684" s="156" t="s">
        <v>1178</v>
      </c>
      <c r="F684" s="155"/>
      <c r="G684" s="157" t="n">
        <v>2.34</v>
      </c>
      <c r="H684" s="155"/>
      <c r="I684" s="155"/>
      <c r="J684" s="155"/>
      <c r="K684" s="146"/>
    </row>
    <row r="685">
      <c r="A685" s="154"/>
      <c r="B685" s="155"/>
      <c r="C685" s="155"/>
      <c r="D685" s="156" t="s">
        <v>1179</v>
      </c>
      <c r="E685" s="156" t="s">
        <v>1180</v>
      </c>
      <c r="F685" s="155"/>
      <c r="G685" s="157" t="n">
        <v>3.015</v>
      </c>
      <c r="H685" s="155"/>
      <c r="I685" s="155"/>
      <c r="J685" s="155"/>
      <c r="K685" s="146"/>
    </row>
    <row r="686">
      <c r="A686" s="154"/>
      <c r="B686" s="155"/>
      <c r="C686" s="155"/>
      <c r="D686" s="156" t="s">
        <v>1181</v>
      </c>
      <c r="E686" s="156" t="s">
        <v>1182</v>
      </c>
      <c r="F686" s="155"/>
      <c r="G686" s="157" t="n">
        <v>1.69</v>
      </c>
      <c r="H686" s="155"/>
      <c r="I686" s="155"/>
      <c r="J686" s="155"/>
      <c r="K686" s="146"/>
    </row>
    <row r="687">
      <c r="A687" s="9" t="s">
        <v>1183</v>
      </c>
      <c r="B687" s="10" t="s">
        <v>84</v>
      </c>
      <c r="C687" s="10" t="s">
        <v>1184</v>
      </c>
      <c r="D687" s="14" t="s">
        <v>1185</v>
      </c>
      <c r="E687" s="10"/>
      <c r="F687" s="10" t="s">
        <v>145</v>
      </c>
      <c r="G687" s="111">
        <f>'Stavební rozpočet'!G687</f>
      </c>
      <c r="H687" s="111">
        <f>'Stavební rozpočet'!H687</f>
      </c>
      <c r="I687" s="111">
        <f>G687*H687</f>
      </c>
      <c r="J687" s="153" t="s">
        <v>134</v>
      </c>
      <c r="K687" s="146"/>
      <c r="Z687" s="111">
        <f>IF(AQ687="5",BJ687,0)</f>
      </c>
      <c r="AB687" s="111">
        <f>IF(AQ687="1",BH687,0)</f>
      </c>
      <c r="AC687" s="111">
        <f>IF(AQ687="1",BI687,0)</f>
      </c>
      <c r="AD687" s="111">
        <f>IF(AQ687="7",BH687,0)</f>
      </c>
      <c r="AE687" s="111">
        <f>IF(AQ687="7",BI687,0)</f>
      </c>
      <c r="AF687" s="111">
        <f>IF(AQ687="2",BH687,0)</f>
      </c>
      <c r="AG687" s="111">
        <f>IF(AQ687="2",BI687,0)</f>
      </c>
      <c r="AH687" s="111">
        <f>IF(AQ687="0",BJ687,0)</f>
      </c>
      <c r="AI687" s="132" t="s">
        <v>84</v>
      </c>
      <c r="AJ687" s="111">
        <f>IF(AN687=0,I687,0)</f>
      </c>
      <c r="AK687" s="111">
        <f>IF(AN687=12,I687,0)</f>
      </c>
      <c r="AL687" s="111">
        <f>IF(AN687=21,I687,0)</f>
      </c>
      <c r="AN687" s="111" t="n">
        <v>21</v>
      </c>
      <c r="AO687" s="111">
        <f>H687*0.680610832</f>
      </c>
      <c r="AP687" s="111">
        <f>H687*(1-0.680610832)</f>
      </c>
      <c r="AQ687" s="153" t="s">
        <v>130</v>
      </c>
      <c r="AV687" s="111">
        <f>AW687+AX687</f>
      </c>
      <c r="AW687" s="111">
        <f>G687*AO687</f>
      </c>
      <c r="AX687" s="111">
        <f>G687*AP687</f>
      </c>
      <c r="AY687" s="153" t="s">
        <v>1062</v>
      </c>
      <c r="AZ687" s="153" t="s">
        <v>975</v>
      </c>
      <c r="BA687" s="132" t="s">
        <v>137</v>
      </c>
      <c r="BC687" s="111">
        <f>AW687+AX687</f>
      </c>
      <c r="BD687" s="111">
        <f>H687/(100-BE687)*100</f>
      </c>
      <c r="BE687" s="111" t="n">
        <v>0</v>
      </c>
      <c r="BF687" s="111">
        <f>687</f>
      </c>
      <c r="BH687" s="111">
        <f>G687*AO687</f>
      </c>
      <c r="BI687" s="111">
        <f>G687*AP687</f>
      </c>
      <c r="BJ687" s="111">
        <f>G687*H687</f>
      </c>
      <c r="BK687" s="111"/>
      <c r="BL687" s="111" t="n">
        <v>62</v>
      </c>
      <c r="BW687" s="111" t="n">
        <v>21</v>
      </c>
      <c r="BX687" s="14" t="s">
        <v>1185</v>
      </c>
    </row>
    <row r="688" customHeight="true" ht="13.5">
      <c r="A688" s="159"/>
      <c r="C688" s="160" t="s">
        <v>146</v>
      </c>
      <c r="D688" s="161" t="s">
        <v>1173</v>
      </c>
      <c r="E688" s="156"/>
      <c r="F688" s="156"/>
      <c r="G688" s="156"/>
      <c r="H688" s="156"/>
      <c r="I688" s="156"/>
      <c r="J688" s="156"/>
      <c r="K688" s="163"/>
    </row>
    <row r="689">
      <c r="A689" s="154"/>
      <c r="B689" s="155"/>
      <c r="C689" s="155"/>
      <c r="D689" s="156" t="s">
        <v>1186</v>
      </c>
      <c r="E689" s="156" t="s">
        <v>1187</v>
      </c>
      <c r="F689" s="155"/>
      <c r="G689" s="157" t="n">
        <v>19.98</v>
      </c>
      <c r="H689" s="155"/>
      <c r="I689" s="155"/>
      <c r="J689" s="155"/>
      <c r="K689" s="146"/>
    </row>
    <row r="690">
      <c r="A690" s="9" t="s">
        <v>1188</v>
      </c>
      <c r="B690" s="10" t="s">
        <v>84</v>
      </c>
      <c r="C690" s="10" t="s">
        <v>1189</v>
      </c>
      <c r="D690" s="14" t="s">
        <v>1190</v>
      </c>
      <c r="E690" s="10"/>
      <c r="F690" s="10" t="s">
        <v>145</v>
      </c>
      <c r="G690" s="111">
        <f>'Stavební rozpočet'!G690</f>
      </c>
      <c r="H690" s="111">
        <f>'Stavební rozpočet'!H690</f>
      </c>
      <c r="I690" s="111">
        <f>G690*H690</f>
      </c>
      <c r="J690" s="153" t="s">
        <v>134</v>
      </c>
      <c r="K690" s="146"/>
      <c r="Z690" s="111">
        <f>IF(AQ690="5",BJ690,0)</f>
      </c>
      <c r="AB690" s="111">
        <f>IF(AQ690="1",BH690,0)</f>
      </c>
      <c r="AC690" s="111">
        <f>IF(AQ690="1",BI690,0)</f>
      </c>
      <c r="AD690" s="111">
        <f>IF(AQ690="7",BH690,0)</f>
      </c>
      <c r="AE690" s="111">
        <f>IF(AQ690="7",BI690,0)</f>
      </c>
      <c r="AF690" s="111">
        <f>IF(AQ690="2",BH690,0)</f>
      </c>
      <c r="AG690" s="111">
        <f>IF(AQ690="2",BI690,0)</f>
      </c>
      <c r="AH690" s="111">
        <f>IF(AQ690="0",BJ690,0)</f>
      </c>
      <c r="AI690" s="132" t="s">
        <v>84</v>
      </c>
      <c r="AJ690" s="111">
        <f>IF(AN690=0,I690,0)</f>
      </c>
      <c r="AK690" s="111">
        <f>IF(AN690=12,I690,0)</f>
      </c>
      <c r="AL690" s="111">
        <f>IF(AN690=21,I690,0)</f>
      </c>
      <c r="AN690" s="111" t="n">
        <v>21</v>
      </c>
      <c r="AO690" s="111">
        <f>H690*0.562101644</f>
      </c>
      <c r="AP690" s="111">
        <f>H690*(1-0.562101644)</f>
      </c>
      <c r="AQ690" s="153" t="s">
        <v>130</v>
      </c>
      <c r="AV690" s="111">
        <f>AW690+AX690</f>
      </c>
      <c r="AW690" s="111">
        <f>G690*AO690</f>
      </c>
      <c r="AX690" s="111">
        <f>G690*AP690</f>
      </c>
      <c r="AY690" s="153" t="s">
        <v>1062</v>
      </c>
      <c r="AZ690" s="153" t="s">
        <v>975</v>
      </c>
      <c r="BA690" s="132" t="s">
        <v>137</v>
      </c>
      <c r="BC690" s="111">
        <f>AW690+AX690</f>
      </c>
      <c r="BD690" s="111">
        <f>H690/(100-BE690)*100</f>
      </c>
      <c r="BE690" s="111" t="n">
        <v>0</v>
      </c>
      <c r="BF690" s="111">
        <f>690</f>
      </c>
      <c r="BH690" s="111">
        <f>G690*AO690</f>
      </c>
      <c r="BI690" s="111">
        <f>G690*AP690</f>
      </c>
      <c r="BJ690" s="111">
        <f>G690*H690</f>
      </c>
      <c r="BK690" s="111"/>
      <c r="BL690" s="111" t="n">
        <v>62</v>
      </c>
      <c r="BW690" s="111" t="n">
        <v>21</v>
      </c>
      <c r="BX690" s="14" t="s">
        <v>1190</v>
      </c>
    </row>
    <row r="691">
      <c r="A691" s="154"/>
      <c r="B691" s="155"/>
      <c r="C691" s="155"/>
      <c r="D691" s="156" t="s">
        <v>1191</v>
      </c>
      <c r="E691" s="156" t="s">
        <v>1192</v>
      </c>
      <c r="F691" s="155"/>
      <c r="G691" s="157" t="n">
        <v>21.48</v>
      </c>
      <c r="H691" s="155"/>
      <c r="I691" s="155"/>
      <c r="J691" s="155"/>
      <c r="K691" s="146"/>
    </row>
    <row r="692">
      <c r="A692" s="154"/>
      <c r="B692" s="155"/>
      <c r="C692" s="155"/>
      <c r="D692" s="156" t="s">
        <v>1193</v>
      </c>
      <c r="E692" s="156" t="s">
        <v>1194</v>
      </c>
      <c r="F692" s="155"/>
      <c r="G692" s="157" t="n">
        <v>6.15</v>
      </c>
      <c r="H692" s="155"/>
      <c r="I692" s="155"/>
      <c r="J692" s="155"/>
      <c r="K692" s="146"/>
    </row>
    <row r="693">
      <c r="A693" s="154"/>
      <c r="B693" s="155"/>
      <c r="C693" s="155"/>
      <c r="D693" s="156" t="s">
        <v>1195</v>
      </c>
      <c r="E693" s="156" t="s">
        <v>1196</v>
      </c>
      <c r="F693" s="155"/>
      <c r="G693" s="157" t="n">
        <v>87.99</v>
      </c>
      <c r="H693" s="155"/>
      <c r="I693" s="155"/>
      <c r="J693" s="155"/>
      <c r="K693" s="146"/>
    </row>
    <row r="694">
      <c r="A694" s="154"/>
      <c r="B694" s="155"/>
      <c r="C694" s="155"/>
      <c r="D694" s="156" t="s">
        <v>1197</v>
      </c>
      <c r="E694" s="156" t="s">
        <v>1198</v>
      </c>
      <c r="F694" s="155"/>
      <c r="G694" s="157" t="n">
        <v>4.71</v>
      </c>
      <c r="H694" s="155"/>
      <c r="I694" s="155"/>
      <c r="J694" s="155"/>
      <c r="K694" s="146"/>
    </row>
    <row r="695">
      <c r="A695" s="154"/>
      <c r="B695" s="155"/>
      <c r="C695" s="155"/>
      <c r="D695" s="156" t="s">
        <v>1199</v>
      </c>
      <c r="E695" s="156" t="s">
        <v>1200</v>
      </c>
      <c r="F695" s="155"/>
      <c r="G695" s="157" t="n">
        <v>27.94</v>
      </c>
      <c r="H695" s="155"/>
      <c r="I695" s="155"/>
      <c r="J695" s="155"/>
      <c r="K695" s="146"/>
    </row>
    <row r="696">
      <c r="A696" s="154"/>
      <c r="B696" s="155"/>
      <c r="C696" s="155"/>
      <c r="D696" s="156" t="s">
        <v>366</v>
      </c>
      <c r="E696" s="156" t="s">
        <v>1201</v>
      </c>
      <c r="F696" s="155"/>
      <c r="G696" s="157" t="n">
        <v>34</v>
      </c>
      <c r="H696" s="155"/>
      <c r="I696" s="155"/>
      <c r="J696" s="155"/>
      <c r="K696" s="146"/>
    </row>
    <row r="697">
      <c r="A697" s="154"/>
      <c r="B697" s="155"/>
      <c r="C697" s="155"/>
      <c r="D697" s="156" t="s">
        <v>983</v>
      </c>
      <c r="E697" s="156" t="s">
        <v>1016</v>
      </c>
      <c r="F697" s="155"/>
      <c r="G697" s="157" t="n">
        <v>36.818</v>
      </c>
      <c r="H697" s="155"/>
      <c r="I697" s="155"/>
      <c r="J697" s="155"/>
      <c r="K697" s="146"/>
    </row>
    <row r="698">
      <c r="A698" s="9" t="s">
        <v>1202</v>
      </c>
      <c r="B698" s="10" t="s">
        <v>84</v>
      </c>
      <c r="C698" s="10" t="s">
        <v>1203</v>
      </c>
      <c r="D698" s="14" t="s">
        <v>1204</v>
      </c>
      <c r="E698" s="10"/>
      <c r="F698" s="10" t="s">
        <v>145</v>
      </c>
      <c r="G698" s="111">
        <f>'Stavební rozpočet'!G698</f>
      </c>
      <c r="H698" s="111">
        <f>'Stavební rozpočet'!H698</f>
      </c>
      <c r="I698" s="111">
        <f>G698*H698</f>
      </c>
      <c r="J698" s="153" t="s">
        <v>134</v>
      </c>
      <c r="K698" s="146"/>
      <c r="Z698" s="111">
        <f>IF(AQ698="5",BJ698,0)</f>
      </c>
      <c r="AB698" s="111">
        <f>IF(AQ698="1",BH698,0)</f>
      </c>
      <c r="AC698" s="111">
        <f>IF(AQ698="1",BI698,0)</f>
      </c>
      <c r="AD698" s="111">
        <f>IF(AQ698="7",BH698,0)</f>
      </c>
      <c r="AE698" s="111">
        <f>IF(AQ698="7",BI698,0)</f>
      </c>
      <c r="AF698" s="111">
        <f>IF(AQ698="2",BH698,0)</f>
      </c>
      <c r="AG698" s="111">
        <f>IF(AQ698="2",BI698,0)</f>
      </c>
      <c r="AH698" s="111">
        <f>IF(AQ698="0",BJ698,0)</f>
      </c>
      <c r="AI698" s="132" t="s">
        <v>84</v>
      </c>
      <c r="AJ698" s="111">
        <f>IF(AN698=0,I698,0)</f>
      </c>
      <c r="AK698" s="111">
        <f>IF(AN698=12,I698,0)</f>
      </c>
      <c r="AL698" s="111">
        <f>IF(AN698=21,I698,0)</f>
      </c>
      <c r="AN698" s="111" t="n">
        <v>21</v>
      </c>
      <c r="AO698" s="111">
        <f>H698*0.335233382</f>
      </c>
      <c r="AP698" s="111">
        <f>H698*(1-0.335233382)</f>
      </c>
      <c r="AQ698" s="153" t="s">
        <v>130</v>
      </c>
      <c r="AV698" s="111">
        <f>AW698+AX698</f>
      </c>
      <c r="AW698" s="111">
        <f>G698*AO698</f>
      </c>
      <c r="AX698" s="111">
        <f>G698*AP698</f>
      </c>
      <c r="AY698" s="153" t="s">
        <v>1062</v>
      </c>
      <c r="AZ698" s="153" t="s">
        <v>975</v>
      </c>
      <c r="BA698" s="132" t="s">
        <v>137</v>
      </c>
      <c r="BC698" s="111">
        <f>AW698+AX698</f>
      </c>
      <c r="BD698" s="111">
        <f>H698/(100-BE698)*100</f>
      </c>
      <c r="BE698" s="111" t="n">
        <v>0</v>
      </c>
      <c r="BF698" s="111">
        <f>698</f>
      </c>
      <c r="BH698" s="111">
        <f>G698*AO698</f>
      </c>
      <c r="BI698" s="111">
        <f>G698*AP698</f>
      </c>
      <c r="BJ698" s="111">
        <f>G698*H698</f>
      </c>
      <c r="BK698" s="111"/>
      <c r="BL698" s="111" t="n">
        <v>62</v>
      </c>
      <c r="BW698" s="111" t="n">
        <v>21</v>
      </c>
      <c r="BX698" s="14" t="s">
        <v>1204</v>
      </c>
    </row>
    <row r="699">
      <c r="A699" s="154"/>
      <c r="B699" s="155"/>
      <c r="C699" s="155"/>
      <c r="D699" s="156" t="s">
        <v>1205</v>
      </c>
      <c r="E699" s="156" t="s">
        <v>1046</v>
      </c>
      <c r="F699" s="155"/>
      <c r="G699" s="157" t="n">
        <v>10.32</v>
      </c>
      <c r="H699" s="155"/>
      <c r="I699" s="155"/>
      <c r="J699" s="155"/>
      <c r="K699" s="146"/>
    </row>
    <row r="700">
      <c r="A700" s="154"/>
      <c r="B700" s="155"/>
      <c r="C700" s="155"/>
      <c r="D700" s="156" t="s">
        <v>1206</v>
      </c>
      <c r="E700" s="156" t="s">
        <v>1048</v>
      </c>
      <c r="F700" s="155"/>
      <c r="G700" s="157" t="n">
        <v>4.77</v>
      </c>
      <c r="H700" s="155"/>
      <c r="I700" s="155"/>
      <c r="J700" s="155"/>
      <c r="K700" s="146"/>
    </row>
    <row r="701">
      <c r="A701" s="154"/>
      <c r="B701" s="155"/>
      <c r="C701" s="155"/>
      <c r="D701" s="156" t="s">
        <v>1207</v>
      </c>
      <c r="E701" s="156" t="s">
        <v>1050</v>
      </c>
      <c r="F701" s="155"/>
      <c r="G701" s="157" t="n">
        <v>12.1425</v>
      </c>
      <c r="H701" s="155"/>
      <c r="I701" s="155"/>
      <c r="J701" s="155"/>
      <c r="K701" s="146"/>
    </row>
    <row r="702">
      <c r="A702" s="154"/>
      <c r="B702" s="155"/>
      <c r="C702" s="155"/>
      <c r="D702" s="156" t="s">
        <v>1208</v>
      </c>
      <c r="E702" s="156" t="s">
        <v>1054</v>
      </c>
      <c r="F702" s="155"/>
      <c r="G702" s="157" t="n">
        <v>8.8725</v>
      </c>
      <c r="H702" s="155"/>
      <c r="I702" s="155"/>
      <c r="J702" s="155"/>
      <c r="K702" s="146"/>
    </row>
    <row r="703">
      <c r="A703" s="154"/>
      <c r="B703" s="155"/>
      <c r="C703" s="155"/>
      <c r="D703" s="156" t="s">
        <v>1209</v>
      </c>
      <c r="E703" s="156" t="s">
        <v>1139</v>
      </c>
      <c r="F703" s="155"/>
      <c r="G703" s="157" t="n">
        <v>14.625</v>
      </c>
      <c r="H703" s="155"/>
      <c r="I703" s="155"/>
      <c r="J703" s="155"/>
      <c r="K703" s="146"/>
    </row>
    <row r="704">
      <c r="A704" s="154"/>
      <c r="B704" s="155"/>
      <c r="C704" s="155"/>
      <c r="D704" s="156" t="s">
        <v>1210</v>
      </c>
      <c r="E704" s="156" t="s">
        <v>1141</v>
      </c>
      <c r="F704" s="155"/>
      <c r="G704" s="157" t="n">
        <v>1.65</v>
      </c>
      <c r="H704" s="155"/>
      <c r="I704" s="155"/>
      <c r="J704" s="155"/>
      <c r="K704" s="146"/>
    </row>
    <row r="705">
      <c r="A705" s="147" t="s">
        <v>4</v>
      </c>
      <c r="B705" s="148" t="s">
        <v>84</v>
      </c>
      <c r="C705" s="148" t="s">
        <v>543</v>
      </c>
      <c r="D705" s="149" t="s">
        <v>1211</v>
      </c>
      <c r="E705" s="148"/>
      <c r="F705" s="150" t="s">
        <v>79</v>
      </c>
      <c r="G705" s="150" t="s">
        <v>79</v>
      </c>
      <c r="H705" s="150" t="s">
        <v>79</v>
      </c>
      <c r="I705" s="117">
        <f>SUM(I706:I749)</f>
      </c>
      <c r="J705" s="132" t="s">
        <v>4</v>
      </c>
      <c r="K705" s="146"/>
      <c r="AI705" s="132" t="s">
        <v>84</v>
      </c>
      <c r="AS705" s="117">
        <f>SUM(AJ706:AJ749)</f>
      </c>
      <c r="AT705" s="117">
        <f>SUM(AK706:AK749)</f>
      </c>
      <c r="AU705" s="117">
        <f>SUM(AL706:AL749)</f>
      </c>
    </row>
    <row r="706">
      <c r="A706" s="9" t="s">
        <v>1212</v>
      </c>
      <c r="B706" s="10" t="s">
        <v>84</v>
      </c>
      <c r="C706" s="10" t="s">
        <v>1213</v>
      </c>
      <c r="D706" s="14" t="s">
        <v>1214</v>
      </c>
      <c r="E706" s="10"/>
      <c r="F706" s="10" t="s">
        <v>145</v>
      </c>
      <c r="G706" s="111">
        <f>'Stavební rozpočet'!G706</f>
      </c>
      <c r="H706" s="111">
        <f>'Stavební rozpočet'!H706</f>
      </c>
      <c r="I706" s="111">
        <f>G706*H706</f>
      </c>
      <c r="J706" s="153" t="s">
        <v>134</v>
      </c>
      <c r="K706" s="146"/>
      <c r="Z706" s="111">
        <f>IF(AQ706="5",BJ706,0)</f>
      </c>
      <c r="AB706" s="111">
        <f>IF(AQ706="1",BH706,0)</f>
      </c>
      <c r="AC706" s="111">
        <f>IF(AQ706="1",BI706,0)</f>
      </c>
      <c r="AD706" s="111">
        <f>IF(AQ706="7",BH706,0)</f>
      </c>
      <c r="AE706" s="111">
        <f>IF(AQ706="7",BI706,0)</f>
      </c>
      <c r="AF706" s="111">
        <f>IF(AQ706="2",BH706,0)</f>
      </c>
      <c r="AG706" s="111">
        <f>IF(AQ706="2",BI706,0)</f>
      </c>
      <c r="AH706" s="111">
        <f>IF(AQ706="0",BJ706,0)</f>
      </c>
      <c r="AI706" s="132" t="s">
        <v>84</v>
      </c>
      <c r="AJ706" s="111">
        <f>IF(AN706=0,I706,0)</f>
      </c>
      <c r="AK706" s="111">
        <f>IF(AN706=12,I706,0)</f>
      </c>
      <c r="AL706" s="111">
        <f>IF(AN706=21,I706,0)</f>
      </c>
      <c r="AN706" s="111" t="n">
        <v>21</v>
      </c>
      <c r="AO706" s="111">
        <f>H706*0.777596482</f>
      </c>
      <c r="AP706" s="111">
        <f>H706*(1-0.777596482)</f>
      </c>
      <c r="AQ706" s="153" t="s">
        <v>130</v>
      </c>
      <c r="AV706" s="111">
        <f>AW706+AX706</f>
      </c>
      <c r="AW706" s="111">
        <f>G706*AO706</f>
      </c>
      <c r="AX706" s="111">
        <f>G706*AP706</f>
      </c>
      <c r="AY706" s="153" t="s">
        <v>1215</v>
      </c>
      <c r="AZ706" s="153" t="s">
        <v>975</v>
      </c>
      <c r="BA706" s="132" t="s">
        <v>137</v>
      </c>
      <c r="BC706" s="111">
        <f>AW706+AX706</f>
      </c>
      <c r="BD706" s="111">
        <f>H706/(100-BE706)*100</f>
      </c>
      <c r="BE706" s="111" t="n">
        <v>0</v>
      </c>
      <c r="BF706" s="111">
        <f>706</f>
      </c>
      <c r="BH706" s="111">
        <f>G706*AO706</f>
      </c>
      <c r="BI706" s="111">
        <f>G706*AP706</f>
      </c>
      <c r="BJ706" s="111">
        <f>G706*H706</f>
      </c>
      <c r="BK706" s="111"/>
      <c r="BL706" s="111" t="n">
        <v>63</v>
      </c>
      <c r="BW706" s="111" t="n">
        <v>21</v>
      </c>
      <c r="BX706" s="14" t="s">
        <v>1214</v>
      </c>
    </row>
    <row r="707" customHeight="true" ht="13.5">
      <c r="A707" s="159"/>
      <c r="C707" s="160" t="s">
        <v>146</v>
      </c>
      <c r="D707" s="161" t="s">
        <v>1216</v>
      </c>
      <c r="E707" s="156"/>
      <c r="F707" s="156"/>
      <c r="G707" s="156"/>
      <c r="H707" s="156"/>
      <c r="I707" s="156"/>
      <c r="J707" s="156"/>
      <c r="K707" s="163"/>
    </row>
    <row r="708">
      <c r="A708" s="154"/>
      <c r="B708" s="155"/>
      <c r="C708" s="155"/>
      <c r="D708" s="156" t="s">
        <v>892</v>
      </c>
      <c r="E708" s="156" t="s">
        <v>1217</v>
      </c>
      <c r="F708" s="155"/>
      <c r="G708" s="157" t="n">
        <v>89.1</v>
      </c>
      <c r="H708" s="155"/>
      <c r="I708" s="155"/>
      <c r="J708" s="155"/>
      <c r="K708" s="146"/>
    </row>
    <row r="709">
      <c r="A709" s="9" t="s">
        <v>1218</v>
      </c>
      <c r="B709" s="10" t="s">
        <v>84</v>
      </c>
      <c r="C709" s="10" t="s">
        <v>1219</v>
      </c>
      <c r="D709" s="14" t="s">
        <v>1220</v>
      </c>
      <c r="E709" s="10"/>
      <c r="F709" s="10" t="s">
        <v>145</v>
      </c>
      <c r="G709" s="111">
        <f>'Stavební rozpočet'!G709</f>
      </c>
      <c r="H709" s="111">
        <f>'Stavební rozpočet'!H709</f>
      </c>
      <c r="I709" s="111">
        <f>G709*H709</f>
      </c>
      <c r="J709" s="153" t="s">
        <v>134</v>
      </c>
      <c r="K709" s="146"/>
      <c r="Z709" s="111">
        <f>IF(AQ709="5",BJ709,0)</f>
      </c>
      <c r="AB709" s="111">
        <f>IF(AQ709="1",BH709,0)</f>
      </c>
      <c r="AC709" s="111">
        <f>IF(AQ709="1",BI709,0)</f>
      </c>
      <c r="AD709" s="111">
        <f>IF(AQ709="7",BH709,0)</f>
      </c>
      <c r="AE709" s="111">
        <f>IF(AQ709="7",BI709,0)</f>
      </c>
      <c r="AF709" s="111">
        <f>IF(AQ709="2",BH709,0)</f>
      </c>
      <c r="AG709" s="111">
        <f>IF(AQ709="2",BI709,0)</f>
      </c>
      <c r="AH709" s="111">
        <f>IF(AQ709="0",BJ709,0)</f>
      </c>
      <c r="AI709" s="132" t="s">
        <v>84</v>
      </c>
      <c r="AJ709" s="111">
        <f>IF(AN709=0,I709,0)</f>
      </c>
      <c r="AK709" s="111">
        <f>IF(AN709=12,I709,0)</f>
      </c>
      <c r="AL709" s="111">
        <f>IF(AN709=21,I709,0)</f>
      </c>
      <c r="AN709" s="111" t="n">
        <v>21</v>
      </c>
      <c r="AO709" s="111">
        <f>H709*0</f>
      </c>
      <c r="AP709" s="111">
        <f>H709*(1-0)</f>
      </c>
      <c r="AQ709" s="153" t="s">
        <v>130</v>
      </c>
      <c r="AV709" s="111">
        <f>AW709+AX709</f>
      </c>
      <c r="AW709" s="111">
        <f>G709*AO709</f>
      </c>
      <c r="AX709" s="111">
        <f>G709*AP709</f>
      </c>
      <c r="AY709" s="153" t="s">
        <v>1215</v>
      </c>
      <c r="AZ709" s="153" t="s">
        <v>975</v>
      </c>
      <c r="BA709" s="132" t="s">
        <v>137</v>
      </c>
      <c r="BC709" s="111">
        <f>AW709+AX709</f>
      </c>
      <c r="BD709" s="111">
        <f>H709/(100-BE709)*100</f>
      </c>
      <c r="BE709" s="111" t="n">
        <v>0</v>
      </c>
      <c r="BF709" s="111">
        <f>709</f>
      </c>
      <c r="BH709" s="111">
        <f>G709*AO709</f>
      </c>
      <c r="BI709" s="111">
        <f>G709*AP709</f>
      </c>
      <c r="BJ709" s="111">
        <f>G709*H709</f>
      </c>
      <c r="BK709" s="111"/>
      <c r="BL709" s="111" t="n">
        <v>63</v>
      </c>
      <c r="BW709" s="111" t="n">
        <v>21</v>
      </c>
      <c r="BX709" s="14" t="s">
        <v>1220</v>
      </c>
    </row>
    <row r="710">
      <c r="A710" s="154"/>
      <c r="B710" s="155"/>
      <c r="C710" s="155"/>
      <c r="D710" s="156" t="s">
        <v>892</v>
      </c>
      <c r="E710" s="156" t="s">
        <v>1217</v>
      </c>
      <c r="F710" s="155"/>
      <c r="G710" s="157" t="n">
        <v>89.1</v>
      </c>
      <c r="H710" s="155"/>
      <c r="I710" s="155"/>
      <c r="J710" s="155"/>
      <c r="K710" s="146"/>
    </row>
    <row r="711">
      <c r="A711" s="9" t="s">
        <v>1221</v>
      </c>
      <c r="B711" s="10" t="s">
        <v>84</v>
      </c>
      <c r="C711" s="10" t="s">
        <v>1222</v>
      </c>
      <c r="D711" s="14" t="s">
        <v>1223</v>
      </c>
      <c r="E711" s="10"/>
      <c r="F711" s="10" t="s">
        <v>145</v>
      </c>
      <c r="G711" s="111">
        <f>'Stavební rozpočet'!G711</f>
      </c>
      <c r="H711" s="111">
        <f>'Stavební rozpočet'!H711</f>
      </c>
      <c r="I711" s="111">
        <f>G711*H711</f>
      </c>
      <c r="J711" s="153" t="s">
        <v>134</v>
      </c>
      <c r="K711" s="146"/>
      <c r="Z711" s="111">
        <f>IF(AQ711="5",BJ711,0)</f>
      </c>
      <c r="AB711" s="111">
        <f>IF(AQ711="1",BH711,0)</f>
      </c>
      <c r="AC711" s="111">
        <f>IF(AQ711="1",BI711,0)</f>
      </c>
      <c r="AD711" s="111">
        <f>IF(AQ711="7",BH711,0)</f>
      </c>
      <c r="AE711" s="111">
        <f>IF(AQ711="7",BI711,0)</f>
      </c>
      <c r="AF711" s="111">
        <f>IF(AQ711="2",BH711,0)</f>
      </c>
      <c r="AG711" s="111">
        <f>IF(AQ711="2",BI711,0)</f>
      </c>
      <c r="AH711" s="111">
        <f>IF(AQ711="0",BJ711,0)</f>
      </c>
      <c r="AI711" s="132" t="s">
        <v>84</v>
      </c>
      <c r="AJ711" s="111">
        <f>IF(AN711=0,I711,0)</f>
      </c>
      <c r="AK711" s="111">
        <f>IF(AN711=12,I711,0)</f>
      </c>
      <c r="AL711" s="111">
        <f>IF(AN711=21,I711,0)</f>
      </c>
      <c r="AN711" s="111" t="n">
        <v>21</v>
      </c>
      <c r="AO711" s="111">
        <f>H711*0.892408377</f>
      </c>
      <c r="AP711" s="111">
        <f>H711*(1-0.892408377)</f>
      </c>
      <c r="AQ711" s="153" t="s">
        <v>130</v>
      </c>
      <c r="AV711" s="111">
        <f>AW711+AX711</f>
      </c>
      <c r="AW711" s="111">
        <f>G711*AO711</f>
      </c>
      <c r="AX711" s="111">
        <f>G711*AP711</f>
      </c>
      <c r="AY711" s="153" t="s">
        <v>1215</v>
      </c>
      <c r="AZ711" s="153" t="s">
        <v>975</v>
      </c>
      <c r="BA711" s="132" t="s">
        <v>137</v>
      </c>
      <c r="BC711" s="111">
        <f>AW711+AX711</f>
      </c>
      <c r="BD711" s="111">
        <f>H711/(100-BE711)*100</f>
      </c>
      <c r="BE711" s="111" t="n">
        <v>0</v>
      </c>
      <c r="BF711" s="111">
        <f>711</f>
      </c>
      <c r="BH711" s="111">
        <f>G711*AO711</f>
      </c>
      <c r="BI711" s="111">
        <f>G711*AP711</f>
      </c>
      <c r="BJ711" s="111">
        <f>G711*H711</f>
      </c>
      <c r="BK711" s="111"/>
      <c r="BL711" s="111" t="n">
        <v>63</v>
      </c>
      <c r="BW711" s="111" t="n">
        <v>21</v>
      </c>
      <c r="BX711" s="14" t="s">
        <v>1223</v>
      </c>
    </row>
    <row r="712" customHeight="true" ht="13.5">
      <c r="A712" s="159"/>
      <c r="C712" s="160" t="s">
        <v>146</v>
      </c>
      <c r="D712" s="161" t="s">
        <v>1224</v>
      </c>
      <c r="E712" s="156"/>
      <c r="F712" s="156"/>
      <c r="G712" s="156"/>
      <c r="H712" s="156"/>
      <c r="I712" s="156"/>
      <c r="J712" s="156"/>
      <c r="K712" s="163"/>
    </row>
    <row r="713">
      <c r="A713" s="154"/>
      <c r="B713" s="155"/>
      <c r="C713" s="155"/>
      <c r="D713" s="156" t="s">
        <v>1225</v>
      </c>
      <c r="E713" s="156" t="s">
        <v>1226</v>
      </c>
      <c r="F713" s="155"/>
      <c r="G713" s="157" t="n">
        <v>267.3</v>
      </c>
      <c r="H713" s="155"/>
      <c r="I713" s="155"/>
      <c r="J713" s="155"/>
      <c r="K713" s="146"/>
    </row>
    <row r="714">
      <c r="A714" s="9" t="s">
        <v>1227</v>
      </c>
      <c r="B714" s="10" t="s">
        <v>84</v>
      </c>
      <c r="C714" s="10" t="s">
        <v>1228</v>
      </c>
      <c r="D714" s="14" t="s">
        <v>1229</v>
      </c>
      <c r="E714" s="10"/>
      <c r="F714" s="10" t="s">
        <v>159</v>
      </c>
      <c r="G714" s="111">
        <f>'Stavební rozpočet'!G714</f>
      </c>
      <c r="H714" s="111">
        <f>'Stavební rozpočet'!H714</f>
      </c>
      <c r="I714" s="111">
        <f>G714*H714</f>
      </c>
      <c r="J714" s="153" t="s">
        <v>134</v>
      </c>
      <c r="K714" s="146"/>
      <c r="Z714" s="111">
        <f>IF(AQ714="5",BJ714,0)</f>
      </c>
      <c r="AB714" s="111">
        <f>IF(AQ714="1",BH714,0)</f>
      </c>
      <c r="AC714" s="111">
        <f>IF(AQ714="1",BI714,0)</f>
      </c>
      <c r="AD714" s="111">
        <f>IF(AQ714="7",BH714,0)</f>
      </c>
      <c r="AE714" s="111">
        <f>IF(AQ714="7",BI714,0)</f>
      </c>
      <c r="AF714" s="111">
        <f>IF(AQ714="2",BH714,0)</f>
      </c>
      <c r="AG714" s="111">
        <f>IF(AQ714="2",BI714,0)</f>
      </c>
      <c r="AH714" s="111">
        <f>IF(AQ714="0",BJ714,0)</f>
      </c>
      <c r="AI714" s="132" t="s">
        <v>84</v>
      </c>
      <c r="AJ714" s="111">
        <f>IF(AN714=0,I714,0)</f>
      </c>
      <c r="AK714" s="111">
        <f>IF(AN714=12,I714,0)</f>
      </c>
      <c r="AL714" s="111">
        <f>IF(AN714=21,I714,0)</f>
      </c>
      <c r="AN714" s="111" t="n">
        <v>21</v>
      </c>
      <c r="AO714" s="111">
        <f>H714*0.680208511</f>
      </c>
      <c r="AP714" s="111">
        <f>H714*(1-0.680208511)</f>
      </c>
      <c r="AQ714" s="153" t="s">
        <v>130</v>
      </c>
      <c r="AV714" s="111">
        <f>AW714+AX714</f>
      </c>
      <c r="AW714" s="111">
        <f>G714*AO714</f>
      </c>
      <c r="AX714" s="111">
        <f>G714*AP714</f>
      </c>
      <c r="AY714" s="153" t="s">
        <v>1215</v>
      </c>
      <c r="AZ714" s="153" t="s">
        <v>975</v>
      </c>
      <c r="BA714" s="132" t="s">
        <v>137</v>
      </c>
      <c r="BC714" s="111">
        <f>AW714+AX714</f>
      </c>
      <c r="BD714" s="111">
        <f>H714/(100-BE714)*100</f>
      </c>
      <c r="BE714" s="111" t="n">
        <v>0</v>
      </c>
      <c r="BF714" s="111">
        <f>714</f>
      </c>
      <c r="BH714" s="111">
        <f>G714*AO714</f>
      </c>
      <c r="BI714" s="111">
        <f>G714*AP714</f>
      </c>
      <c r="BJ714" s="111">
        <f>G714*H714</f>
      </c>
      <c r="BK714" s="111"/>
      <c r="BL714" s="111" t="n">
        <v>63</v>
      </c>
      <c r="BW714" s="111" t="n">
        <v>21</v>
      </c>
      <c r="BX714" s="14" t="s">
        <v>1229</v>
      </c>
    </row>
    <row r="715" customHeight="true" ht="13.5">
      <c r="A715" s="159"/>
      <c r="C715" s="160" t="s">
        <v>146</v>
      </c>
      <c r="D715" s="161" t="s">
        <v>1230</v>
      </c>
      <c r="E715" s="156"/>
      <c r="F715" s="156"/>
      <c r="G715" s="156"/>
      <c r="H715" s="156"/>
      <c r="I715" s="156"/>
      <c r="J715" s="156"/>
      <c r="K715" s="163"/>
    </row>
    <row r="716">
      <c r="A716" s="154"/>
      <c r="B716" s="155"/>
      <c r="C716" s="155"/>
      <c r="D716" s="156" t="s">
        <v>1231</v>
      </c>
      <c r="E716" s="156" t="s">
        <v>1232</v>
      </c>
      <c r="F716" s="155"/>
      <c r="G716" s="157" t="n">
        <v>0.494</v>
      </c>
      <c r="H716" s="155"/>
      <c r="I716" s="155"/>
      <c r="J716" s="155"/>
      <c r="K716" s="146"/>
    </row>
    <row r="717">
      <c r="A717" s="154"/>
      <c r="B717" s="155"/>
      <c r="C717" s="155"/>
      <c r="D717" s="156" t="s">
        <v>1233</v>
      </c>
      <c r="E717" s="156" t="s">
        <v>1234</v>
      </c>
      <c r="F717" s="155"/>
      <c r="G717" s="157" t="n">
        <v>11.725</v>
      </c>
      <c r="H717" s="155"/>
      <c r="I717" s="155"/>
      <c r="J717" s="155"/>
      <c r="K717" s="146"/>
    </row>
    <row r="718">
      <c r="A718" s="154"/>
      <c r="B718" s="155"/>
      <c r="C718" s="155"/>
      <c r="D718" s="156" t="s">
        <v>1235</v>
      </c>
      <c r="E718" s="156" t="s">
        <v>1236</v>
      </c>
      <c r="F718" s="155"/>
      <c r="G718" s="157" t="n">
        <v>3.0745</v>
      </c>
      <c r="H718" s="155"/>
      <c r="I718" s="155"/>
      <c r="J718" s="155"/>
      <c r="K718" s="146"/>
    </row>
    <row r="719">
      <c r="A719" s="154"/>
      <c r="B719" s="155"/>
      <c r="C719" s="155"/>
      <c r="D719" s="156" t="s">
        <v>1237</v>
      </c>
      <c r="E719" s="156" t="s">
        <v>1238</v>
      </c>
      <c r="F719" s="155"/>
      <c r="G719" s="157" t="n">
        <v>12.015</v>
      </c>
      <c r="H719" s="155"/>
      <c r="I719" s="155"/>
      <c r="J719" s="155"/>
      <c r="K719" s="146"/>
    </row>
    <row r="720">
      <c r="A720" s="9" t="s">
        <v>1239</v>
      </c>
      <c r="B720" s="10" t="s">
        <v>84</v>
      </c>
      <c r="C720" s="10" t="s">
        <v>1240</v>
      </c>
      <c r="D720" s="14" t="s">
        <v>1241</v>
      </c>
      <c r="E720" s="10"/>
      <c r="F720" s="10" t="s">
        <v>1242</v>
      </c>
      <c r="G720" s="111">
        <f>'Stavební rozpočet'!G720</f>
      </c>
      <c r="H720" s="111">
        <f>'Stavební rozpočet'!H720</f>
      </c>
      <c r="I720" s="111">
        <f>G720*H720</f>
      </c>
      <c r="J720" s="153" t="s">
        <v>134</v>
      </c>
      <c r="K720" s="146"/>
      <c r="Z720" s="111">
        <f>IF(AQ720="5",BJ720,0)</f>
      </c>
      <c r="AB720" s="111">
        <f>IF(AQ720="1",BH720,0)</f>
      </c>
      <c r="AC720" s="111">
        <f>IF(AQ720="1",BI720,0)</f>
      </c>
      <c r="AD720" s="111">
        <f>IF(AQ720="7",BH720,0)</f>
      </c>
      <c r="AE720" s="111">
        <f>IF(AQ720="7",BI720,0)</f>
      </c>
      <c r="AF720" s="111">
        <f>IF(AQ720="2",BH720,0)</f>
      </c>
      <c r="AG720" s="111">
        <f>IF(AQ720="2",BI720,0)</f>
      </c>
      <c r="AH720" s="111">
        <f>IF(AQ720="0",BJ720,0)</f>
      </c>
      <c r="AI720" s="132" t="s">
        <v>84</v>
      </c>
      <c r="AJ720" s="111">
        <f>IF(AN720=0,I720,0)</f>
      </c>
      <c r="AK720" s="111">
        <f>IF(AN720=12,I720,0)</f>
      </c>
      <c r="AL720" s="111">
        <f>IF(AN720=21,I720,0)</f>
      </c>
      <c r="AN720" s="111" t="n">
        <v>21</v>
      </c>
      <c r="AO720" s="111">
        <f>H720*1</f>
      </c>
      <c r="AP720" s="111">
        <f>H720*(1-1)</f>
      </c>
      <c r="AQ720" s="153" t="s">
        <v>130</v>
      </c>
      <c r="AV720" s="111">
        <f>AW720+AX720</f>
      </c>
      <c r="AW720" s="111">
        <f>G720*AO720</f>
      </c>
      <c r="AX720" s="111">
        <f>G720*AP720</f>
      </c>
      <c r="AY720" s="153" t="s">
        <v>1215</v>
      </c>
      <c r="AZ720" s="153" t="s">
        <v>975</v>
      </c>
      <c r="BA720" s="132" t="s">
        <v>137</v>
      </c>
      <c r="BC720" s="111">
        <f>AW720+AX720</f>
      </c>
      <c r="BD720" s="111">
        <f>H720/(100-BE720)*100</f>
      </c>
      <c r="BE720" s="111" t="n">
        <v>0</v>
      </c>
      <c r="BF720" s="111">
        <f>720</f>
      </c>
      <c r="BH720" s="111">
        <f>G720*AO720</f>
      </c>
      <c r="BI720" s="111">
        <f>G720*AP720</f>
      </c>
      <c r="BJ720" s="111">
        <f>G720*H720</f>
      </c>
      <c r="BK720" s="111"/>
      <c r="BL720" s="111" t="n">
        <v>63</v>
      </c>
      <c r="BW720" s="111" t="n">
        <v>21</v>
      </c>
      <c r="BX720" s="14" t="s">
        <v>1241</v>
      </c>
    </row>
    <row r="721">
      <c r="A721" s="154"/>
      <c r="B721" s="155"/>
      <c r="C721" s="155"/>
      <c r="D721" s="156" t="s">
        <v>4</v>
      </c>
      <c r="E721" s="156" t="s">
        <v>1243</v>
      </c>
      <c r="F721" s="155"/>
      <c r="G721" s="157" t="n">
        <v>0</v>
      </c>
      <c r="H721" s="155"/>
      <c r="I721" s="155"/>
      <c r="J721" s="155"/>
      <c r="K721" s="146"/>
    </row>
    <row r="722">
      <c r="A722" s="154"/>
      <c r="B722" s="155"/>
      <c r="C722" s="155"/>
      <c r="D722" s="156" t="s">
        <v>1244</v>
      </c>
      <c r="E722" s="156" t="s">
        <v>1232</v>
      </c>
      <c r="F722" s="155"/>
      <c r="G722" s="157" t="n">
        <v>1.976</v>
      </c>
      <c r="H722" s="155"/>
      <c r="I722" s="155"/>
      <c r="J722" s="155"/>
      <c r="K722" s="146"/>
    </row>
    <row r="723">
      <c r="A723" s="154"/>
      <c r="B723" s="155"/>
      <c r="C723" s="155"/>
      <c r="D723" s="156" t="s">
        <v>1245</v>
      </c>
      <c r="E723" s="156" t="s">
        <v>1234</v>
      </c>
      <c r="F723" s="155"/>
      <c r="G723" s="157" t="n">
        <v>46.9</v>
      </c>
      <c r="H723" s="155"/>
      <c r="I723" s="155"/>
      <c r="J723" s="155"/>
      <c r="K723" s="146"/>
    </row>
    <row r="724">
      <c r="A724" s="154"/>
      <c r="B724" s="155"/>
      <c r="C724" s="155"/>
      <c r="D724" s="156" t="s">
        <v>1246</v>
      </c>
      <c r="E724" s="156" t="s">
        <v>1236</v>
      </c>
      <c r="F724" s="155"/>
      <c r="G724" s="157" t="n">
        <v>12.298</v>
      </c>
      <c r="H724" s="155"/>
      <c r="I724" s="155"/>
      <c r="J724" s="155"/>
      <c r="K724" s="146"/>
    </row>
    <row r="725">
      <c r="A725" s="9" t="s">
        <v>1247</v>
      </c>
      <c r="B725" s="10" t="s">
        <v>84</v>
      </c>
      <c r="C725" s="10" t="s">
        <v>1248</v>
      </c>
      <c r="D725" s="14" t="s">
        <v>1249</v>
      </c>
      <c r="E725" s="10"/>
      <c r="F725" s="10" t="s">
        <v>145</v>
      </c>
      <c r="G725" s="111">
        <f>'Stavební rozpočet'!G725</f>
      </c>
      <c r="H725" s="111">
        <f>'Stavební rozpočet'!H725</f>
      </c>
      <c r="I725" s="111">
        <f>G725*H725</f>
      </c>
      <c r="J725" s="153" t="s">
        <v>134</v>
      </c>
      <c r="K725" s="146"/>
      <c r="Z725" s="111">
        <f>IF(AQ725="5",BJ725,0)</f>
      </c>
      <c r="AB725" s="111">
        <f>IF(AQ725="1",BH725,0)</f>
      </c>
      <c r="AC725" s="111">
        <f>IF(AQ725="1",BI725,0)</f>
      </c>
      <c r="AD725" s="111">
        <f>IF(AQ725="7",BH725,0)</f>
      </c>
      <c r="AE725" s="111">
        <f>IF(AQ725="7",BI725,0)</f>
      </c>
      <c r="AF725" s="111">
        <f>IF(AQ725="2",BH725,0)</f>
      </c>
      <c r="AG725" s="111">
        <f>IF(AQ725="2",BI725,0)</f>
      </c>
      <c r="AH725" s="111">
        <f>IF(AQ725="0",BJ725,0)</f>
      </c>
      <c r="AI725" s="132" t="s">
        <v>84</v>
      </c>
      <c r="AJ725" s="111">
        <f>IF(AN725=0,I725,0)</f>
      </c>
      <c r="AK725" s="111">
        <f>IF(AN725=12,I725,0)</f>
      </c>
      <c r="AL725" s="111">
        <f>IF(AN725=21,I725,0)</f>
      </c>
      <c r="AN725" s="111" t="n">
        <v>21</v>
      </c>
      <c r="AO725" s="111">
        <f>H725*0.796828358</f>
      </c>
      <c r="AP725" s="111">
        <f>H725*(1-0.796828358)</f>
      </c>
      <c r="AQ725" s="153" t="s">
        <v>130</v>
      </c>
      <c r="AV725" s="111">
        <f>AW725+AX725</f>
      </c>
      <c r="AW725" s="111">
        <f>G725*AO725</f>
      </c>
      <c r="AX725" s="111">
        <f>G725*AP725</f>
      </c>
      <c r="AY725" s="153" t="s">
        <v>1215</v>
      </c>
      <c r="AZ725" s="153" t="s">
        <v>975</v>
      </c>
      <c r="BA725" s="132" t="s">
        <v>137</v>
      </c>
      <c r="BC725" s="111">
        <f>AW725+AX725</f>
      </c>
      <c r="BD725" s="111">
        <f>H725/(100-BE725)*100</f>
      </c>
      <c r="BE725" s="111" t="n">
        <v>0</v>
      </c>
      <c r="BF725" s="111">
        <f>725</f>
      </c>
      <c r="BH725" s="111">
        <f>G725*AO725</f>
      </c>
      <c r="BI725" s="111">
        <f>G725*AP725</f>
      </c>
      <c r="BJ725" s="111">
        <f>G725*H725</f>
      </c>
      <c r="BK725" s="111"/>
      <c r="BL725" s="111" t="n">
        <v>63</v>
      </c>
      <c r="BW725" s="111" t="n">
        <v>21</v>
      </c>
      <c r="BX725" s="14" t="s">
        <v>1249</v>
      </c>
    </row>
    <row r="726">
      <c r="A726" s="154"/>
      <c r="B726" s="155"/>
      <c r="C726" s="155"/>
      <c r="D726" s="156" t="s">
        <v>1250</v>
      </c>
      <c r="E726" s="156" t="s">
        <v>1232</v>
      </c>
      <c r="F726" s="155"/>
      <c r="G726" s="157" t="n">
        <v>7.6</v>
      </c>
      <c r="H726" s="155"/>
      <c r="I726" s="155"/>
      <c r="J726" s="155"/>
      <c r="K726" s="146"/>
    </row>
    <row r="727">
      <c r="A727" s="154"/>
      <c r="B727" s="155"/>
      <c r="C727" s="155"/>
      <c r="D727" s="156" t="s">
        <v>1251</v>
      </c>
      <c r="E727" s="156" t="s">
        <v>1234</v>
      </c>
      <c r="F727" s="155"/>
      <c r="G727" s="157" t="n">
        <v>167.5</v>
      </c>
      <c r="H727" s="155"/>
      <c r="I727" s="155"/>
      <c r="J727" s="155"/>
      <c r="K727" s="146"/>
    </row>
    <row r="728">
      <c r="A728" s="154"/>
      <c r="B728" s="155"/>
      <c r="C728" s="155"/>
      <c r="D728" s="156" t="s">
        <v>1252</v>
      </c>
      <c r="E728" s="156" t="s">
        <v>1236</v>
      </c>
      <c r="F728" s="155"/>
      <c r="G728" s="157" t="n">
        <v>47.3</v>
      </c>
      <c r="H728" s="155"/>
      <c r="I728" s="155"/>
      <c r="J728" s="155"/>
      <c r="K728" s="146"/>
    </row>
    <row r="729">
      <c r="A729" s="154"/>
      <c r="B729" s="155"/>
      <c r="C729" s="155"/>
      <c r="D729" s="156" t="s">
        <v>1253</v>
      </c>
      <c r="E729" s="156" t="s">
        <v>1238</v>
      </c>
      <c r="F729" s="155"/>
      <c r="G729" s="157" t="n">
        <v>240.3</v>
      </c>
      <c r="H729" s="155"/>
      <c r="I729" s="155"/>
      <c r="J729" s="155"/>
      <c r="K729" s="146"/>
    </row>
    <row r="730">
      <c r="A730" s="9" t="s">
        <v>1254</v>
      </c>
      <c r="B730" s="10" t="s">
        <v>84</v>
      </c>
      <c r="C730" s="10" t="s">
        <v>1255</v>
      </c>
      <c r="D730" s="14" t="s">
        <v>1256</v>
      </c>
      <c r="E730" s="10"/>
      <c r="F730" s="10" t="s">
        <v>145</v>
      </c>
      <c r="G730" s="111">
        <f>'Stavební rozpočet'!G730</f>
      </c>
      <c r="H730" s="111">
        <f>'Stavební rozpočet'!H730</f>
      </c>
      <c r="I730" s="111">
        <f>G730*H730</f>
      </c>
      <c r="J730" s="153" t="s">
        <v>134</v>
      </c>
      <c r="K730" s="146"/>
      <c r="Z730" s="111">
        <f>IF(AQ730="5",BJ730,0)</f>
      </c>
      <c r="AB730" s="111">
        <f>IF(AQ730="1",BH730,0)</f>
      </c>
      <c r="AC730" s="111">
        <f>IF(AQ730="1",BI730,0)</f>
      </c>
      <c r="AD730" s="111">
        <f>IF(AQ730="7",BH730,0)</f>
      </c>
      <c r="AE730" s="111">
        <f>IF(AQ730="7",BI730,0)</f>
      </c>
      <c r="AF730" s="111">
        <f>IF(AQ730="2",BH730,0)</f>
      </c>
      <c r="AG730" s="111">
        <f>IF(AQ730="2",BI730,0)</f>
      </c>
      <c r="AH730" s="111">
        <f>IF(AQ730="0",BJ730,0)</f>
      </c>
      <c r="AI730" s="132" t="s">
        <v>84</v>
      </c>
      <c r="AJ730" s="111">
        <f>IF(AN730=0,I730,0)</f>
      </c>
      <c r="AK730" s="111">
        <f>IF(AN730=12,I730,0)</f>
      </c>
      <c r="AL730" s="111">
        <f>IF(AN730=21,I730,0)</f>
      </c>
      <c r="AN730" s="111" t="n">
        <v>21</v>
      </c>
      <c r="AO730" s="111">
        <f>H730*0</f>
      </c>
      <c r="AP730" s="111">
        <f>H730*(1-0)</f>
      </c>
      <c r="AQ730" s="153" t="s">
        <v>130</v>
      </c>
      <c r="AV730" s="111">
        <f>AW730+AX730</f>
      </c>
      <c r="AW730" s="111">
        <f>G730*AO730</f>
      </c>
      <c r="AX730" s="111">
        <f>G730*AP730</f>
      </c>
      <c r="AY730" s="153" t="s">
        <v>1215</v>
      </c>
      <c r="AZ730" s="153" t="s">
        <v>975</v>
      </c>
      <c r="BA730" s="132" t="s">
        <v>137</v>
      </c>
      <c r="BC730" s="111">
        <f>AW730+AX730</f>
      </c>
      <c r="BD730" s="111">
        <f>H730/(100-BE730)*100</f>
      </c>
      <c r="BE730" s="111" t="n">
        <v>0</v>
      </c>
      <c r="BF730" s="111">
        <f>730</f>
      </c>
      <c r="BH730" s="111">
        <f>G730*AO730</f>
      </c>
      <c r="BI730" s="111">
        <f>G730*AP730</f>
      </c>
      <c r="BJ730" s="111">
        <f>G730*H730</f>
      </c>
      <c r="BK730" s="111"/>
      <c r="BL730" s="111" t="n">
        <v>63</v>
      </c>
      <c r="BW730" s="111" t="n">
        <v>21</v>
      </c>
      <c r="BX730" s="14" t="s">
        <v>1256</v>
      </c>
    </row>
    <row r="731">
      <c r="A731" s="154"/>
      <c r="B731" s="155"/>
      <c r="C731" s="155"/>
      <c r="D731" s="156" t="s">
        <v>1250</v>
      </c>
      <c r="E731" s="156" t="s">
        <v>1232</v>
      </c>
      <c r="F731" s="155"/>
      <c r="G731" s="157" t="n">
        <v>7.6</v>
      </c>
      <c r="H731" s="155"/>
      <c r="I731" s="155"/>
      <c r="J731" s="155"/>
      <c r="K731" s="146"/>
    </row>
    <row r="732">
      <c r="A732" s="154"/>
      <c r="B732" s="155"/>
      <c r="C732" s="155"/>
      <c r="D732" s="156" t="s">
        <v>1251</v>
      </c>
      <c r="E732" s="156" t="s">
        <v>1234</v>
      </c>
      <c r="F732" s="155"/>
      <c r="G732" s="157" t="n">
        <v>167.5</v>
      </c>
      <c r="H732" s="155"/>
      <c r="I732" s="155"/>
      <c r="J732" s="155"/>
      <c r="K732" s="146"/>
    </row>
    <row r="733">
      <c r="A733" s="154"/>
      <c r="B733" s="155"/>
      <c r="C733" s="155"/>
      <c r="D733" s="156" t="s">
        <v>1252</v>
      </c>
      <c r="E733" s="156" t="s">
        <v>1236</v>
      </c>
      <c r="F733" s="155"/>
      <c r="G733" s="157" t="n">
        <v>47.3</v>
      </c>
      <c r="H733" s="155"/>
      <c r="I733" s="155"/>
      <c r="J733" s="155"/>
      <c r="K733" s="146"/>
    </row>
    <row r="734">
      <c r="A734" s="154"/>
      <c r="B734" s="155"/>
      <c r="C734" s="155"/>
      <c r="D734" s="156" t="s">
        <v>1253</v>
      </c>
      <c r="E734" s="156" t="s">
        <v>1238</v>
      </c>
      <c r="F734" s="155"/>
      <c r="G734" s="157" t="n">
        <v>240.3</v>
      </c>
      <c r="H734" s="155"/>
      <c r="I734" s="155"/>
      <c r="J734" s="155"/>
      <c r="K734" s="146"/>
    </row>
    <row r="735">
      <c r="A735" s="9" t="s">
        <v>1257</v>
      </c>
      <c r="B735" s="10" t="s">
        <v>84</v>
      </c>
      <c r="C735" s="10" t="s">
        <v>1258</v>
      </c>
      <c r="D735" s="14" t="s">
        <v>1259</v>
      </c>
      <c r="E735" s="10"/>
      <c r="F735" s="10" t="s">
        <v>229</v>
      </c>
      <c r="G735" s="111">
        <f>'Stavební rozpočet'!G735</f>
      </c>
      <c r="H735" s="111">
        <f>'Stavební rozpočet'!H735</f>
      </c>
      <c r="I735" s="111">
        <f>G735*H735</f>
      </c>
      <c r="J735" s="153" t="s">
        <v>134</v>
      </c>
      <c r="K735" s="146"/>
      <c r="Z735" s="111">
        <f>IF(AQ735="5",BJ735,0)</f>
      </c>
      <c r="AB735" s="111">
        <f>IF(AQ735="1",BH735,0)</f>
      </c>
      <c r="AC735" s="111">
        <f>IF(AQ735="1",BI735,0)</f>
      </c>
      <c r="AD735" s="111">
        <f>IF(AQ735="7",BH735,0)</f>
      </c>
      <c r="AE735" s="111">
        <f>IF(AQ735="7",BI735,0)</f>
      </c>
      <c r="AF735" s="111">
        <f>IF(AQ735="2",BH735,0)</f>
      </c>
      <c r="AG735" s="111">
        <f>IF(AQ735="2",BI735,0)</f>
      </c>
      <c r="AH735" s="111">
        <f>IF(AQ735="0",BJ735,0)</f>
      </c>
      <c r="AI735" s="132" t="s">
        <v>84</v>
      </c>
      <c r="AJ735" s="111">
        <f>IF(AN735=0,I735,0)</f>
      </c>
      <c r="AK735" s="111">
        <f>IF(AN735=12,I735,0)</f>
      </c>
      <c r="AL735" s="111">
        <f>IF(AN735=21,I735,0)</f>
      </c>
      <c r="AN735" s="111" t="n">
        <v>21</v>
      </c>
      <c r="AO735" s="111">
        <f>H735*0.783954222</f>
      </c>
      <c r="AP735" s="111">
        <f>H735*(1-0.783954222)</f>
      </c>
      <c r="AQ735" s="153" t="s">
        <v>130</v>
      </c>
      <c r="AV735" s="111">
        <f>AW735+AX735</f>
      </c>
      <c r="AW735" s="111">
        <f>G735*AO735</f>
      </c>
      <c r="AX735" s="111">
        <f>G735*AP735</f>
      </c>
      <c r="AY735" s="153" t="s">
        <v>1215</v>
      </c>
      <c r="AZ735" s="153" t="s">
        <v>975</v>
      </c>
      <c r="BA735" s="132" t="s">
        <v>137</v>
      </c>
      <c r="BC735" s="111">
        <f>AW735+AX735</f>
      </c>
      <c r="BD735" s="111">
        <f>H735/(100-BE735)*100</f>
      </c>
      <c r="BE735" s="111" t="n">
        <v>0</v>
      </c>
      <c r="BF735" s="111">
        <f>735</f>
      </c>
      <c r="BH735" s="111">
        <f>G735*AO735</f>
      </c>
      <c r="BI735" s="111">
        <f>G735*AP735</f>
      </c>
      <c r="BJ735" s="111">
        <f>G735*H735</f>
      </c>
      <c r="BK735" s="111"/>
      <c r="BL735" s="111" t="n">
        <v>63</v>
      </c>
      <c r="BW735" s="111" t="n">
        <v>21</v>
      </c>
      <c r="BX735" s="14" t="s">
        <v>1259</v>
      </c>
    </row>
    <row r="736" customHeight="true" ht="13.5">
      <c r="A736" s="159"/>
      <c r="C736" s="160" t="s">
        <v>146</v>
      </c>
      <c r="D736" s="161" t="s">
        <v>1260</v>
      </c>
      <c r="E736" s="156"/>
      <c r="F736" s="156"/>
      <c r="G736" s="156"/>
      <c r="H736" s="156"/>
      <c r="I736" s="156"/>
      <c r="J736" s="156"/>
      <c r="K736" s="163"/>
    </row>
    <row r="737">
      <c r="A737" s="154"/>
      <c r="B737" s="155"/>
      <c r="C737" s="155"/>
      <c r="D737" s="156" t="s">
        <v>1261</v>
      </c>
      <c r="E737" s="156" t="s">
        <v>1238</v>
      </c>
      <c r="F737" s="155"/>
      <c r="G737" s="157" t="n">
        <v>0.67164</v>
      </c>
      <c r="H737" s="155"/>
      <c r="I737" s="155"/>
      <c r="J737" s="155"/>
      <c r="K737" s="146"/>
    </row>
    <row r="738">
      <c r="A738" s="9" t="s">
        <v>1262</v>
      </c>
      <c r="B738" s="10" t="s">
        <v>84</v>
      </c>
      <c r="C738" s="10" t="s">
        <v>1263</v>
      </c>
      <c r="D738" s="14" t="s">
        <v>1264</v>
      </c>
      <c r="E738" s="10"/>
      <c r="F738" s="10" t="s">
        <v>145</v>
      </c>
      <c r="G738" s="111">
        <f>'Stavební rozpočet'!G738</f>
      </c>
      <c r="H738" s="111">
        <f>'Stavební rozpočet'!H738</f>
      </c>
      <c r="I738" s="111">
        <f>G738*H738</f>
      </c>
      <c r="J738" s="153" t="s">
        <v>134</v>
      </c>
      <c r="K738" s="146"/>
      <c r="Z738" s="111">
        <f>IF(AQ738="5",BJ738,0)</f>
      </c>
      <c r="AB738" s="111">
        <f>IF(AQ738="1",BH738,0)</f>
      </c>
      <c r="AC738" s="111">
        <f>IF(AQ738="1",BI738,0)</f>
      </c>
      <c r="AD738" s="111">
        <f>IF(AQ738="7",BH738,0)</f>
      </c>
      <c r="AE738" s="111">
        <f>IF(AQ738="7",BI738,0)</f>
      </c>
      <c r="AF738" s="111">
        <f>IF(AQ738="2",BH738,0)</f>
      </c>
      <c r="AG738" s="111">
        <f>IF(AQ738="2",BI738,0)</f>
      </c>
      <c r="AH738" s="111">
        <f>IF(AQ738="0",BJ738,0)</f>
      </c>
      <c r="AI738" s="132" t="s">
        <v>84</v>
      </c>
      <c r="AJ738" s="111">
        <f>IF(AN738=0,I738,0)</f>
      </c>
      <c r="AK738" s="111">
        <f>IF(AN738=12,I738,0)</f>
      </c>
      <c r="AL738" s="111">
        <f>IF(AN738=21,I738,0)</f>
      </c>
      <c r="AN738" s="111" t="n">
        <v>21</v>
      </c>
      <c r="AO738" s="111">
        <f>H738*0.485697829</f>
      </c>
      <c r="AP738" s="111">
        <f>H738*(1-0.485697829)</f>
      </c>
      <c r="AQ738" s="153" t="s">
        <v>130</v>
      </c>
      <c r="AV738" s="111">
        <f>AW738+AX738</f>
      </c>
      <c r="AW738" s="111">
        <f>G738*AO738</f>
      </c>
      <c r="AX738" s="111">
        <f>G738*AP738</f>
      </c>
      <c r="AY738" s="153" t="s">
        <v>1215</v>
      </c>
      <c r="AZ738" s="153" t="s">
        <v>975</v>
      </c>
      <c r="BA738" s="132" t="s">
        <v>137</v>
      </c>
      <c r="BC738" s="111">
        <f>AW738+AX738</f>
      </c>
      <c r="BD738" s="111">
        <f>H738/(100-BE738)*100</f>
      </c>
      <c r="BE738" s="111" t="n">
        <v>0</v>
      </c>
      <c r="BF738" s="111">
        <f>738</f>
      </c>
      <c r="BH738" s="111">
        <f>G738*AO738</f>
      </c>
      <c r="BI738" s="111">
        <f>G738*AP738</f>
      </c>
      <c r="BJ738" s="111">
        <f>G738*H738</f>
      </c>
      <c r="BK738" s="111"/>
      <c r="BL738" s="111" t="n">
        <v>63</v>
      </c>
      <c r="BW738" s="111" t="n">
        <v>21</v>
      </c>
      <c r="BX738" s="14" t="s">
        <v>1264</v>
      </c>
    </row>
    <row r="739" customHeight="true" ht="13.5">
      <c r="A739" s="159"/>
      <c r="C739" s="160" t="s">
        <v>146</v>
      </c>
      <c r="D739" s="161" t="s">
        <v>1265</v>
      </c>
      <c r="E739" s="156"/>
      <c r="F739" s="156"/>
      <c r="G739" s="156"/>
      <c r="H739" s="156"/>
      <c r="I739" s="156"/>
      <c r="J739" s="156"/>
      <c r="K739" s="163"/>
    </row>
    <row r="740">
      <c r="A740" s="154"/>
      <c r="B740" s="155"/>
      <c r="C740" s="155"/>
      <c r="D740" s="156" t="s">
        <v>1266</v>
      </c>
      <c r="E740" s="156" t="s">
        <v>1267</v>
      </c>
      <c r="F740" s="155"/>
      <c r="G740" s="157" t="n">
        <v>533.33</v>
      </c>
      <c r="H740" s="155"/>
      <c r="I740" s="155"/>
      <c r="J740" s="155"/>
      <c r="K740" s="146"/>
    </row>
    <row r="741">
      <c r="A741" s="154"/>
      <c r="B741" s="155"/>
      <c r="C741" s="155"/>
      <c r="D741" s="156" t="s">
        <v>4</v>
      </c>
      <c r="E741" s="156" t="s">
        <v>1268</v>
      </c>
      <c r="F741" s="155"/>
      <c r="G741" s="157" t="n">
        <v>0</v>
      </c>
      <c r="H741" s="155"/>
      <c r="I741" s="155"/>
      <c r="J741" s="155"/>
      <c r="K741" s="146"/>
    </row>
    <row r="742">
      <c r="A742" s="9" t="s">
        <v>1269</v>
      </c>
      <c r="B742" s="10" t="s">
        <v>84</v>
      </c>
      <c r="C742" s="10" t="s">
        <v>1270</v>
      </c>
      <c r="D742" s="14" t="s">
        <v>1271</v>
      </c>
      <c r="E742" s="10"/>
      <c r="F742" s="10" t="s">
        <v>145</v>
      </c>
      <c r="G742" s="111">
        <f>'Stavební rozpočet'!G742</f>
      </c>
      <c r="H742" s="111">
        <f>'Stavební rozpočet'!H742</f>
      </c>
      <c r="I742" s="111">
        <f>G742*H742</f>
      </c>
      <c r="J742" s="153" t="s">
        <v>134</v>
      </c>
      <c r="K742" s="146"/>
      <c r="Z742" s="111">
        <f>IF(AQ742="5",BJ742,0)</f>
      </c>
      <c r="AB742" s="111">
        <f>IF(AQ742="1",BH742,0)</f>
      </c>
      <c r="AC742" s="111">
        <f>IF(AQ742="1",BI742,0)</f>
      </c>
      <c r="AD742" s="111">
        <f>IF(AQ742="7",BH742,0)</f>
      </c>
      <c r="AE742" s="111">
        <f>IF(AQ742="7",BI742,0)</f>
      </c>
      <c r="AF742" s="111">
        <f>IF(AQ742="2",BH742,0)</f>
      </c>
      <c r="AG742" s="111">
        <f>IF(AQ742="2",BI742,0)</f>
      </c>
      <c r="AH742" s="111">
        <f>IF(AQ742="0",BJ742,0)</f>
      </c>
      <c r="AI742" s="132" t="s">
        <v>84</v>
      </c>
      <c r="AJ742" s="111">
        <f>IF(AN742=0,I742,0)</f>
      </c>
      <c r="AK742" s="111">
        <f>IF(AN742=12,I742,0)</f>
      </c>
      <c r="AL742" s="111">
        <f>IF(AN742=21,I742,0)</f>
      </c>
      <c r="AN742" s="111" t="n">
        <v>21</v>
      </c>
      <c r="AO742" s="111">
        <f>H742*0.7018692</f>
      </c>
      <c r="AP742" s="111">
        <f>H742*(1-0.7018692)</f>
      </c>
      <c r="AQ742" s="153" t="s">
        <v>130</v>
      </c>
      <c r="AV742" s="111">
        <f>AW742+AX742</f>
      </c>
      <c r="AW742" s="111">
        <f>G742*AO742</f>
      </c>
      <c r="AX742" s="111">
        <f>G742*AP742</f>
      </c>
      <c r="AY742" s="153" t="s">
        <v>1215</v>
      </c>
      <c r="AZ742" s="153" t="s">
        <v>975</v>
      </c>
      <c r="BA742" s="132" t="s">
        <v>137</v>
      </c>
      <c r="BC742" s="111">
        <f>AW742+AX742</f>
      </c>
      <c r="BD742" s="111">
        <f>H742/(100-BE742)*100</f>
      </c>
      <c r="BE742" s="111" t="n">
        <v>0</v>
      </c>
      <c r="BF742" s="111">
        <f>742</f>
      </c>
      <c r="BH742" s="111">
        <f>G742*AO742</f>
      </c>
      <c r="BI742" s="111">
        <f>G742*AP742</f>
      </c>
      <c r="BJ742" s="111">
        <f>G742*H742</f>
      </c>
      <c r="BK742" s="111"/>
      <c r="BL742" s="111" t="n">
        <v>63</v>
      </c>
      <c r="BW742" s="111" t="n">
        <v>21</v>
      </c>
      <c r="BX742" s="14" t="s">
        <v>1271</v>
      </c>
    </row>
    <row r="743" customHeight="true" ht="13.5">
      <c r="A743" s="159"/>
      <c r="C743" s="160" t="s">
        <v>146</v>
      </c>
      <c r="D743" s="161" t="s">
        <v>1272</v>
      </c>
      <c r="E743" s="156"/>
      <c r="F743" s="156"/>
      <c r="G743" s="156"/>
      <c r="H743" s="156"/>
      <c r="I743" s="156"/>
      <c r="J743" s="156"/>
      <c r="K743" s="163"/>
    </row>
    <row r="744">
      <c r="A744" s="154"/>
      <c r="B744" s="155"/>
      <c r="C744" s="155"/>
      <c r="D744" s="156" t="s">
        <v>1273</v>
      </c>
      <c r="E744" s="156" t="s">
        <v>1267</v>
      </c>
      <c r="F744" s="155"/>
      <c r="G744" s="157" t="n">
        <v>799.995</v>
      </c>
      <c r="H744" s="155"/>
      <c r="I744" s="155"/>
      <c r="J744" s="155"/>
      <c r="K744" s="146"/>
    </row>
    <row r="745">
      <c r="A745" s="154"/>
      <c r="B745" s="155"/>
      <c r="C745" s="155"/>
      <c r="D745" s="156" t="s">
        <v>4</v>
      </c>
      <c r="E745" s="156" t="s">
        <v>1268</v>
      </c>
      <c r="F745" s="155"/>
      <c r="G745" s="157" t="n">
        <v>0</v>
      </c>
      <c r="H745" s="155"/>
      <c r="I745" s="155"/>
      <c r="J745" s="155"/>
      <c r="K745" s="146"/>
    </row>
    <row r="746">
      <c r="A746" s="9" t="s">
        <v>1274</v>
      </c>
      <c r="B746" s="10" t="s">
        <v>84</v>
      </c>
      <c r="C746" s="10" t="s">
        <v>1263</v>
      </c>
      <c r="D746" s="14" t="s">
        <v>1275</v>
      </c>
      <c r="E746" s="10"/>
      <c r="F746" s="10" t="s">
        <v>145</v>
      </c>
      <c r="G746" s="111">
        <f>'Stavební rozpočet'!G746</f>
      </c>
      <c r="H746" s="111">
        <f>'Stavební rozpočet'!H746</f>
      </c>
      <c r="I746" s="111">
        <f>G746*H746</f>
      </c>
      <c r="J746" s="153" t="s">
        <v>134</v>
      </c>
      <c r="K746" s="146"/>
      <c r="Z746" s="111">
        <f>IF(AQ746="5",BJ746,0)</f>
      </c>
      <c r="AB746" s="111">
        <f>IF(AQ746="1",BH746,0)</f>
      </c>
      <c r="AC746" s="111">
        <f>IF(AQ746="1",BI746,0)</f>
      </c>
      <c r="AD746" s="111">
        <f>IF(AQ746="7",BH746,0)</f>
      </c>
      <c r="AE746" s="111">
        <f>IF(AQ746="7",BI746,0)</f>
      </c>
      <c r="AF746" s="111">
        <f>IF(AQ746="2",BH746,0)</f>
      </c>
      <c r="AG746" s="111">
        <f>IF(AQ746="2",BI746,0)</f>
      </c>
      <c r="AH746" s="111">
        <f>IF(AQ746="0",BJ746,0)</f>
      </c>
      <c r="AI746" s="132" t="s">
        <v>84</v>
      </c>
      <c r="AJ746" s="111">
        <f>IF(AN746=0,I746,0)</f>
      </c>
      <c r="AK746" s="111">
        <f>IF(AN746=12,I746,0)</f>
      </c>
      <c r="AL746" s="111">
        <f>IF(AN746=21,I746,0)</f>
      </c>
      <c r="AN746" s="111" t="n">
        <v>21</v>
      </c>
      <c r="AO746" s="111">
        <f>H746*0.485697842</f>
      </c>
      <c r="AP746" s="111">
        <f>H746*(1-0.485697842)</f>
      </c>
      <c r="AQ746" s="153" t="s">
        <v>130</v>
      </c>
      <c r="AV746" s="111">
        <f>AW746+AX746</f>
      </c>
      <c r="AW746" s="111">
        <f>G746*AO746</f>
      </c>
      <c r="AX746" s="111">
        <f>G746*AP746</f>
      </c>
      <c r="AY746" s="153" t="s">
        <v>1215</v>
      </c>
      <c r="AZ746" s="153" t="s">
        <v>975</v>
      </c>
      <c r="BA746" s="132" t="s">
        <v>137</v>
      </c>
      <c r="BC746" s="111">
        <f>AW746+AX746</f>
      </c>
      <c r="BD746" s="111">
        <f>H746/(100-BE746)*100</f>
      </c>
      <c r="BE746" s="111" t="n">
        <v>0</v>
      </c>
      <c r="BF746" s="111">
        <f>746</f>
      </c>
      <c r="BH746" s="111">
        <f>G746*AO746</f>
      </c>
      <c r="BI746" s="111">
        <f>G746*AP746</f>
      </c>
      <c r="BJ746" s="111">
        <f>G746*H746</f>
      </c>
      <c r="BK746" s="111"/>
      <c r="BL746" s="111" t="n">
        <v>63</v>
      </c>
      <c r="BW746" s="111" t="n">
        <v>21</v>
      </c>
      <c r="BX746" s="14" t="s">
        <v>1275</v>
      </c>
    </row>
    <row r="747" customHeight="true" ht="13.5">
      <c r="A747" s="159"/>
      <c r="C747" s="160" t="s">
        <v>146</v>
      </c>
      <c r="D747" s="161" t="s">
        <v>1276</v>
      </c>
      <c r="E747" s="156"/>
      <c r="F747" s="156"/>
      <c r="G747" s="156"/>
      <c r="H747" s="156"/>
      <c r="I747" s="156"/>
      <c r="J747" s="156"/>
      <c r="K747" s="163"/>
    </row>
    <row r="748">
      <c r="A748" s="154"/>
      <c r="B748" s="155"/>
      <c r="C748" s="155"/>
      <c r="D748" s="156" t="s">
        <v>1277</v>
      </c>
      <c r="E748" s="156" t="s">
        <v>681</v>
      </c>
      <c r="F748" s="155"/>
      <c r="G748" s="157" t="n">
        <v>9.16</v>
      </c>
      <c r="H748" s="155"/>
      <c r="I748" s="155"/>
      <c r="J748" s="155"/>
      <c r="K748" s="146"/>
    </row>
    <row r="749">
      <c r="A749" s="9" t="s">
        <v>1278</v>
      </c>
      <c r="B749" s="10" t="s">
        <v>84</v>
      </c>
      <c r="C749" s="10" t="s">
        <v>1279</v>
      </c>
      <c r="D749" s="14" t="s">
        <v>1280</v>
      </c>
      <c r="E749" s="10"/>
      <c r="F749" s="10" t="s">
        <v>145</v>
      </c>
      <c r="G749" s="111">
        <f>'Stavební rozpočet'!G749</f>
      </c>
      <c r="H749" s="111">
        <f>'Stavební rozpočet'!H749</f>
      </c>
      <c r="I749" s="111">
        <f>G749*H749</f>
      </c>
      <c r="J749" s="153" t="s">
        <v>134</v>
      </c>
      <c r="K749" s="146"/>
      <c r="Z749" s="111">
        <f>IF(AQ749="5",BJ749,0)</f>
      </c>
      <c r="AB749" s="111">
        <f>IF(AQ749="1",BH749,0)</f>
      </c>
      <c r="AC749" s="111">
        <f>IF(AQ749="1",BI749,0)</f>
      </c>
      <c r="AD749" s="111">
        <f>IF(AQ749="7",BH749,0)</f>
      </c>
      <c r="AE749" s="111">
        <f>IF(AQ749="7",BI749,0)</f>
      </c>
      <c r="AF749" s="111">
        <f>IF(AQ749="2",BH749,0)</f>
      </c>
      <c r="AG749" s="111">
        <f>IF(AQ749="2",BI749,0)</f>
      </c>
      <c r="AH749" s="111">
        <f>IF(AQ749="0",BJ749,0)</f>
      </c>
      <c r="AI749" s="132" t="s">
        <v>84</v>
      </c>
      <c r="AJ749" s="111">
        <f>IF(AN749=0,I749,0)</f>
      </c>
      <c r="AK749" s="111">
        <f>IF(AN749=12,I749,0)</f>
      </c>
      <c r="AL749" s="111">
        <f>IF(AN749=21,I749,0)</f>
      </c>
      <c r="AN749" s="111" t="n">
        <v>21</v>
      </c>
      <c r="AO749" s="111">
        <f>H749*0.895743624</f>
      </c>
      <c r="AP749" s="111">
        <f>H749*(1-0.895743624)</f>
      </c>
      <c r="AQ749" s="153" t="s">
        <v>130</v>
      </c>
      <c r="AV749" s="111">
        <f>AW749+AX749</f>
      </c>
      <c r="AW749" s="111">
        <f>G749*AO749</f>
      </c>
      <c r="AX749" s="111">
        <f>G749*AP749</f>
      </c>
      <c r="AY749" s="153" t="s">
        <v>1215</v>
      </c>
      <c r="AZ749" s="153" t="s">
        <v>975</v>
      </c>
      <c r="BA749" s="132" t="s">
        <v>137</v>
      </c>
      <c r="BC749" s="111">
        <f>AW749+AX749</f>
      </c>
      <c r="BD749" s="111">
        <f>H749/(100-BE749)*100</f>
      </c>
      <c r="BE749" s="111" t="n">
        <v>0</v>
      </c>
      <c r="BF749" s="111">
        <f>749</f>
      </c>
      <c r="BH749" s="111">
        <f>G749*AO749</f>
      </c>
      <c r="BI749" s="111">
        <f>G749*AP749</f>
      </c>
      <c r="BJ749" s="111">
        <f>G749*H749</f>
      </c>
      <c r="BK749" s="111"/>
      <c r="BL749" s="111" t="n">
        <v>63</v>
      </c>
      <c r="BW749" s="111" t="n">
        <v>21</v>
      </c>
      <c r="BX749" s="14" t="s">
        <v>1280</v>
      </c>
    </row>
    <row r="750">
      <c r="A750" s="154"/>
      <c r="B750" s="155"/>
      <c r="C750" s="155"/>
      <c r="D750" s="156" t="s">
        <v>4</v>
      </c>
      <c r="E750" s="156" t="s">
        <v>1281</v>
      </c>
      <c r="F750" s="155"/>
      <c r="G750" s="157" t="n">
        <v>0</v>
      </c>
      <c r="H750" s="155"/>
      <c r="I750" s="155"/>
      <c r="J750" s="155"/>
      <c r="K750" s="146"/>
    </row>
    <row r="751">
      <c r="A751" s="154"/>
      <c r="B751" s="155"/>
      <c r="C751" s="155"/>
      <c r="D751" s="156" t="s">
        <v>1282</v>
      </c>
      <c r="E751" s="156" t="s">
        <v>1046</v>
      </c>
      <c r="F751" s="155"/>
      <c r="G751" s="157" t="n">
        <v>9.26</v>
      </c>
      <c r="H751" s="155"/>
      <c r="I751" s="155"/>
      <c r="J751" s="155"/>
      <c r="K751" s="146"/>
    </row>
    <row r="752">
      <c r="A752" s="154"/>
      <c r="B752" s="155"/>
      <c r="C752" s="155"/>
      <c r="D752" s="156" t="s">
        <v>1283</v>
      </c>
      <c r="E752" s="156" t="s">
        <v>1048</v>
      </c>
      <c r="F752" s="155"/>
      <c r="G752" s="157" t="n">
        <v>14.768</v>
      </c>
      <c r="H752" s="155"/>
      <c r="I752" s="155"/>
      <c r="J752" s="155"/>
      <c r="K752" s="146"/>
    </row>
    <row r="753">
      <c r="A753" s="154"/>
      <c r="B753" s="155"/>
      <c r="C753" s="155"/>
      <c r="D753" s="156" t="s">
        <v>1284</v>
      </c>
      <c r="E753" s="156" t="s">
        <v>1050</v>
      </c>
      <c r="F753" s="155"/>
      <c r="G753" s="157" t="n">
        <v>6.028</v>
      </c>
      <c r="H753" s="155"/>
      <c r="I753" s="155"/>
      <c r="J753" s="155"/>
      <c r="K753" s="146"/>
    </row>
    <row r="754">
      <c r="A754" s="154"/>
      <c r="B754" s="155"/>
      <c r="C754" s="155"/>
      <c r="D754" s="156" t="s">
        <v>1285</v>
      </c>
      <c r="E754" s="156" t="s">
        <v>1286</v>
      </c>
      <c r="F754" s="155"/>
      <c r="G754" s="157" t="n">
        <v>31.42</v>
      </c>
      <c r="H754" s="155"/>
      <c r="I754" s="155"/>
      <c r="J754" s="155"/>
      <c r="K754" s="146"/>
    </row>
    <row r="755">
      <c r="A755" s="154"/>
      <c r="B755" s="155"/>
      <c r="C755" s="155"/>
      <c r="D755" s="156" t="s">
        <v>1287</v>
      </c>
      <c r="E755" s="156" t="s">
        <v>1288</v>
      </c>
      <c r="F755" s="155"/>
      <c r="G755" s="157" t="n">
        <v>10.21</v>
      </c>
      <c r="H755" s="155"/>
      <c r="I755" s="155"/>
      <c r="J755" s="155"/>
      <c r="K755" s="146"/>
    </row>
    <row r="756">
      <c r="A756" s="147" t="s">
        <v>4</v>
      </c>
      <c r="B756" s="148" t="s">
        <v>84</v>
      </c>
      <c r="C756" s="148" t="s">
        <v>546</v>
      </c>
      <c r="D756" s="149" t="s">
        <v>1289</v>
      </c>
      <c r="E756" s="148"/>
      <c r="F756" s="150" t="s">
        <v>79</v>
      </c>
      <c r="G756" s="150" t="s">
        <v>79</v>
      </c>
      <c r="H756" s="150" t="s">
        <v>79</v>
      </c>
      <c r="I756" s="117">
        <f>SUM(I757:I769)</f>
      </c>
      <c r="J756" s="132" t="s">
        <v>4</v>
      </c>
      <c r="K756" s="146"/>
      <c r="AI756" s="132" t="s">
        <v>84</v>
      </c>
      <c r="AS756" s="117">
        <f>SUM(AJ757:AJ769)</f>
      </c>
      <c r="AT756" s="117">
        <f>SUM(AK757:AK769)</f>
      </c>
      <c r="AU756" s="117">
        <f>SUM(AL757:AL769)</f>
      </c>
    </row>
    <row r="757">
      <c r="A757" s="9" t="s">
        <v>1290</v>
      </c>
      <c r="B757" s="10" t="s">
        <v>84</v>
      </c>
      <c r="C757" s="10" t="s">
        <v>1291</v>
      </c>
      <c r="D757" s="14" t="s">
        <v>1292</v>
      </c>
      <c r="E757" s="10"/>
      <c r="F757" s="10" t="s">
        <v>133</v>
      </c>
      <c r="G757" s="111">
        <f>'Stavební rozpočet'!G757</f>
      </c>
      <c r="H757" s="111">
        <f>'Stavební rozpočet'!H757</f>
      </c>
      <c r="I757" s="111">
        <f>G757*H757</f>
      </c>
      <c r="J757" s="153" t="s">
        <v>134</v>
      </c>
      <c r="K757" s="146"/>
      <c r="Z757" s="111">
        <f>IF(AQ757="5",BJ757,0)</f>
      </c>
      <c r="AB757" s="111">
        <f>IF(AQ757="1",BH757,0)</f>
      </c>
      <c r="AC757" s="111">
        <f>IF(AQ757="1",BI757,0)</f>
      </c>
      <c r="AD757" s="111">
        <f>IF(AQ757="7",BH757,0)</f>
      </c>
      <c r="AE757" s="111">
        <f>IF(AQ757="7",BI757,0)</f>
      </c>
      <c r="AF757" s="111">
        <f>IF(AQ757="2",BH757,0)</f>
      </c>
      <c r="AG757" s="111">
        <f>IF(AQ757="2",BI757,0)</f>
      </c>
      <c r="AH757" s="111">
        <f>IF(AQ757="0",BJ757,0)</f>
      </c>
      <c r="AI757" s="132" t="s">
        <v>84</v>
      </c>
      <c r="AJ757" s="111">
        <f>IF(AN757=0,I757,0)</f>
      </c>
      <c r="AK757" s="111">
        <f>IF(AN757=12,I757,0)</f>
      </c>
      <c r="AL757" s="111">
        <f>IF(AN757=21,I757,0)</f>
      </c>
      <c r="AN757" s="111" t="n">
        <v>21</v>
      </c>
      <c r="AO757" s="111">
        <f>H757*0.023675048</f>
      </c>
      <c r="AP757" s="111">
        <f>H757*(1-0.023675048)</f>
      </c>
      <c r="AQ757" s="153" t="s">
        <v>130</v>
      </c>
      <c r="AV757" s="111">
        <f>AW757+AX757</f>
      </c>
      <c r="AW757" s="111">
        <f>G757*AO757</f>
      </c>
      <c r="AX757" s="111">
        <f>G757*AP757</f>
      </c>
      <c r="AY757" s="153" t="s">
        <v>1293</v>
      </c>
      <c r="AZ757" s="153" t="s">
        <v>975</v>
      </c>
      <c r="BA757" s="132" t="s">
        <v>137</v>
      </c>
      <c r="BC757" s="111">
        <f>AW757+AX757</f>
      </c>
      <c r="BD757" s="111">
        <f>H757/(100-BE757)*100</f>
      </c>
      <c r="BE757" s="111" t="n">
        <v>0</v>
      </c>
      <c r="BF757" s="111">
        <f>757</f>
      </c>
      <c r="BH757" s="111">
        <f>G757*AO757</f>
      </c>
      <c r="BI757" s="111">
        <f>G757*AP757</f>
      </c>
      <c r="BJ757" s="111">
        <f>G757*H757</f>
      </c>
      <c r="BK757" s="111"/>
      <c r="BL757" s="111" t="n">
        <v>64</v>
      </c>
      <c r="BW757" s="111" t="n">
        <v>21</v>
      </c>
      <c r="BX757" s="14" t="s">
        <v>1292</v>
      </c>
    </row>
    <row r="758">
      <c r="A758" s="154"/>
      <c r="B758" s="155"/>
      <c r="C758" s="155"/>
      <c r="D758" s="156" t="s">
        <v>1294</v>
      </c>
      <c r="E758" s="156" t="s">
        <v>1295</v>
      </c>
      <c r="F758" s="155"/>
      <c r="G758" s="157" t="n">
        <v>12</v>
      </c>
      <c r="H758" s="155"/>
      <c r="I758" s="155"/>
      <c r="J758" s="155"/>
      <c r="K758" s="146"/>
    </row>
    <row r="759">
      <c r="A759" s="9" t="s">
        <v>1296</v>
      </c>
      <c r="B759" s="10" t="s">
        <v>84</v>
      </c>
      <c r="C759" s="10" t="s">
        <v>1297</v>
      </c>
      <c r="D759" s="14" t="s">
        <v>1298</v>
      </c>
      <c r="E759" s="10"/>
      <c r="F759" s="10" t="s">
        <v>133</v>
      </c>
      <c r="G759" s="111">
        <f>'Stavební rozpočet'!G759</f>
      </c>
      <c r="H759" s="111">
        <f>'Stavební rozpočet'!H759</f>
      </c>
      <c r="I759" s="111">
        <f>G759*H759</f>
      </c>
      <c r="J759" s="153" t="s">
        <v>134</v>
      </c>
      <c r="K759" s="146"/>
      <c r="Z759" s="111">
        <f>IF(AQ759="5",BJ759,0)</f>
      </c>
      <c r="AB759" s="111">
        <f>IF(AQ759="1",BH759,0)</f>
      </c>
      <c r="AC759" s="111">
        <f>IF(AQ759="1",BI759,0)</f>
      </c>
      <c r="AD759" s="111">
        <f>IF(AQ759="7",BH759,0)</f>
      </c>
      <c r="AE759" s="111">
        <f>IF(AQ759="7",BI759,0)</f>
      </c>
      <c r="AF759" s="111">
        <f>IF(AQ759="2",BH759,0)</f>
      </c>
      <c r="AG759" s="111">
        <f>IF(AQ759="2",BI759,0)</f>
      </c>
      <c r="AH759" s="111">
        <f>IF(AQ759="0",BJ759,0)</f>
      </c>
      <c r="AI759" s="132" t="s">
        <v>84</v>
      </c>
      <c r="AJ759" s="111">
        <f>IF(AN759=0,I759,0)</f>
      </c>
      <c r="AK759" s="111">
        <f>IF(AN759=12,I759,0)</f>
      </c>
      <c r="AL759" s="111">
        <f>IF(AN759=21,I759,0)</f>
      </c>
      <c r="AN759" s="111" t="n">
        <v>21</v>
      </c>
      <c r="AO759" s="111">
        <f>H759*0.037353246</f>
      </c>
      <c r="AP759" s="111">
        <f>H759*(1-0.037353246)</f>
      </c>
      <c r="AQ759" s="153" t="s">
        <v>130</v>
      </c>
      <c r="AV759" s="111">
        <f>AW759+AX759</f>
      </c>
      <c r="AW759" s="111">
        <f>G759*AO759</f>
      </c>
      <c r="AX759" s="111">
        <f>G759*AP759</f>
      </c>
      <c r="AY759" s="153" t="s">
        <v>1293</v>
      </c>
      <c r="AZ759" s="153" t="s">
        <v>975</v>
      </c>
      <c r="BA759" s="132" t="s">
        <v>137</v>
      </c>
      <c r="BC759" s="111">
        <f>AW759+AX759</f>
      </c>
      <c r="BD759" s="111">
        <f>H759/(100-BE759)*100</f>
      </c>
      <c r="BE759" s="111" t="n">
        <v>0</v>
      </c>
      <c r="BF759" s="111">
        <f>759</f>
      </c>
      <c r="BH759" s="111">
        <f>G759*AO759</f>
      </c>
      <c r="BI759" s="111">
        <f>G759*AP759</f>
      </c>
      <c r="BJ759" s="111">
        <f>G759*H759</f>
      </c>
      <c r="BK759" s="111"/>
      <c r="BL759" s="111" t="n">
        <v>64</v>
      </c>
      <c r="BW759" s="111" t="n">
        <v>21</v>
      </c>
      <c r="BX759" s="14" t="s">
        <v>1298</v>
      </c>
    </row>
    <row r="760">
      <c r="A760" s="154"/>
      <c r="B760" s="155"/>
      <c r="C760" s="155"/>
      <c r="D760" s="156" t="s">
        <v>513</v>
      </c>
      <c r="E760" s="156" t="s">
        <v>1299</v>
      </c>
      <c r="F760" s="155"/>
      <c r="G760" s="157" t="n">
        <v>2</v>
      </c>
      <c r="H760" s="155"/>
      <c r="I760" s="155"/>
      <c r="J760" s="155"/>
      <c r="K760" s="146"/>
    </row>
    <row r="761">
      <c r="A761" s="9" t="s">
        <v>1300</v>
      </c>
      <c r="B761" s="10" t="s">
        <v>84</v>
      </c>
      <c r="C761" s="10" t="s">
        <v>1301</v>
      </c>
      <c r="D761" s="14" t="s">
        <v>1302</v>
      </c>
      <c r="E761" s="10"/>
      <c r="F761" s="10" t="s">
        <v>133</v>
      </c>
      <c r="G761" s="111">
        <f>'Stavební rozpočet'!G761</f>
      </c>
      <c r="H761" s="111">
        <f>'Stavební rozpočet'!H761</f>
      </c>
      <c r="I761" s="111">
        <f>G761*H761</f>
      </c>
      <c r="J761" s="153" t="s">
        <v>134</v>
      </c>
      <c r="K761" s="146"/>
      <c r="Z761" s="111">
        <f>IF(AQ761="5",BJ761,0)</f>
      </c>
      <c r="AB761" s="111">
        <f>IF(AQ761="1",BH761,0)</f>
      </c>
      <c r="AC761" s="111">
        <f>IF(AQ761="1",BI761,0)</f>
      </c>
      <c r="AD761" s="111">
        <f>IF(AQ761="7",BH761,0)</f>
      </c>
      <c r="AE761" s="111">
        <f>IF(AQ761="7",BI761,0)</f>
      </c>
      <c r="AF761" s="111">
        <f>IF(AQ761="2",BH761,0)</f>
      </c>
      <c r="AG761" s="111">
        <f>IF(AQ761="2",BI761,0)</f>
      </c>
      <c r="AH761" s="111">
        <f>IF(AQ761="0",BJ761,0)</f>
      </c>
      <c r="AI761" s="132" t="s">
        <v>84</v>
      </c>
      <c r="AJ761" s="111">
        <f>IF(AN761=0,I761,0)</f>
      </c>
      <c r="AK761" s="111">
        <f>IF(AN761=12,I761,0)</f>
      </c>
      <c r="AL761" s="111">
        <f>IF(AN761=21,I761,0)</f>
      </c>
      <c r="AN761" s="111" t="n">
        <v>21</v>
      </c>
      <c r="AO761" s="111">
        <f>H761*1</f>
      </c>
      <c r="AP761" s="111">
        <f>H761*(1-1)</f>
      </c>
      <c r="AQ761" s="153" t="s">
        <v>130</v>
      </c>
      <c r="AV761" s="111">
        <f>AW761+AX761</f>
      </c>
      <c r="AW761" s="111">
        <f>G761*AO761</f>
      </c>
      <c r="AX761" s="111">
        <f>G761*AP761</f>
      </c>
      <c r="AY761" s="153" t="s">
        <v>1293</v>
      </c>
      <c r="AZ761" s="153" t="s">
        <v>975</v>
      </c>
      <c r="BA761" s="132" t="s">
        <v>137</v>
      </c>
      <c r="BC761" s="111">
        <f>AW761+AX761</f>
      </c>
      <c r="BD761" s="111">
        <f>H761/(100-BE761)*100</f>
      </c>
      <c r="BE761" s="111" t="n">
        <v>0</v>
      </c>
      <c r="BF761" s="111">
        <f>761</f>
      </c>
      <c r="BH761" s="111">
        <f>G761*AO761</f>
      </c>
      <c r="BI761" s="111">
        <f>G761*AP761</f>
      </c>
      <c r="BJ761" s="111">
        <f>G761*H761</f>
      </c>
      <c r="BK761" s="111"/>
      <c r="BL761" s="111" t="n">
        <v>64</v>
      </c>
      <c r="BW761" s="111" t="n">
        <v>21</v>
      </c>
      <c r="BX761" s="14" t="s">
        <v>1302</v>
      </c>
    </row>
    <row r="762">
      <c r="A762" s="154"/>
      <c r="B762" s="155"/>
      <c r="C762" s="155"/>
      <c r="D762" s="156" t="s">
        <v>149</v>
      </c>
      <c r="E762" s="156" t="s">
        <v>1303</v>
      </c>
      <c r="F762" s="155"/>
      <c r="G762" s="157" t="n">
        <v>4</v>
      </c>
      <c r="H762" s="155"/>
      <c r="I762" s="155"/>
      <c r="J762" s="155"/>
      <c r="K762" s="146"/>
    </row>
    <row r="763">
      <c r="A763" s="9" t="s">
        <v>1304</v>
      </c>
      <c r="B763" s="10" t="s">
        <v>84</v>
      </c>
      <c r="C763" s="10" t="s">
        <v>1305</v>
      </c>
      <c r="D763" s="14" t="s">
        <v>1306</v>
      </c>
      <c r="E763" s="10"/>
      <c r="F763" s="10" t="s">
        <v>133</v>
      </c>
      <c r="G763" s="111">
        <f>'Stavební rozpočet'!G763</f>
      </c>
      <c r="H763" s="111">
        <f>'Stavební rozpočet'!H763</f>
      </c>
      <c r="I763" s="111">
        <f>G763*H763</f>
      </c>
      <c r="J763" s="153" t="s">
        <v>134</v>
      </c>
      <c r="K763" s="146"/>
      <c r="Z763" s="111">
        <f>IF(AQ763="5",BJ763,0)</f>
      </c>
      <c r="AB763" s="111">
        <f>IF(AQ763="1",BH763,0)</f>
      </c>
      <c r="AC763" s="111">
        <f>IF(AQ763="1",BI763,0)</f>
      </c>
      <c r="AD763" s="111">
        <f>IF(AQ763="7",BH763,0)</f>
      </c>
      <c r="AE763" s="111">
        <f>IF(AQ763="7",BI763,0)</f>
      </c>
      <c r="AF763" s="111">
        <f>IF(AQ763="2",BH763,0)</f>
      </c>
      <c r="AG763" s="111">
        <f>IF(AQ763="2",BI763,0)</f>
      </c>
      <c r="AH763" s="111">
        <f>IF(AQ763="0",BJ763,0)</f>
      </c>
      <c r="AI763" s="132" t="s">
        <v>84</v>
      </c>
      <c r="AJ763" s="111">
        <f>IF(AN763=0,I763,0)</f>
      </c>
      <c r="AK763" s="111">
        <f>IF(AN763=12,I763,0)</f>
      </c>
      <c r="AL763" s="111">
        <f>IF(AN763=21,I763,0)</f>
      </c>
      <c r="AN763" s="111" t="n">
        <v>21</v>
      </c>
      <c r="AO763" s="111">
        <f>H763*1</f>
      </c>
      <c r="AP763" s="111">
        <f>H763*(1-1)</f>
      </c>
      <c r="AQ763" s="153" t="s">
        <v>130</v>
      </c>
      <c r="AV763" s="111">
        <f>AW763+AX763</f>
      </c>
      <c r="AW763" s="111">
        <f>G763*AO763</f>
      </c>
      <c r="AX763" s="111">
        <f>G763*AP763</f>
      </c>
      <c r="AY763" s="153" t="s">
        <v>1293</v>
      </c>
      <c r="AZ763" s="153" t="s">
        <v>975</v>
      </c>
      <c r="BA763" s="132" t="s">
        <v>137</v>
      </c>
      <c r="BC763" s="111">
        <f>AW763+AX763</f>
      </c>
      <c r="BD763" s="111">
        <f>H763/(100-BE763)*100</f>
      </c>
      <c r="BE763" s="111" t="n">
        <v>0</v>
      </c>
      <c r="BF763" s="111">
        <f>763</f>
      </c>
      <c r="BH763" s="111">
        <f>G763*AO763</f>
      </c>
      <c r="BI763" s="111">
        <f>G763*AP763</f>
      </c>
      <c r="BJ763" s="111">
        <f>G763*H763</f>
      </c>
      <c r="BK763" s="111"/>
      <c r="BL763" s="111" t="n">
        <v>64</v>
      </c>
      <c r="BW763" s="111" t="n">
        <v>21</v>
      </c>
      <c r="BX763" s="14" t="s">
        <v>1306</v>
      </c>
    </row>
    <row r="764">
      <c r="A764" s="154"/>
      <c r="B764" s="155"/>
      <c r="C764" s="155"/>
      <c r="D764" s="156" t="s">
        <v>156</v>
      </c>
      <c r="E764" s="156" t="s">
        <v>1307</v>
      </c>
      <c r="F764" s="155"/>
      <c r="G764" s="157" t="n">
        <v>5</v>
      </c>
      <c r="H764" s="155"/>
      <c r="I764" s="155"/>
      <c r="J764" s="155"/>
      <c r="K764" s="146"/>
    </row>
    <row r="765">
      <c r="A765" s="9" t="s">
        <v>1308</v>
      </c>
      <c r="B765" s="10" t="s">
        <v>84</v>
      </c>
      <c r="C765" s="10" t="s">
        <v>1309</v>
      </c>
      <c r="D765" s="14" t="s">
        <v>1310</v>
      </c>
      <c r="E765" s="10"/>
      <c r="F765" s="10" t="s">
        <v>133</v>
      </c>
      <c r="G765" s="111">
        <f>'Stavební rozpočet'!G765</f>
      </c>
      <c r="H765" s="111">
        <f>'Stavební rozpočet'!H765</f>
      </c>
      <c r="I765" s="111">
        <f>G765*H765</f>
      </c>
      <c r="J765" s="153" t="s">
        <v>134</v>
      </c>
      <c r="K765" s="146"/>
      <c r="Z765" s="111">
        <f>IF(AQ765="5",BJ765,0)</f>
      </c>
      <c r="AB765" s="111">
        <f>IF(AQ765="1",BH765,0)</f>
      </c>
      <c r="AC765" s="111">
        <f>IF(AQ765="1",BI765,0)</f>
      </c>
      <c r="AD765" s="111">
        <f>IF(AQ765="7",BH765,0)</f>
      </c>
      <c r="AE765" s="111">
        <f>IF(AQ765="7",BI765,0)</f>
      </c>
      <c r="AF765" s="111">
        <f>IF(AQ765="2",BH765,0)</f>
      </c>
      <c r="AG765" s="111">
        <f>IF(AQ765="2",BI765,0)</f>
      </c>
      <c r="AH765" s="111">
        <f>IF(AQ765="0",BJ765,0)</f>
      </c>
      <c r="AI765" s="132" t="s">
        <v>84</v>
      </c>
      <c r="AJ765" s="111">
        <f>IF(AN765=0,I765,0)</f>
      </c>
      <c r="AK765" s="111">
        <f>IF(AN765=12,I765,0)</f>
      </c>
      <c r="AL765" s="111">
        <f>IF(AN765=21,I765,0)</f>
      </c>
      <c r="AN765" s="111" t="n">
        <v>21</v>
      </c>
      <c r="AO765" s="111">
        <f>H765*1</f>
      </c>
      <c r="AP765" s="111">
        <f>H765*(1-1)</f>
      </c>
      <c r="AQ765" s="153" t="s">
        <v>130</v>
      </c>
      <c r="AV765" s="111">
        <f>AW765+AX765</f>
      </c>
      <c r="AW765" s="111">
        <f>G765*AO765</f>
      </c>
      <c r="AX765" s="111">
        <f>G765*AP765</f>
      </c>
      <c r="AY765" s="153" t="s">
        <v>1293</v>
      </c>
      <c r="AZ765" s="153" t="s">
        <v>975</v>
      </c>
      <c r="BA765" s="132" t="s">
        <v>137</v>
      </c>
      <c r="BC765" s="111">
        <f>AW765+AX765</f>
      </c>
      <c r="BD765" s="111">
        <f>H765/(100-BE765)*100</f>
      </c>
      <c r="BE765" s="111" t="n">
        <v>0</v>
      </c>
      <c r="BF765" s="111">
        <f>765</f>
      </c>
      <c r="BH765" s="111">
        <f>G765*AO765</f>
      </c>
      <c r="BI765" s="111">
        <f>G765*AP765</f>
      </c>
      <c r="BJ765" s="111">
        <f>G765*H765</f>
      </c>
      <c r="BK765" s="111"/>
      <c r="BL765" s="111" t="n">
        <v>64</v>
      </c>
      <c r="BW765" s="111" t="n">
        <v>21</v>
      </c>
      <c r="BX765" s="14" t="s">
        <v>1310</v>
      </c>
    </row>
    <row r="766">
      <c r="A766" s="154"/>
      <c r="B766" s="155"/>
      <c r="C766" s="155"/>
      <c r="D766" s="156" t="s">
        <v>522</v>
      </c>
      <c r="E766" s="156" t="s">
        <v>1311</v>
      </c>
      <c r="F766" s="155"/>
      <c r="G766" s="157" t="n">
        <v>3</v>
      </c>
      <c r="H766" s="155"/>
      <c r="I766" s="155"/>
      <c r="J766" s="155"/>
      <c r="K766" s="146"/>
    </row>
    <row r="767">
      <c r="A767" s="9" t="s">
        <v>1312</v>
      </c>
      <c r="B767" s="10" t="s">
        <v>84</v>
      </c>
      <c r="C767" s="10" t="s">
        <v>1313</v>
      </c>
      <c r="D767" s="14" t="s">
        <v>1314</v>
      </c>
      <c r="E767" s="10"/>
      <c r="F767" s="10" t="s">
        <v>133</v>
      </c>
      <c r="G767" s="111">
        <f>'Stavební rozpočet'!G767</f>
      </c>
      <c r="H767" s="111">
        <f>'Stavební rozpočet'!H767</f>
      </c>
      <c r="I767" s="111">
        <f>G767*H767</f>
      </c>
      <c r="J767" s="153" t="s">
        <v>134</v>
      </c>
      <c r="K767" s="146"/>
      <c r="Z767" s="111">
        <f>IF(AQ767="5",BJ767,0)</f>
      </c>
      <c r="AB767" s="111">
        <f>IF(AQ767="1",BH767,0)</f>
      </c>
      <c r="AC767" s="111">
        <f>IF(AQ767="1",BI767,0)</f>
      </c>
      <c r="AD767" s="111">
        <f>IF(AQ767="7",BH767,0)</f>
      </c>
      <c r="AE767" s="111">
        <f>IF(AQ767="7",BI767,0)</f>
      </c>
      <c r="AF767" s="111">
        <f>IF(AQ767="2",BH767,0)</f>
      </c>
      <c r="AG767" s="111">
        <f>IF(AQ767="2",BI767,0)</f>
      </c>
      <c r="AH767" s="111">
        <f>IF(AQ767="0",BJ767,0)</f>
      </c>
      <c r="AI767" s="132" t="s">
        <v>84</v>
      </c>
      <c r="AJ767" s="111">
        <f>IF(AN767=0,I767,0)</f>
      </c>
      <c r="AK767" s="111">
        <f>IF(AN767=12,I767,0)</f>
      </c>
      <c r="AL767" s="111">
        <f>IF(AN767=21,I767,0)</f>
      </c>
      <c r="AN767" s="111" t="n">
        <v>21</v>
      </c>
      <c r="AO767" s="111">
        <f>H767*1</f>
      </c>
      <c r="AP767" s="111">
        <f>H767*(1-1)</f>
      </c>
      <c r="AQ767" s="153" t="s">
        <v>130</v>
      </c>
      <c r="AV767" s="111">
        <f>AW767+AX767</f>
      </c>
      <c r="AW767" s="111">
        <f>G767*AO767</f>
      </c>
      <c r="AX767" s="111">
        <f>G767*AP767</f>
      </c>
      <c r="AY767" s="153" t="s">
        <v>1293</v>
      </c>
      <c r="AZ767" s="153" t="s">
        <v>975</v>
      </c>
      <c r="BA767" s="132" t="s">
        <v>137</v>
      </c>
      <c r="BC767" s="111">
        <f>AW767+AX767</f>
      </c>
      <c r="BD767" s="111">
        <f>H767/(100-BE767)*100</f>
      </c>
      <c r="BE767" s="111" t="n">
        <v>0</v>
      </c>
      <c r="BF767" s="111">
        <f>767</f>
      </c>
      <c r="BH767" s="111">
        <f>G767*AO767</f>
      </c>
      <c r="BI767" s="111">
        <f>G767*AP767</f>
      </c>
      <c r="BJ767" s="111">
        <f>G767*H767</f>
      </c>
      <c r="BK767" s="111"/>
      <c r="BL767" s="111" t="n">
        <v>64</v>
      </c>
      <c r="BW767" s="111" t="n">
        <v>21</v>
      </c>
      <c r="BX767" s="14" t="s">
        <v>1314</v>
      </c>
    </row>
    <row r="768">
      <c r="A768" s="154"/>
      <c r="B768" s="155"/>
      <c r="C768" s="155"/>
      <c r="D768" s="156" t="s">
        <v>130</v>
      </c>
      <c r="E768" s="156" t="s">
        <v>1315</v>
      </c>
      <c r="F768" s="155"/>
      <c r="G768" s="157" t="n">
        <v>1</v>
      </c>
      <c r="H768" s="155"/>
      <c r="I768" s="155"/>
      <c r="J768" s="155"/>
      <c r="K768" s="146"/>
    </row>
    <row r="769">
      <c r="A769" s="9" t="s">
        <v>1316</v>
      </c>
      <c r="B769" s="10" t="s">
        <v>84</v>
      </c>
      <c r="C769" s="10" t="s">
        <v>1317</v>
      </c>
      <c r="D769" s="14" t="s">
        <v>1318</v>
      </c>
      <c r="E769" s="10"/>
      <c r="F769" s="10" t="s">
        <v>133</v>
      </c>
      <c r="G769" s="111">
        <f>'Stavební rozpočet'!G769</f>
      </c>
      <c r="H769" s="111">
        <f>'Stavební rozpočet'!H769</f>
      </c>
      <c r="I769" s="111">
        <f>G769*H769</f>
      </c>
      <c r="J769" s="153" t="s">
        <v>134</v>
      </c>
      <c r="K769" s="146"/>
      <c r="Z769" s="111">
        <f>IF(AQ769="5",BJ769,0)</f>
      </c>
      <c r="AB769" s="111">
        <f>IF(AQ769="1",BH769,0)</f>
      </c>
      <c r="AC769" s="111">
        <f>IF(AQ769="1",BI769,0)</f>
      </c>
      <c r="AD769" s="111">
        <f>IF(AQ769="7",BH769,0)</f>
      </c>
      <c r="AE769" s="111">
        <f>IF(AQ769="7",BI769,0)</f>
      </c>
      <c r="AF769" s="111">
        <f>IF(AQ769="2",BH769,0)</f>
      </c>
      <c r="AG769" s="111">
        <f>IF(AQ769="2",BI769,0)</f>
      </c>
      <c r="AH769" s="111">
        <f>IF(AQ769="0",BJ769,0)</f>
      </c>
      <c r="AI769" s="132" t="s">
        <v>84</v>
      </c>
      <c r="AJ769" s="111">
        <f>IF(AN769=0,I769,0)</f>
      </c>
      <c r="AK769" s="111">
        <f>IF(AN769=12,I769,0)</f>
      </c>
      <c r="AL769" s="111">
        <f>IF(AN769=21,I769,0)</f>
      </c>
      <c r="AN769" s="111" t="n">
        <v>21</v>
      </c>
      <c r="AO769" s="111">
        <f>H769*1</f>
      </c>
      <c r="AP769" s="111">
        <f>H769*(1-1)</f>
      </c>
      <c r="AQ769" s="153" t="s">
        <v>130</v>
      </c>
      <c r="AV769" s="111">
        <f>AW769+AX769</f>
      </c>
      <c r="AW769" s="111">
        <f>G769*AO769</f>
      </c>
      <c r="AX769" s="111">
        <f>G769*AP769</f>
      </c>
      <c r="AY769" s="153" t="s">
        <v>1293</v>
      </c>
      <c r="AZ769" s="153" t="s">
        <v>975</v>
      </c>
      <c r="BA769" s="132" t="s">
        <v>137</v>
      </c>
      <c r="BC769" s="111">
        <f>AW769+AX769</f>
      </c>
      <c r="BD769" s="111">
        <f>H769/(100-BE769)*100</f>
      </c>
      <c r="BE769" s="111" t="n">
        <v>0</v>
      </c>
      <c r="BF769" s="111">
        <f>769</f>
      </c>
      <c r="BH769" s="111">
        <f>G769*AO769</f>
      </c>
      <c r="BI769" s="111">
        <f>G769*AP769</f>
      </c>
      <c r="BJ769" s="111">
        <f>G769*H769</f>
      </c>
      <c r="BK769" s="111"/>
      <c r="BL769" s="111" t="n">
        <v>64</v>
      </c>
      <c r="BW769" s="111" t="n">
        <v>21</v>
      </c>
      <c r="BX769" s="14" t="s">
        <v>1318</v>
      </c>
    </row>
    <row r="770">
      <c r="A770" s="154"/>
      <c r="B770" s="155"/>
      <c r="C770" s="155"/>
      <c r="D770" s="156" t="s">
        <v>130</v>
      </c>
      <c r="E770" s="156" t="s">
        <v>1319</v>
      </c>
      <c r="F770" s="155"/>
      <c r="G770" s="157" t="n">
        <v>1</v>
      </c>
      <c r="H770" s="155"/>
      <c r="I770" s="155"/>
      <c r="J770" s="155"/>
      <c r="K770" s="146"/>
    </row>
    <row r="771">
      <c r="A771" s="147" t="s">
        <v>4</v>
      </c>
      <c r="B771" s="148" t="s">
        <v>84</v>
      </c>
      <c r="C771" s="148" t="s">
        <v>737</v>
      </c>
      <c r="D771" s="149" t="s">
        <v>1320</v>
      </c>
      <c r="E771" s="148"/>
      <c r="F771" s="150" t="s">
        <v>79</v>
      </c>
      <c r="G771" s="150" t="s">
        <v>79</v>
      </c>
      <c r="H771" s="150" t="s">
        <v>79</v>
      </c>
      <c r="I771" s="117">
        <f>SUM(I772:I777)</f>
      </c>
      <c r="J771" s="132" t="s">
        <v>4</v>
      </c>
      <c r="K771" s="146"/>
      <c r="AI771" s="132" t="s">
        <v>84</v>
      </c>
      <c r="AS771" s="117">
        <f>SUM(AJ772:AJ777)</f>
      </c>
      <c r="AT771" s="117">
        <f>SUM(AK772:AK777)</f>
      </c>
      <c r="AU771" s="117">
        <f>SUM(AL772:AL777)</f>
      </c>
    </row>
    <row r="772">
      <c r="A772" s="9" t="s">
        <v>1321</v>
      </c>
      <c r="B772" s="10" t="s">
        <v>84</v>
      </c>
      <c r="C772" s="10" t="s">
        <v>1322</v>
      </c>
      <c r="D772" s="14" t="s">
        <v>1323</v>
      </c>
      <c r="E772" s="10"/>
      <c r="F772" s="10" t="s">
        <v>1324</v>
      </c>
      <c r="G772" s="111">
        <f>'Stavební rozpočet'!G772</f>
      </c>
      <c r="H772" s="111">
        <f>'Stavební rozpočet'!H772</f>
      </c>
      <c r="I772" s="111">
        <f>G772*H772</f>
      </c>
      <c r="J772" s="153" t="s">
        <v>134</v>
      </c>
      <c r="K772" s="146"/>
      <c r="Z772" s="111">
        <f>IF(AQ772="5",BJ772,0)</f>
      </c>
      <c r="AB772" s="111">
        <f>IF(AQ772="1",BH772,0)</f>
      </c>
      <c r="AC772" s="111">
        <f>IF(AQ772="1",BI772,0)</f>
      </c>
      <c r="AD772" s="111">
        <f>IF(AQ772="7",BH772,0)</f>
      </c>
      <c r="AE772" s="111">
        <f>IF(AQ772="7",BI772,0)</f>
      </c>
      <c r="AF772" s="111">
        <f>IF(AQ772="2",BH772,0)</f>
      </c>
      <c r="AG772" s="111">
        <f>IF(AQ772="2",BI772,0)</f>
      </c>
      <c r="AH772" s="111">
        <f>IF(AQ772="0",BJ772,0)</f>
      </c>
      <c r="AI772" s="132" t="s">
        <v>84</v>
      </c>
      <c r="AJ772" s="111">
        <f>IF(AN772=0,I772,0)</f>
      </c>
      <c r="AK772" s="111">
        <f>IF(AN772=12,I772,0)</f>
      </c>
      <c r="AL772" s="111">
        <f>IF(AN772=21,I772,0)</f>
      </c>
      <c r="AN772" s="111" t="n">
        <v>21</v>
      </c>
      <c r="AO772" s="111">
        <f>H772*0</f>
      </c>
      <c r="AP772" s="111">
        <f>H772*(1-0)</f>
      </c>
      <c r="AQ772" s="153" t="s">
        <v>130</v>
      </c>
      <c r="AV772" s="111">
        <f>AW772+AX772</f>
      </c>
      <c r="AW772" s="111">
        <f>G772*AO772</f>
      </c>
      <c r="AX772" s="111">
        <f>G772*AP772</f>
      </c>
      <c r="AY772" s="153" t="s">
        <v>1325</v>
      </c>
      <c r="AZ772" s="153" t="s">
        <v>1326</v>
      </c>
      <c r="BA772" s="132" t="s">
        <v>137</v>
      </c>
      <c r="BC772" s="111">
        <f>AW772+AX772</f>
      </c>
      <c r="BD772" s="111">
        <f>H772/(100-BE772)*100</f>
      </c>
      <c r="BE772" s="111" t="n">
        <v>0</v>
      </c>
      <c r="BF772" s="111">
        <f>772</f>
      </c>
      <c r="BH772" s="111">
        <f>G772*AO772</f>
      </c>
      <c r="BI772" s="111">
        <f>G772*AP772</f>
      </c>
      <c r="BJ772" s="111">
        <f>G772*H772</f>
      </c>
      <c r="BK772" s="111"/>
      <c r="BL772" s="111" t="n">
        <v>90</v>
      </c>
      <c r="BW772" s="111" t="n">
        <v>21</v>
      </c>
      <c r="BX772" s="14" t="s">
        <v>1323</v>
      </c>
    </row>
    <row r="773">
      <c r="A773" s="154"/>
      <c r="B773" s="155"/>
      <c r="C773" s="155"/>
      <c r="D773" s="156" t="s">
        <v>1327</v>
      </c>
      <c r="E773" s="156" t="s">
        <v>1328</v>
      </c>
      <c r="F773" s="155"/>
      <c r="G773" s="157" t="n">
        <v>8</v>
      </c>
      <c r="H773" s="155"/>
      <c r="I773" s="155"/>
      <c r="J773" s="155"/>
      <c r="K773" s="146"/>
    </row>
    <row r="774">
      <c r="A774" s="154"/>
      <c r="B774" s="155"/>
      <c r="C774" s="155"/>
      <c r="D774" s="156" t="s">
        <v>165</v>
      </c>
      <c r="E774" s="156" t="s">
        <v>1329</v>
      </c>
      <c r="F774" s="155"/>
      <c r="G774" s="157" t="n">
        <v>6</v>
      </c>
      <c r="H774" s="155"/>
      <c r="I774" s="155"/>
      <c r="J774" s="155"/>
      <c r="K774" s="146"/>
    </row>
    <row r="775">
      <c r="A775" s="9" t="s">
        <v>1330</v>
      </c>
      <c r="B775" s="10" t="s">
        <v>84</v>
      </c>
      <c r="C775" s="10" t="s">
        <v>1331</v>
      </c>
      <c r="D775" s="14" t="s">
        <v>1332</v>
      </c>
      <c r="E775" s="10"/>
      <c r="F775" s="10" t="s">
        <v>1324</v>
      </c>
      <c r="G775" s="111">
        <f>'Stavební rozpočet'!G775</f>
      </c>
      <c r="H775" s="111">
        <f>'Stavební rozpočet'!H775</f>
      </c>
      <c r="I775" s="111">
        <f>G775*H775</f>
      </c>
      <c r="J775" s="153" t="s">
        <v>134</v>
      </c>
      <c r="K775" s="146"/>
      <c r="Z775" s="111">
        <f>IF(AQ775="5",BJ775,0)</f>
      </c>
      <c r="AB775" s="111">
        <f>IF(AQ775="1",BH775,0)</f>
      </c>
      <c r="AC775" s="111">
        <f>IF(AQ775="1",BI775,0)</f>
      </c>
      <c r="AD775" s="111">
        <f>IF(AQ775="7",BH775,0)</f>
      </c>
      <c r="AE775" s="111">
        <f>IF(AQ775="7",BI775,0)</f>
      </c>
      <c r="AF775" s="111">
        <f>IF(AQ775="2",BH775,0)</f>
      </c>
      <c r="AG775" s="111">
        <f>IF(AQ775="2",BI775,0)</f>
      </c>
      <c r="AH775" s="111">
        <f>IF(AQ775="0",BJ775,0)</f>
      </c>
      <c r="AI775" s="132" t="s">
        <v>84</v>
      </c>
      <c r="AJ775" s="111">
        <f>IF(AN775=0,I775,0)</f>
      </c>
      <c r="AK775" s="111">
        <f>IF(AN775=12,I775,0)</f>
      </c>
      <c r="AL775" s="111">
        <f>IF(AN775=21,I775,0)</f>
      </c>
      <c r="AN775" s="111" t="n">
        <v>21</v>
      </c>
      <c r="AO775" s="111">
        <f>H775*0</f>
      </c>
      <c r="AP775" s="111">
        <f>H775*(1-0)</f>
      </c>
      <c r="AQ775" s="153" t="s">
        <v>130</v>
      </c>
      <c r="AV775" s="111">
        <f>AW775+AX775</f>
      </c>
      <c r="AW775" s="111">
        <f>G775*AO775</f>
      </c>
      <c r="AX775" s="111">
        <f>G775*AP775</f>
      </c>
      <c r="AY775" s="153" t="s">
        <v>1325</v>
      </c>
      <c r="AZ775" s="153" t="s">
        <v>1326</v>
      </c>
      <c r="BA775" s="132" t="s">
        <v>137</v>
      </c>
      <c r="BC775" s="111">
        <f>AW775+AX775</f>
      </c>
      <c r="BD775" s="111">
        <f>H775/(100-BE775)*100</f>
      </c>
      <c r="BE775" s="111" t="n">
        <v>0</v>
      </c>
      <c r="BF775" s="111">
        <f>775</f>
      </c>
      <c r="BH775" s="111">
        <f>G775*AO775</f>
      </c>
      <c r="BI775" s="111">
        <f>G775*AP775</f>
      </c>
      <c r="BJ775" s="111">
        <f>G775*H775</f>
      </c>
      <c r="BK775" s="111"/>
      <c r="BL775" s="111" t="n">
        <v>90</v>
      </c>
      <c r="BW775" s="111" t="n">
        <v>21</v>
      </c>
      <c r="BX775" s="14" t="s">
        <v>1332</v>
      </c>
    </row>
    <row r="776">
      <c r="A776" s="154"/>
      <c r="B776" s="155"/>
      <c r="C776" s="155"/>
      <c r="D776" s="156" t="s">
        <v>395</v>
      </c>
      <c r="E776" s="156" t="s">
        <v>1333</v>
      </c>
      <c r="F776" s="155"/>
      <c r="G776" s="157" t="n">
        <v>40</v>
      </c>
      <c r="H776" s="155"/>
      <c r="I776" s="155"/>
      <c r="J776" s="155"/>
      <c r="K776" s="146"/>
    </row>
    <row r="777">
      <c r="A777" s="9" t="s">
        <v>1334</v>
      </c>
      <c r="B777" s="10" t="s">
        <v>84</v>
      </c>
      <c r="C777" s="10" t="s">
        <v>1335</v>
      </c>
      <c r="D777" s="14" t="s">
        <v>1336</v>
      </c>
      <c r="E777" s="10"/>
      <c r="F777" s="10" t="s">
        <v>1324</v>
      </c>
      <c r="G777" s="111">
        <f>'Stavební rozpočet'!G777</f>
      </c>
      <c r="H777" s="111">
        <f>'Stavební rozpočet'!H777</f>
      </c>
      <c r="I777" s="111">
        <f>G777*H777</f>
      </c>
      <c r="J777" s="153" t="s">
        <v>134</v>
      </c>
      <c r="K777" s="146"/>
      <c r="Z777" s="111">
        <f>IF(AQ777="5",BJ777,0)</f>
      </c>
      <c r="AB777" s="111">
        <f>IF(AQ777="1",BH777,0)</f>
      </c>
      <c r="AC777" s="111">
        <f>IF(AQ777="1",BI777,0)</f>
      </c>
      <c r="AD777" s="111">
        <f>IF(AQ777="7",BH777,0)</f>
      </c>
      <c r="AE777" s="111">
        <f>IF(AQ777="7",BI777,0)</f>
      </c>
      <c r="AF777" s="111">
        <f>IF(AQ777="2",BH777,0)</f>
      </c>
      <c r="AG777" s="111">
        <f>IF(AQ777="2",BI777,0)</f>
      </c>
      <c r="AH777" s="111">
        <f>IF(AQ777="0",BJ777,0)</f>
      </c>
      <c r="AI777" s="132" t="s">
        <v>84</v>
      </c>
      <c r="AJ777" s="111">
        <f>IF(AN777=0,I777,0)</f>
      </c>
      <c r="AK777" s="111">
        <f>IF(AN777=12,I777,0)</f>
      </c>
      <c r="AL777" s="111">
        <f>IF(AN777=21,I777,0)</f>
      </c>
      <c r="AN777" s="111" t="n">
        <v>21</v>
      </c>
      <c r="AO777" s="111">
        <f>H777*0</f>
      </c>
      <c r="AP777" s="111">
        <f>H777*(1-0)</f>
      </c>
      <c r="AQ777" s="153" t="s">
        <v>130</v>
      </c>
      <c r="AV777" s="111">
        <f>AW777+AX777</f>
      </c>
      <c r="AW777" s="111">
        <f>G777*AO777</f>
      </c>
      <c r="AX777" s="111">
        <f>G777*AP777</f>
      </c>
      <c r="AY777" s="153" t="s">
        <v>1325</v>
      </c>
      <c r="AZ777" s="153" t="s">
        <v>1326</v>
      </c>
      <c r="BA777" s="132" t="s">
        <v>137</v>
      </c>
      <c r="BC777" s="111">
        <f>AW777+AX777</f>
      </c>
      <c r="BD777" s="111">
        <f>H777/(100-BE777)*100</f>
      </c>
      <c r="BE777" s="111" t="n">
        <v>0</v>
      </c>
      <c r="BF777" s="111">
        <f>777</f>
      </c>
      <c r="BH777" s="111">
        <f>G777*AO777</f>
      </c>
      <c r="BI777" s="111">
        <f>G777*AP777</f>
      </c>
      <c r="BJ777" s="111">
        <f>G777*H777</f>
      </c>
      <c r="BK777" s="111"/>
      <c r="BL777" s="111" t="n">
        <v>90</v>
      </c>
      <c r="BW777" s="111" t="n">
        <v>21</v>
      </c>
      <c r="BX777" s="14" t="s">
        <v>1336</v>
      </c>
    </row>
    <row r="778">
      <c r="A778" s="154"/>
      <c r="B778" s="155"/>
      <c r="C778" s="155"/>
      <c r="D778" s="156" t="s">
        <v>176</v>
      </c>
      <c r="E778" s="156" t="s">
        <v>1337</v>
      </c>
      <c r="F778" s="155"/>
      <c r="G778" s="157" t="n">
        <v>8</v>
      </c>
      <c r="H778" s="155"/>
      <c r="I778" s="155"/>
      <c r="J778" s="155"/>
      <c r="K778" s="146"/>
    </row>
    <row r="779">
      <c r="A779" s="147" t="s">
        <v>4</v>
      </c>
      <c r="B779" s="148" t="s">
        <v>84</v>
      </c>
      <c r="C779" s="148" t="s">
        <v>745</v>
      </c>
      <c r="D779" s="149" t="s">
        <v>1338</v>
      </c>
      <c r="E779" s="148"/>
      <c r="F779" s="150" t="s">
        <v>79</v>
      </c>
      <c r="G779" s="150" t="s">
        <v>79</v>
      </c>
      <c r="H779" s="150" t="s">
        <v>79</v>
      </c>
      <c r="I779" s="117">
        <f>SUM(I780:I780)</f>
      </c>
      <c r="J779" s="132" t="s">
        <v>4</v>
      </c>
      <c r="K779" s="146"/>
      <c r="AI779" s="132" t="s">
        <v>84</v>
      </c>
      <c r="AS779" s="117">
        <f>SUM(AJ780:AJ780)</f>
      </c>
      <c r="AT779" s="117">
        <f>SUM(AK780:AK780)</f>
      </c>
      <c r="AU779" s="117">
        <f>SUM(AL780:AL780)</f>
      </c>
    </row>
    <row r="780">
      <c r="A780" s="9" t="s">
        <v>1339</v>
      </c>
      <c r="B780" s="10" t="s">
        <v>84</v>
      </c>
      <c r="C780" s="10" t="s">
        <v>1340</v>
      </c>
      <c r="D780" s="14" t="s">
        <v>1341</v>
      </c>
      <c r="E780" s="10"/>
      <c r="F780" s="10" t="s">
        <v>282</v>
      </c>
      <c r="G780" s="111">
        <f>'Stavební rozpočet'!G780</f>
      </c>
      <c r="H780" s="111">
        <f>'Stavební rozpočet'!H780</f>
      </c>
      <c r="I780" s="111">
        <f>G780*H780</f>
      </c>
      <c r="J780" s="153" t="s">
        <v>134</v>
      </c>
      <c r="K780" s="146"/>
      <c r="Z780" s="111">
        <f>IF(AQ780="5",BJ780,0)</f>
      </c>
      <c r="AB780" s="111">
        <f>IF(AQ780="1",BH780,0)</f>
      </c>
      <c r="AC780" s="111">
        <f>IF(AQ780="1",BI780,0)</f>
      </c>
      <c r="AD780" s="111">
        <f>IF(AQ780="7",BH780,0)</f>
      </c>
      <c r="AE780" s="111">
        <f>IF(AQ780="7",BI780,0)</f>
      </c>
      <c r="AF780" s="111">
        <f>IF(AQ780="2",BH780,0)</f>
      </c>
      <c r="AG780" s="111">
        <f>IF(AQ780="2",BI780,0)</f>
      </c>
      <c r="AH780" s="111">
        <f>IF(AQ780="0",BJ780,0)</f>
      </c>
      <c r="AI780" s="132" t="s">
        <v>84</v>
      </c>
      <c r="AJ780" s="111">
        <f>IF(AN780=0,I780,0)</f>
      </c>
      <c r="AK780" s="111">
        <f>IF(AN780=12,I780,0)</f>
      </c>
      <c r="AL780" s="111">
        <f>IF(AN780=21,I780,0)</f>
      </c>
      <c r="AN780" s="111" t="n">
        <v>21</v>
      </c>
      <c r="AO780" s="111">
        <f>H780*0.7501823</f>
      </c>
      <c r="AP780" s="111">
        <f>H780*(1-0.7501823)</f>
      </c>
      <c r="AQ780" s="153" t="s">
        <v>130</v>
      </c>
      <c r="AV780" s="111">
        <f>AW780+AX780</f>
      </c>
      <c r="AW780" s="111">
        <f>G780*AO780</f>
      </c>
      <c r="AX780" s="111">
        <f>G780*AP780</f>
      </c>
      <c r="AY780" s="153" t="s">
        <v>1342</v>
      </c>
      <c r="AZ780" s="153" t="s">
        <v>1326</v>
      </c>
      <c r="BA780" s="132" t="s">
        <v>137</v>
      </c>
      <c r="BC780" s="111">
        <f>AW780+AX780</f>
      </c>
      <c r="BD780" s="111">
        <f>H780/(100-BE780)*100</f>
      </c>
      <c r="BE780" s="111" t="n">
        <v>0</v>
      </c>
      <c r="BF780" s="111">
        <f>780</f>
      </c>
      <c r="BH780" s="111">
        <f>G780*AO780</f>
      </c>
      <c r="BI780" s="111">
        <f>G780*AP780</f>
      </c>
      <c r="BJ780" s="111">
        <f>G780*H780</f>
      </c>
      <c r="BK780" s="111"/>
      <c r="BL780" s="111" t="n">
        <v>91</v>
      </c>
      <c r="BW780" s="111" t="n">
        <v>21</v>
      </c>
      <c r="BX780" s="14" t="s">
        <v>1341</v>
      </c>
    </row>
    <row r="781" customHeight="true" ht="13.5">
      <c r="A781" s="159"/>
      <c r="C781" s="160" t="s">
        <v>146</v>
      </c>
      <c r="D781" s="161" t="s">
        <v>1343</v>
      </c>
      <c r="E781" s="156"/>
      <c r="F781" s="156"/>
      <c r="G781" s="156"/>
      <c r="H781" s="156"/>
      <c r="I781" s="156"/>
      <c r="J781" s="156"/>
      <c r="K781" s="163"/>
    </row>
    <row r="782">
      <c r="A782" s="154"/>
      <c r="B782" s="155"/>
      <c r="C782" s="155"/>
      <c r="D782" s="156" t="s">
        <v>4</v>
      </c>
      <c r="E782" s="156" t="s">
        <v>1344</v>
      </c>
      <c r="F782" s="155"/>
      <c r="G782" s="157" t="n">
        <v>0</v>
      </c>
      <c r="H782" s="155"/>
      <c r="I782" s="155"/>
      <c r="J782" s="155"/>
      <c r="K782" s="146"/>
    </row>
    <row r="783">
      <c r="A783" s="154"/>
      <c r="B783" s="155"/>
      <c r="C783" s="155"/>
      <c r="D783" s="156" t="s">
        <v>1345</v>
      </c>
      <c r="E783" s="156" t="s">
        <v>1046</v>
      </c>
      <c r="F783" s="155"/>
      <c r="G783" s="157" t="n">
        <v>23.35</v>
      </c>
      <c r="H783" s="155"/>
      <c r="I783" s="155"/>
      <c r="J783" s="155"/>
      <c r="K783" s="146"/>
    </row>
    <row r="784">
      <c r="A784" s="154"/>
      <c r="B784" s="155"/>
      <c r="C784" s="155"/>
      <c r="D784" s="156" t="s">
        <v>1346</v>
      </c>
      <c r="E784" s="156" t="s">
        <v>1048</v>
      </c>
      <c r="F784" s="155"/>
      <c r="G784" s="157" t="n">
        <v>36.92</v>
      </c>
      <c r="H784" s="155"/>
      <c r="I784" s="155"/>
      <c r="J784" s="155"/>
      <c r="K784" s="146"/>
    </row>
    <row r="785">
      <c r="A785" s="154"/>
      <c r="B785" s="155"/>
      <c r="C785" s="155"/>
      <c r="D785" s="156" t="s">
        <v>1347</v>
      </c>
      <c r="E785" s="156" t="s">
        <v>1050</v>
      </c>
      <c r="F785" s="155"/>
      <c r="G785" s="157" t="n">
        <v>14.17</v>
      </c>
      <c r="H785" s="155"/>
      <c r="I785" s="155"/>
      <c r="J785" s="155"/>
      <c r="K785" s="146"/>
    </row>
    <row r="786">
      <c r="A786" s="154"/>
      <c r="B786" s="155"/>
      <c r="C786" s="155"/>
      <c r="D786" s="156" t="s">
        <v>1348</v>
      </c>
      <c r="E786" s="156" t="s">
        <v>956</v>
      </c>
      <c r="F786" s="155"/>
      <c r="G786" s="157" t="n">
        <v>20.45</v>
      </c>
      <c r="H786" s="155"/>
      <c r="I786" s="155"/>
      <c r="J786" s="155"/>
      <c r="K786" s="146"/>
    </row>
    <row r="787">
      <c r="A787" s="154"/>
      <c r="B787" s="155"/>
      <c r="C787" s="155"/>
      <c r="D787" s="156" t="s">
        <v>176</v>
      </c>
      <c r="E787" s="156" t="s">
        <v>1349</v>
      </c>
      <c r="F787" s="155"/>
      <c r="G787" s="157" t="n">
        <v>8</v>
      </c>
      <c r="H787" s="155"/>
      <c r="I787" s="155"/>
      <c r="J787" s="155"/>
      <c r="K787" s="146"/>
    </row>
    <row r="788">
      <c r="A788" s="147" t="s">
        <v>4</v>
      </c>
      <c r="B788" s="148" t="s">
        <v>84</v>
      </c>
      <c r="C788" s="148" t="s">
        <v>756</v>
      </c>
      <c r="D788" s="149" t="s">
        <v>1350</v>
      </c>
      <c r="E788" s="148"/>
      <c r="F788" s="150" t="s">
        <v>79</v>
      </c>
      <c r="G788" s="150" t="s">
        <v>79</v>
      </c>
      <c r="H788" s="150" t="s">
        <v>79</v>
      </c>
      <c r="I788" s="117">
        <f>SUM(I789:I792)</f>
      </c>
      <c r="J788" s="132" t="s">
        <v>4</v>
      </c>
      <c r="K788" s="146"/>
      <c r="AI788" s="132" t="s">
        <v>84</v>
      </c>
      <c r="AS788" s="117">
        <f>SUM(AJ789:AJ792)</f>
      </c>
      <c r="AT788" s="117">
        <f>SUM(AK789:AK792)</f>
      </c>
      <c r="AU788" s="117">
        <f>SUM(AL789:AL792)</f>
      </c>
    </row>
    <row r="789">
      <c r="A789" s="9" t="s">
        <v>1351</v>
      </c>
      <c r="B789" s="10" t="s">
        <v>84</v>
      </c>
      <c r="C789" s="10" t="s">
        <v>1352</v>
      </c>
      <c r="D789" s="14" t="s">
        <v>1353</v>
      </c>
      <c r="E789" s="10"/>
      <c r="F789" s="10" t="s">
        <v>145</v>
      </c>
      <c r="G789" s="111">
        <f>'Stavební rozpočet'!G789</f>
      </c>
      <c r="H789" s="111">
        <f>'Stavební rozpočet'!H789</f>
      </c>
      <c r="I789" s="111">
        <f>G789*H789</f>
      </c>
      <c r="J789" s="153" t="s">
        <v>134</v>
      </c>
      <c r="K789" s="146"/>
      <c r="Z789" s="111">
        <f>IF(AQ789="5",BJ789,0)</f>
      </c>
      <c r="AB789" s="111">
        <f>IF(AQ789="1",BH789,0)</f>
      </c>
      <c r="AC789" s="111">
        <f>IF(AQ789="1",BI789,0)</f>
      </c>
      <c r="AD789" s="111">
        <f>IF(AQ789="7",BH789,0)</f>
      </c>
      <c r="AE789" s="111">
        <f>IF(AQ789="7",BI789,0)</f>
      </c>
      <c r="AF789" s="111">
        <f>IF(AQ789="2",BH789,0)</f>
      </c>
      <c r="AG789" s="111">
        <f>IF(AQ789="2",BI789,0)</f>
      </c>
      <c r="AH789" s="111">
        <f>IF(AQ789="0",BJ789,0)</f>
      </c>
      <c r="AI789" s="132" t="s">
        <v>84</v>
      </c>
      <c r="AJ789" s="111">
        <f>IF(AN789=0,I789,0)</f>
      </c>
      <c r="AK789" s="111">
        <f>IF(AN789=12,I789,0)</f>
      </c>
      <c r="AL789" s="111">
        <f>IF(AN789=21,I789,0)</f>
      </c>
      <c r="AN789" s="111" t="n">
        <v>21</v>
      </c>
      <c r="AO789" s="111">
        <f>H789*0.802</f>
      </c>
      <c r="AP789" s="111">
        <f>H789*(1-0.802)</f>
      </c>
      <c r="AQ789" s="153" t="s">
        <v>130</v>
      </c>
      <c r="AV789" s="111">
        <f>AW789+AX789</f>
      </c>
      <c r="AW789" s="111">
        <f>G789*AO789</f>
      </c>
      <c r="AX789" s="111">
        <f>G789*AP789</f>
      </c>
      <c r="AY789" s="153" t="s">
        <v>1354</v>
      </c>
      <c r="AZ789" s="153" t="s">
        <v>1326</v>
      </c>
      <c r="BA789" s="132" t="s">
        <v>137</v>
      </c>
      <c r="BC789" s="111">
        <f>AW789+AX789</f>
      </c>
      <c r="BD789" s="111">
        <f>H789/(100-BE789)*100</f>
      </c>
      <c r="BE789" s="111" t="n">
        <v>0</v>
      </c>
      <c r="BF789" s="111">
        <f>789</f>
      </c>
      <c r="BH789" s="111">
        <f>G789*AO789</f>
      </c>
      <c r="BI789" s="111">
        <f>G789*AP789</f>
      </c>
      <c r="BJ789" s="111">
        <f>G789*H789</f>
      </c>
      <c r="BK789" s="111"/>
      <c r="BL789" s="111" t="n">
        <v>93</v>
      </c>
      <c r="BW789" s="111" t="n">
        <v>21</v>
      </c>
      <c r="BX789" s="14" t="s">
        <v>1353</v>
      </c>
    </row>
    <row r="790" customHeight="true" ht="13.5">
      <c r="A790" s="159"/>
      <c r="C790" s="160" t="s">
        <v>146</v>
      </c>
      <c r="D790" s="161" t="s">
        <v>1355</v>
      </c>
      <c r="E790" s="156"/>
      <c r="F790" s="156"/>
      <c r="G790" s="156"/>
      <c r="H790" s="156"/>
      <c r="I790" s="156"/>
      <c r="J790" s="156"/>
      <c r="K790" s="163"/>
    </row>
    <row r="791">
      <c r="A791" s="154"/>
      <c r="B791" s="155"/>
      <c r="C791" s="155"/>
      <c r="D791" s="156" t="s">
        <v>1356</v>
      </c>
      <c r="E791" s="156" t="s">
        <v>1357</v>
      </c>
      <c r="F791" s="155"/>
      <c r="G791" s="157" t="n">
        <v>33.44</v>
      </c>
      <c r="H791" s="155"/>
      <c r="I791" s="155"/>
      <c r="J791" s="155"/>
      <c r="K791" s="146"/>
    </row>
    <row r="792">
      <c r="A792" s="9" t="s">
        <v>1358</v>
      </c>
      <c r="B792" s="10" t="s">
        <v>84</v>
      </c>
      <c r="C792" s="10" t="s">
        <v>1359</v>
      </c>
      <c r="D792" s="14" t="s">
        <v>1360</v>
      </c>
      <c r="E792" s="10"/>
      <c r="F792" s="10" t="s">
        <v>145</v>
      </c>
      <c r="G792" s="111">
        <f>'Stavební rozpočet'!G792</f>
      </c>
      <c r="H792" s="111">
        <f>'Stavební rozpočet'!H792</f>
      </c>
      <c r="I792" s="111">
        <f>G792*H792</f>
      </c>
      <c r="J792" s="153" t="s">
        <v>134</v>
      </c>
      <c r="K792" s="146"/>
      <c r="Z792" s="111">
        <f>IF(AQ792="5",BJ792,0)</f>
      </c>
      <c r="AB792" s="111">
        <f>IF(AQ792="1",BH792,0)</f>
      </c>
      <c r="AC792" s="111">
        <f>IF(AQ792="1",BI792,0)</f>
      </c>
      <c r="AD792" s="111">
        <f>IF(AQ792="7",BH792,0)</f>
      </c>
      <c r="AE792" s="111">
        <f>IF(AQ792="7",BI792,0)</f>
      </c>
      <c r="AF792" s="111">
        <f>IF(AQ792="2",BH792,0)</f>
      </c>
      <c r="AG792" s="111">
        <f>IF(AQ792="2",BI792,0)</f>
      </c>
      <c r="AH792" s="111">
        <f>IF(AQ792="0",BJ792,0)</f>
      </c>
      <c r="AI792" s="132" t="s">
        <v>84</v>
      </c>
      <c r="AJ792" s="111">
        <f>IF(AN792=0,I792,0)</f>
      </c>
      <c r="AK792" s="111">
        <f>IF(AN792=12,I792,0)</f>
      </c>
      <c r="AL792" s="111">
        <f>IF(AN792=21,I792,0)</f>
      </c>
      <c r="AN792" s="111" t="n">
        <v>21</v>
      </c>
      <c r="AO792" s="111">
        <f>H792*0.575393701</f>
      </c>
      <c r="AP792" s="111">
        <f>H792*(1-0.575393701)</f>
      </c>
      <c r="AQ792" s="153" t="s">
        <v>130</v>
      </c>
      <c r="AV792" s="111">
        <f>AW792+AX792</f>
      </c>
      <c r="AW792" s="111">
        <f>G792*AO792</f>
      </c>
      <c r="AX792" s="111">
        <f>G792*AP792</f>
      </c>
      <c r="AY792" s="153" t="s">
        <v>1354</v>
      </c>
      <c r="AZ792" s="153" t="s">
        <v>1326</v>
      </c>
      <c r="BA792" s="132" t="s">
        <v>137</v>
      </c>
      <c r="BC792" s="111">
        <f>AW792+AX792</f>
      </c>
      <c r="BD792" s="111">
        <f>H792/(100-BE792)*100</f>
      </c>
      <c r="BE792" s="111" t="n">
        <v>0</v>
      </c>
      <c r="BF792" s="111">
        <f>792</f>
      </c>
      <c r="BH792" s="111">
        <f>G792*AO792</f>
      </c>
      <c r="BI792" s="111">
        <f>G792*AP792</f>
      </c>
      <c r="BJ792" s="111">
        <f>G792*H792</f>
      </c>
      <c r="BK792" s="111"/>
      <c r="BL792" s="111" t="n">
        <v>93</v>
      </c>
      <c r="BW792" s="111" t="n">
        <v>21</v>
      </c>
      <c r="BX792" s="14" t="s">
        <v>1360</v>
      </c>
    </row>
    <row r="793" customHeight="true" ht="13.5">
      <c r="A793" s="159"/>
      <c r="C793" s="160" t="s">
        <v>146</v>
      </c>
      <c r="D793" s="161" t="s">
        <v>1361</v>
      </c>
      <c r="E793" s="156"/>
      <c r="F793" s="156"/>
      <c r="G793" s="156"/>
      <c r="H793" s="156"/>
      <c r="I793" s="156"/>
      <c r="J793" s="156"/>
      <c r="K793" s="163"/>
    </row>
    <row r="794">
      <c r="A794" s="154"/>
      <c r="B794" s="155"/>
      <c r="C794" s="155"/>
      <c r="D794" s="156" t="s">
        <v>1356</v>
      </c>
      <c r="E794" s="156" t="s">
        <v>1357</v>
      </c>
      <c r="F794" s="155"/>
      <c r="G794" s="157" t="n">
        <v>33.44</v>
      </c>
      <c r="H794" s="155"/>
      <c r="I794" s="155"/>
      <c r="J794" s="155"/>
      <c r="K794" s="146"/>
    </row>
    <row r="795">
      <c r="A795" s="147" t="s">
        <v>4</v>
      </c>
      <c r="B795" s="148" t="s">
        <v>84</v>
      </c>
      <c r="C795" s="148" t="s">
        <v>761</v>
      </c>
      <c r="D795" s="149" t="s">
        <v>1362</v>
      </c>
      <c r="E795" s="148"/>
      <c r="F795" s="150" t="s">
        <v>79</v>
      </c>
      <c r="G795" s="150" t="s">
        <v>79</v>
      </c>
      <c r="H795" s="150" t="s">
        <v>79</v>
      </c>
      <c r="I795" s="117">
        <f>SUM(I796:I831)</f>
      </c>
      <c r="J795" s="132" t="s">
        <v>4</v>
      </c>
      <c r="K795" s="146"/>
      <c r="AI795" s="132" t="s">
        <v>84</v>
      </c>
      <c r="AS795" s="117">
        <f>SUM(AJ796:AJ831)</f>
      </c>
      <c r="AT795" s="117">
        <f>SUM(AK796:AK831)</f>
      </c>
      <c r="AU795" s="117">
        <f>SUM(AL796:AL831)</f>
      </c>
    </row>
    <row r="796">
      <c r="A796" s="9" t="s">
        <v>1363</v>
      </c>
      <c r="B796" s="10" t="s">
        <v>84</v>
      </c>
      <c r="C796" s="10" t="s">
        <v>1364</v>
      </c>
      <c r="D796" s="14" t="s">
        <v>1365</v>
      </c>
      <c r="E796" s="10"/>
      <c r="F796" s="10" t="s">
        <v>145</v>
      </c>
      <c r="G796" s="111">
        <f>'Stavební rozpočet'!G796</f>
      </c>
      <c r="H796" s="111">
        <f>'Stavební rozpočet'!H796</f>
      </c>
      <c r="I796" s="111">
        <f>G796*H796</f>
      </c>
      <c r="J796" s="153" t="s">
        <v>134</v>
      </c>
      <c r="K796" s="146"/>
      <c r="Z796" s="111">
        <f>IF(AQ796="5",BJ796,0)</f>
      </c>
      <c r="AB796" s="111">
        <f>IF(AQ796="1",BH796,0)</f>
      </c>
      <c r="AC796" s="111">
        <f>IF(AQ796="1",BI796,0)</f>
      </c>
      <c r="AD796" s="111">
        <f>IF(AQ796="7",BH796,0)</f>
      </c>
      <c r="AE796" s="111">
        <f>IF(AQ796="7",BI796,0)</f>
      </c>
      <c r="AF796" s="111">
        <f>IF(AQ796="2",BH796,0)</f>
      </c>
      <c r="AG796" s="111">
        <f>IF(AQ796="2",BI796,0)</f>
      </c>
      <c r="AH796" s="111">
        <f>IF(AQ796="0",BJ796,0)</f>
      </c>
      <c r="AI796" s="132" t="s">
        <v>84</v>
      </c>
      <c r="AJ796" s="111">
        <f>IF(AN796=0,I796,0)</f>
      </c>
      <c r="AK796" s="111">
        <f>IF(AN796=12,I796,0)</f>
      </c>
      <c r="AL796" s="111">
        <f>IF(AN796=21,I796,0)</f>
      </c>
      <c r="AN796" s="111" t="n">
        <v>21</v>
      </c>
      <c r="AO796" s="111">
        <f>H796*0.000532623</f>
      </c>
      <c r="AP796" s="111">
        <f>H796*(1-0.000532623)</f>
      </c>
      <c r="AQ796" s="153" t="s">
        <v>130</v>
      </c>
      <c r="AV796" s="111">
        <f>AW796+AX796</f>
      </c>
      <c r="AW796" s="111">
        <f>G796*AO796</f>
      </c>
      <c r="AX796" s="111">
        <f>G796*AP796</f>
      </c>
      <c r="AY796" s="153" t="s">
        <v>1366</v>
      </c>
      <c r="AZ796" s="153" t="s">
        <v>1326</v>
      </c>
      <c r="BA796" s="132" t="s">
        <v>137</v>
      </c>
      <c r="BC796" s="111">
        <f>AW796+AX796</f>
      </c>
      <c r="BD796" s="111">
        <f>H796/(100-BE796)*100</f>
      </c>
      <c r="BE796" s="111" t="n">
        <v>0</v>
      </c>
      <c r="BF796" s="111">
        <f>796</f>
      </c>
      <c r="BH796" s="111">
        <f>G796*AO796</f>
      </c>
      <c r="BI796" s="111">
        <f>G796*AP796</f>
      </c>
      <c r="BJ796" s="111">
        <f>G796*H796</f>
      </c>
      <c r="BK796" s="111"/>
      <c r="BL796" s="111" t="n">
        <v>94</v>
      </c>
      <c r="BW796" s="111" t="n">
        <v>21</v>
      </c>
      <c r="BX796" s="14" t="s">
        <v>1365</v>
      </c>
    </row>
    <row r="797">
      <c r="A797" s="154"/>
      <c r="B797" s="155"/>
      <c r="C797" s="155"/>
      <c r="D797" s="156" t="s">
        <v>1367</v>
      </c>
      <c r="E797" s="156" t="s">
        <v>1046</v>
      </c>
      <c r="F797" s="155"/>
      <c r="G797" s="157" t="n">
        <v>195.84</v>
      </c>
      <c r="H797" s="155"/>
      <c r="I797" s="155"/>
      <c r="J797" s="155"/>
      <c r="K797" s="146"/>
    </row>
    <row r="798">
      <c r="A798" s="154"/>
      <c r="B798" s="155"/>
      <c r="C798" s="155"/>
      <c r="D798" s="156" t="s">
        <v>1368</v>
      </c>
      <c r="E798" s="156" t="s">
        <v>1048</v>
      </c>
      <c r="F798" s="155"/>
      <c r="G798" s="157" t="n">
        <v>115</v>
      </c>
      <c r="H798" s="155"/>
      <c r="I798" s="155"/>
      <c r="J798" s="155"/>
      <c r="K798" s="146"/>
    </row>
    <row r="799">
      <c r="A799" s="154"/>
      <c r="B799" s="155"/>
      <c r="C799" s="155"/>
      <c r="D799" s="156" t="s">
        <v>1369</v>
      </c>
      <c r="E799" s="156" t="s">
        <v>1050</v>
      </c>
      <c r="F799" s="155"/>
      <c r="G799" s="157" t="n">
        <v>67.72</v>
      </c>
      <c r="H799" s="155"/>
      <c r="I799" s="155"/>
      <c r="J799" s="155"/>
      <c r="K799" s="146"/>
    </row>
    <row r="800">
      <c r="A800" s="154"/>
      <c r="B800" s="155"/>
      <c r="C800" s="155"/>
      <c r="D800" s="156" t="s">
        <v>1370</v>
      </c>
      <c r="E800" s="156" t="s">
        <v>1371</v>
      </c>
      <c r="F800" s="155"/>
      <c r="G800" s="157" t="n">
        <v>76.88</v>
      </c>
      <c r="H800" s="155"/>
      <c r="I800" s="155"/>
      <c r="J800" s="155"/>
      <c r="K800" s="146"/>
    </row>
    <row r="801">
      <c r="A801" s="154"/>
      <c r="B801" s="155"/>
      <c r="C801" s="155"/>
      <c r="D801" s="156" t="s">
        <v>1372</v>
      </c>
      <c r="E801" s="156" t="s">
        <v>1054</v>
      </c>
      <c r="F801" s="155"/>
      <c r="G801" s="157" t="n">
        <v>43.2</v>
      </c>
      <c r="H801" s="155"/>
      <c r="I801" s="155"/>
      <c r="J801" s="155"/>
      <c r="K801" s="146"/>
    </row>
    <row r="802">
      <c r="A802" s="9" t="s">
        <v>1373</v>
      </c>
      <c r="B802" s="10" t="s">
        <v>84</v>
      </c>
      <c r="C802" s="10" t="s">
        <v>1374</v>
      </c>
      <c r="D802" s="14" t="s">
        <v>1375</v>
      </c>
      <c r="E802" s="10"/>
      <c r="F802" s="10" t="s">
        <v>145</v>
      </c>
      <c r="G802" s="111">
        <f>'Stavební rozpočet'!G802</f>
      </c>
      <c r="H802" s="111">
        <f>'Stavební rozpočet'!H802</f>
      </c>
      <c r="I802" s="111">
        <f>G802*H802</f>
      </c>
      <c r="J802" s="153" t="s">
        <v>134</v>
      </c>
      <c r="K802" s="146"/>
      <c r="Z802" s="111">
        <f>IF(AQ802="5",BJ802,0)</f>
      </c>
      <c r="AB802" s="111">
        <f>IF(AQ802="1",BH802,0)</f>
      </c>
      <c r="AC802" s="111">
        <f>IF(AQ802="1",BI802,0)</f>
      </c>
      <c r="AD802" s="111">
        <f>IF(AQ802="7",BH802,0)</f>
      </c>
      <c r="AE802" s="111">
        <f>IF(AQ802="7",BI802,0)</f>
      </c>
      <c r="AF802" s="111">
        <f>IF(AQ802="2",BH802,0)</f>
      </c>
      <c r="AG802" s="111">
        <f>IF(AQ802="2",BI802,0)</f>
      </c>
      <c r="AH802" s="111">
        <f>IF(AQ802="0",BJ802,0)</f>
      </c>
      <c r="AI802" s="132" t="s">
        <v>84</v>
      </c>
      <c r="AJ802" s="111">
        <f>IF(AN802=0,I802,0)</f>
      </c>
      <c r="AK802" s="111">
        <f>IF(AN802=12,I802,0)</f>
      </c>
      <c r="AL802" s="111">
        <f>IF(AN802=21,I802,0)</f>
      </c>
      <c r="AN802" s="111" t="n">
        <v>21</v>
      </c>
      <c r="AO802" s="111">
        <f>H802*0.946943747</f>
      </c>
      <c r="AP802" s="111">
        <f>H802*(1-0.946943747)</f>
      </c>
      <c r="AQ802" s="153" t="s">
        <v>130</v>
      </c>
      <c r="AV802" s="111">
        <f>AW802+AX802</f>
      </c>
      <c r="AW802" s="111">
        <f>G802*AO802</f>
      </c>
      <c r="AX802" s="111">
        <f>G802*AP802</f>
      </c>
      <c r="AY802" s="153" t="s">
        <v>1366</v>
      </c>
      <c r="AZ802" s="153" t="s">
        <v>1326</v>
      </c>
      <c r="BA802" s="132" t="s">
        <v>137</v>
      </c>
      <c r="BC802" s="111">
        <f>AW802+AX802</f>
      </c>
      <c r="BD802" s="111">
        <f>H802/(100-BE802)*100</f>
      </c>
      <c r="BE802" s="111" t="n">
        <v>0</v>
      </c>
      <c r="BF802" s="111">
        <f>802</f>
      </c>
      <c r="BH802" s="111">
        <f>G802*AO802</f>
      </c>
      <c r="BI802" s="111">
        <f>G802*AP802</f>
      </c>
      <c r="BJ802" s="111">
        <f>G802*H802</f>
      </c>
      <c r="BK802" s="111"/>
      <c r="BL802" s="111" t="n">
        <v>94</v>
      </c>
      <c r="BW802" s="111" t="n">
        <v>21</v>
      </c>
      <c r="BX802" s="14" t="s">
        <v>1375</v>
      </c>
    </row>
    <row r="803">
      <c r="A803" s="9" t="s">
        <v>1376</v>
      </c>
      <c r="B803" s="10" t="s">
        <v>84</v>
      </c>
      <c r="C803" s="10" t="s">
        <v>1377</v>
      </c>
      <c r="D803" s="14" t="s">
        <v>1378</v>
      </c>
      <c r="E803" s="10"/>
      <c r="F803" s="10" t="s">
        <v>145</v>
      </c>
      <c r="G803" s="111">
        <f>'Stavební rozpočet'!G803</f>
      </c>
      <c r="H803" s="111">
        <f>'Stavební rozpočet'!H803</f>
      </c>
      <c r="I803" s="111">
        <f>G803*H803</f>
      </c>
      <c r="J803" s="153" t="s">
        <v>134</v>
      </c>
      <c r="K803" s="146"/>
      <c r="Z803" s="111">
        <f>IF(AQ803="5",BJ803,0)</f>
      </c>
      <c r="AB803" s="111">
        <f>IF(AQ803="1",BH803,0)</f>
      </c>
      <c r="AC803" s="111">
        <f>IF(AQ803="1",BI803,0)</f>
      </c>
      <c r="AD803" s="111">
        <f>IF(AQ803="7",BH803,0)</f>
      </c>
      <c r="AE803" s="111">
        <f>IF(AQ803="7",BI803,0)</f>
      </c>
      <c r="AF803" s="111">
        <f>IF(AQ803="2",BH803,0)</f>
      </c>
      <c r="AG803" s="111">
        <f>IF(AQ803="2",BI803,0)</f>
      </c>
      <c r="AH803" s="111">
        <f>IF(AQ803="0",BJ803,0)</f>
      </c>
      <c r="AI803" s="132" t="s">
        <v>84</v>
      </c>
      <c r="AJ803" s="111">
        <f>IF(AN803=0,I803,0)</f>
      </c>
      <c r="AK803" s="111">
        <f>IF(AN803=12,I803,0)</f>
      </c>
      <c r="AL803" s="111">
        <f>IF(AN803=21,I803,0)</f>
      </c>
      <c r="AN803" s="111" t="n">
        <v>21</v>
      </c>
      <c r="AO803" s="111">
        <f>H803*0</f>
      </c>
      <c r="AP803" s="111">
        <f>H803*(1-0)</f>
      </c>
      <c r="AQ803" s="153" t="s">
        <v>130</v>
      </c>
      <c r="AV803" s="111">
        <f>AW803+AX803</f>
      </c>
      <c r="AW803" s="111">
        <f>G803*AO803</f>
      </c>
      <c r="AX803" s="111">
        <f>G803*AP803</f>
      </c>
      <c r="AY803" s="153" t="s">
        <v>1366</v>
      </c>
      <c r="AZ803" s="153" t="s">
        <v>1326</v>
      </c>
      <c r="BA803" s="132" t="s">
        <v>137</v>
      </c>
      <c r="BC803" s="111">
        <f>AW803+AX803</f>
      </c>
      <c r="BD803" s="111">
        <f>H803/(100-BE803)*100</f>
      </c>
      <c r="BE803" s="111" t="n">
        <v>0</v>
      </c>
      <c r="BF803" s="111">
        <f>803</f>
      </c>
      <c r="BH803" s="111">
        <f>G803*AO803</f>
      </c>
      <c r="BI803" s="111">
        <f>G803*AP803</f>
      </c>
      <c r="BJ803" s="111">
        <f>G803*H803</f>
      </c>
      <c r="BK803" s="111"/>
      <c r="BL803" s="111" t="n">
        <v>94</v>
      </c>
      <c r="BW803" s="111" t="n">
        <v>21</v>
      </c>
      <c r="BX803" s="14" t="s">
        <v>1378</v>
      </c>
    </row>
    <row r="804">
      <c r="A804" s="9" t="s">
        <v>1379</v>
      </c>
      <c r="B804" s="10" t="s">
        <v>84</v>
      </c>
      <c r="C804" s="10" t="s">
        <v>1380</v>
      </c>
      <c r="D804" s="14" t="s">
        <v>1381</v>
      </c>
      <c r="E804" s="10"/>
      <c r="F804" s="10" t="s">
        <v>145</v>
      </c>
      <c r="G804" s="111">
        <f>'Stavební rozpočet'!G804</f>
      </c>
      <c r="H804" s="111">
        <f>'Stavební rozpočet'!H804</f>
      </c>
      <c r="I804" s="111">
        <f>G804*H804</f>
      </c>
      <c r="J804" s="153" t="s">
        <v>134</v>
      </c>
      <c r="K804" s="146"/>
      <c r="Z804" s="111">
        <f>IF(AQ804="5",BJ804,0)</f>
      </c>
      <c r="AB804" s="111">
        <f>IF(AQ804="1",BH804,0)</f>
      </c>
      <c r="AC804" s="111">
        <f>IF(AQ804="1",BI804,0)</f>
      </c>
      <c r="AD804" s="111">
        <f>IF(AQ804="7",BH804,0)</f>
      </c>
      <c r="AE804" s="111">
        <f>IF(AQ804="7",BI804,0)</f>
      </c>
      <c r="AF804" s="111">
        <f>IF(AQ804="2",BH804,0)</f>
      </c>
      <c r="AG804" s="111">
        <f>IF(AQ804="2",BI804,0)</f>
      </c>
      <c r="AH804" s="111">
        <f>IF(AQ804="0",BJ804,0)</f>
      </c>
      <c r="AI804" s="132" t="s">
        <v>84</v>
      </c>
      <c r="AJ804" s="111">
        <f>IF(AN804=0,I804,0)</f>
      </c>
      <c r="AK804" s="111">
        <f>IF(AN804=12,I804,0)</f>
      </c>
      <c r="AL804" s="111">
        <f>IF(AN804=21,I804,0)</f>
      </c>
      <c r="AN804" s="111" t="n">
        <v>21</v>
      </c>
      <c r="AO804" s="111">
        <f>H804*0.407753947</f>
      </c>
      <c r="AP804" s="111">
        <f>H804*(1-0.407753947)</f>
      </c>
      <c r="AQ804" s="153" t="s">
        <v>130</v>
      </c>
      <c r="AV804" s="111">
        <f>AW804+AX804</f>
      </c>
      <c r="AW804" s="111">
        <f>G804*AO804</f>
      </c>
      <c r="AX804" s="111">
        <f>G804*AP804</f>
      </c>
      <c r="AY804" s="153" t="s">
        <v>1366</v>
      </c>
      <c r="AZ804" s="153" t="s">
        <v>1326</v>
      </c>
      <c r="BA804" s="132" t="s">
        <v>137</v>
      </c>
      <c r="BC804" s="111">
        <f>AW804+AX804</f>
      </c>
      <c r="BD804" s="111">
        <f>H804/(100-BE804)*100</f>
      </c>
      <c r="BE804" s="111" t="n">
        <v>0</v>
      </c>
      <c r="BF804" s="111">
        <f>804</f>
      </c>
      <c r="BH804" s="111">
        <f>G804*AO804</f>
      </c>
      <c r="BI804" s="111">
        <f>G804*AP804</f>
      </c>
      <c r="BJ804" s="111">
        <f>G804*H804</f>
      </c>
      <c r="BK804" s="111"/>
      <c r="BL804" s="111" t="n">
        <v>94</v>
      </c>
      <c r="BW804" s="111" t="n">
        <v>21</v>
      </c>
      <c r="BX804" s="14" t="s">
        <v>1381</v>
      </c>
    </row>
    <row r="805">
      <c r="A805" s="154"/>
      <c r="B805" s="155"/>
      <c r="C805" s="155"/>
      <c r="D805" s="156" t="s">
        <v>1382</v>
      </c>
      <c r="E805" s="156" t="s">
        <v>421</v>
      </c>
      <c r="F805" s="155"/>
      <c r="G805" s="157" t="n">
        <v>181</v>
      </c>
      <c r="H805" s="155"/>
      <c r="I805" s="155"/>
      <c r="J805" s="155"/>
      <c r="K805" s="146"/>
    </row>
    <row r="806">
      <c r="A806" s="154"/>
      <c r="B806" s="155"/>
      <c r="C806" s="155"/>
      <c r="D806" s="156" t="s">
        <v>1383</v>
      </c>
      <c r="E806" s="156" t="s">
        <v>4</v>
      </c>
      <c r="F806" s="155"/>
      <c r="G806" s="157" t="n">
        <v>52</v>
      </c>
      <c r="H806" s="155"/>
      <c r="I806" s="155"/>
      <c r="J806" s="155"/>
      <c r="K806" s="146"/>
    </row>
    <row r="807">
      <c r="A807" s="154"/>
      <c r="B807" s="155"/>
      <c r="C807" s="155"/>
      <c r="D807" s="156" t="s">
        <v>1384</v>
      </c>
      <c r="E807" s="156" t="s">
        <v>4</v>
      </c>
      <c r="F807" s="155"/>
      <c r="G807" s="157" t="n">
        <v>50.1</v>
      </c>
      <c r="H807" s="155"/>
      <c r="I807" s="155"/>
      <c r="J807" s="155"/>
      <c r="K807" s="146"/>
    </row>
    <row r="808">
      <c r="A808" s="154"/>
      <c r="B808" s="155"/>
      <c r="C808" s="155"/>
      <c r="D808" s="156" t="s">
        <v>1385</v>
      </c>
      <c r="E808" s="156" t="s">
        <v>425</v>
      </c>
      <c r="F808" s="155"/>
      <c r="G808" s="157" t="n">
        <v>96.7</v>
      </c>
      <c r="H808" s="155"/>
      <c r="I808" s="155"/>
      <c r="J808" s="155"/>
      <c r="K808" s="146"/>
    </row>
    <row r="809">
      <c r="A809" s="154"/>
      <c r="B809" s="155"/>
      <c r="C809" s="155"/>
      <c r="D809" s="156" t="s">
        <v>1386</v>
      </c>
      <c r="E809" s="156" t="s">
        <v>1387</v>
      </c>
      <c r="F809" s="155"/>
      <c r="G809" s="157" t="n">
        <v>16.3</v>
      </c>
      <c r="H809" s="155"/>
      <c r="I809" s="155"/>
      <c r="J809" s="155"/>
      <c r="K809" s="146"/>
    </row>
    <row r="810">
      <c r="A810" s="154"/>
      <c r="B810" s="155"/>
      <c r="C810" s="155"/>
      <c r="D810" s="156" t="s">
        <v>1388</v>
      </c>
      <c r="E810" s="156" t="s">
        <v>1389</v>
      </c>
      <c r="F810" s="155"/>
      <c r="G810" s="157" t="n">
        <v>26.7</v>
      </c>
      <c r="H810" s="155"/>
      <c r="I810" s="155"/>
      <c r="J810" s="155"/>
      <c r="K810" s="146"/>
    </row>
    <row r="811">
      <c r="A811" s="9" t="s">
        <v>1390</v>
      </c>
      <c r="B811" s="10" t="s">
        <v>84</v>
      </c>
      <c r="C811" s="10" t="s">
        <v>1391</v>
      </c>
      <c r="D811" s="14" t="s">
        <v>1392</v>
      </c>
      <c r="E811" s="10"/>
      <c r="F811" s="10" t="s">
        <v>159</v>
      </c>
      <c r="G811" s="111">
        <f>'Stavební rozpočet'!G811</f>
      </c>
      <c r="H811" s="111">
        <f>'Stavební rozpočet'!H811</f>
      </c>
      <c r="I811" s="111">
        <f>G811*H811</f>
      </c>
      <c r="J811" s="153" t="s">
        <v>134</v>
      </c>
      <c r="K811" s="146"/>
      <c r="Z811" s="111">
        <f>IF(AQ811="5",BJ811,0)</f>
      </c>
      <c r="AB811" s="111">
        <f>IF(AQ811="1",BH811,0)</f>
      </c>
      <c r="AC811" s="111">
        <f>IF(AQ811="1",BI811,0)</f>
      </c>
      <c r="AD811" s="111">
        <f>IF(AQ811="7",BH811,0)</f>
      </c>
      <c r="AE811" s="111">
        <f>IF(AQ811="7",BI811,0)</f>
      </c>
      <c r="AF811" s="111">
        <f>IF(AQ811="2",BH811,0)</f>
      </c>
      <c r="AG811" s="111">
        <f>IF(AQ811="2",BI811,0)</f>
      </c>
      <c r="AH811" s="111">
        <f>IF(AQ811="0",BJ811,0)</f>
      </c>
      <c r="AI811" s="132" t="s">
        <v>84</v>
      </c>
      <c r="AJ811" s="111">
        <f>IF(AN811=0,I811,0)</f>
      </c>
      <c r="AK811" s="111">
        <f>IF(AN811=12,I811,0)</f>
      </c>
      <c r="AL811" s="111">
        <f>IF(AN811=21,I811,0)</f>
      </c>
      <c r="AN811" s="111" t="n">
        <v>21</v>
      </c>
      <c r="AO811" s="111">
        <f>H811*0</f>
      </c>
      <c r="AP811" s="111">
        <f>H811*(1-0)</f>
      </c>
      <c r="AQ811" s="153" t="s">
        <v>130</v>
      </c>
      <c r="AV811" s="111">
        <f>AW811+AX811</f>
      </c>
      <c r="AW811" s="111">
        <f>G811*AO811</f>
      </c>
      <c r="AX811" s="111">
        <f>G811*AP811</f>
      </c>
      <c r="AY811" s="153" t="s">
        <v>1366</v>
      </c>
      <c r="AZ811" s="153" t="s">
        <v>1326</v>
      </c>
      <c r="BA811" s="132" t="s">
        <v>137</v>
      </c>
      <c r="BC811" s="111">
        <f>AW811+AX811</f>
      </c>
      <c r="BD811" s="111">
        <f>H811/(100-BE811)*100</f>
      </c>
      <c r="BE811" s="111" t="n">
        <v>0</v>
      </c>
      <c r="BF811" s="111">
        <f>811</f>
      </c>
      <c r="BH811" s="111">
        <f>G811*AO811</f>
      </c>
      <c r="BI811" s="111">
        <f>G811*AP811</f>
      </c>
      <c r="BJ811" s="111">
        <f>G811*H811</f>
      </c>
      <c r="BK811" s="111"/>
      <c r="BL811" s="111" t="n">
        <v>94</v>
      </c>
      <c r="BW811" s="111" t="n">
        <v>21</v>
      </c>
      <c r="BX811" s="14" t="s">
        <v>1392</v>
      </c>
    </row>
    <row r="812">
      <c r="A812" s="154"/>
      <c r="B812" s="155"/>
      <c r="C812" s="155"/>
      <c r="D812" s="156" t="s">
        <v>1393</v>
      </c>
      <c r="E812" s="156" t="s">
        <v>985</v>
      </c>
      <c r="F812" s="155"/>
      <c r="G812" s="157" t="n">
        <v>1309</v>
      </c>
      <c r="H812" s="155"/>
      <c r="I812" s="155"/>
      <c r="J812" s="155"/>
      <c r="K812" s="146"/>
    </row>
    <row r="813">
      <c r="A813" s="9" t="s">
        <v>1394</v>
      </c>
      <c r="B813" s="10" t="s">
        <v>84</v>
      </c>
      <c r="C813" s="10" t="s">
        <v>1395</v>
      </c>
      <c r="D813" s="14" t="s">
        <v>1396</v>
      </c>
      <c r="E813" s="10"/>
      <c r="F813" s="10" t="s">
        <v>159</v>
      </c>
      <c r="G813" s="111">
        <f>'Stavební rozpočet'!G813</f>
      </c>
      <c r="H813" s="111">
        <f>'Stavební rozpočet'!H813</f>
      </c>
      <c r="I813" s="111">
        <f>G813*H813</f>
      </c>
      <c r="J813" s="153" t="s">
        <v>134</v>
      </c>
      <c r="K813" s="146"/>
      <c r="Z813" s="111">
        <f>IF(AQ813="5",BJ813,0)</f>
      </c>
      <c r="AB813" s="111">
        <f>IF(AQ813="1",BH813,0)</f>
      </c>
      <c r="AC813" s="111">
        <f>IF(AQ813="1",BI813,0)</f>
      </c>
      <c r="AD813" s="111">
        <f>IF(AQ813="7",BH813,0)</f>
      </c>
      <c r="AE813" s="111">
        <f>IF(AQ813="7",BI813,0)</f>
      </c>
      <c r="AF813" s="111">
        <f>IF(AQ813="2",BH813,0)</f>
      </c>
      <c r="AG813" s="111">
        <f>IF(AQ813="2",BI813,0)</f>
      </c>
      <c r="AH813" s="111">
        <f>IF(AQ813="0",BJ813,0)</f>
      </c>
      <c r="AI813" s="132" t="s">
        <v>84</v>
      </c>
      <c r="AJ813" s="111">
        <f>IF(AN813=0,I813,0)</f>
      </c>
      <c r="AK813" s="111">
        <f>IF(AN813=12,I813,0)</f>
      </c>
      <c r="AL813" s="111">
        <f>IF(AN813=21,I813,0)</f>
      </c>
      <c r="AN813" s="111" t="n">
        <v>21</v>
      </c>
      <c r="AO813" s="111">
        <f>H813*0.942553191</f>
      </c>
      <c r="AP813" s="111">
        <f>H813*(1-0.942553191)</f>
      </c>
      <c r="AQ813" s="153" t="s">
        <v>130</v>
      </c>
      <c r="AV813" s="111">
        <f>AW813+AX813</f>
      </c>
      <c r="AW813" s="111">
        <f>G813*AO813</f>
      </c>
      <c r="AX813" s="111">
        <f>G813*AP813</f>
      </c>
      <c r="AY813" s="153" t="s">
        <v>1366</v>
      </c>
      <c r="AZ813" s="153" t="s">
        <v>1326</v>
      </c>
      <c r="BA813" s="132" t="s">
        <v>137</v>
      </c>
      <c r="BC813" s="111">
        <f>AW813+AX813</f>
      </c>
      <c r="BD813" s="111">
        <f>H813/(100-BE813)*100</f>
      </c>
      <c r="BE813" s="111" t="n">
        <v>0</v>
      </c>
      <c r="BF813" s="111">
        <f>813</f>
      </c>
      <c r="BH813" s="111">
        <f>G813*AO813</f>
      </c>
      <c r="BI813" s="111">
        <f>G813*AP813</f>
      </c>
      <c r="BJ813" s="111">
        <f>G813*H813</f>
      </c>
      <c r="BK813" s="111"/>
      <c r="BL813" s="111" t="n">
        <v>94</v>
      </c>
      <c r="BW813" s="111" t="n">
        <v>21</v>
      </c>
      <c r="BX813" s="14" t="s">
        <v>1396</v>
      </c>
    </row>
    <row r="814">
      <c r="A814" s="154"/>
      <c r="B814" s="155"/>
      <c r="C814" s="155"/>
      <c r="D814" s="156" t="s">
        <v>1397</v>
      </c>
      <c r="E814" s="156" t="s">
        <v>985</v>
      </c>
      <c r="F814" s="155"/>
      <c r="G814" s="157" t="n">
        <v>2618</v>
      </c>
      <c r="H814" s="155"/>
      <c r="I814" s="155"/>
      <c r="J814" s="155"/>
      <c r="K814" s="146"/>
    </row>
    <row r="815">
      <c r="A815" s="9" t="s">
        <v>1398</v>
      </c>
      <c r="B815" s="10" t="s">
        <v>84</v>
      </c>
      <c r="C815" s="10" t="s">
        <v>1399</v>
      </c>
      <c r="D815" s="14" t="s">
        <v>1400</v>
      </c>
      <c r="E815" s="10"/>
      <c r="F815" s="10" t="s">
        <v>159</v>
      </c>
      <c r="G815" s="111">
        <f>'Stavební rozpočet'!G815</f>
      </c>
      <c r="H815" s="111">
        <f>'Stavební rozpočet'!H815</f>
      </c>
      <c r="I815" s="111">
        <f>G815*H815</f>
      </c>
      <c r="J815" s="153" t="s">
        <v>134</v>
      </c>
      <c r="K815" s="146"/>
      <c r="Z815" s="111">
        <f>IF(AQ815="5",BJ815,0)</f>
      </c>
      <c r="AB815" s="111">
        <f>IF(AQ815="1",BH815,0)</f>
      </c>
      <c r="AC815" s="111">
        <f>IF(AQ815="1",BI815,0)</f>
      </c>
      <c r="AD815" s="111">
        <f>IF(AQ815="7",BH815,0)</f>
      </c>
      <c r="AE815" s="111">
        <f>IF(AQ815="7",BI815,0)</f>
      </c>
      <c r="AF815" s="111">
        <f>IF(AQ815="2",BH815,0)</f>
      </c>
      <c r="AG815" s="111">
        <f>IF(AQ815="2",BI815,0)</f>
      </c>
      <c r="AH815" s="111">
        <f>IF(AQ815="0",BJ815,0)</f>
      </c>
      <c r="AI815" s="132" t="s">
        <v>84</v>
      </c>
      <c r="AJ815" s="111">
        <f>IF(AN815=0,I815,0)</f>
      </c>
      <c r="AK815" s="111">
        <f>IF(AN815=12,I815,0)</f>
      </c>
      <c r="AL815" s="111">
        <f>IF(AN815=21,I815,0)</f>
      </c>
      <c r="AN815" s="111" t="n">
        <v>21</v>
      </c>
      <c r="AO815" s="111">
        <f>H815*0</f>
      </c>
      <c r="AP815" s="111">
        <f>H815*(1-0)</f>
      </c>
      <c r="AQ815" s="153" t="s">
        <v>130</v>
      </c>
      <c r="AV815" s="111">
        <f>AW815+AX815</f>
      </c>
      <c r="AW815" s="111">
        <f>G815*AO815</f>
      </c>
      <c r="AX815" s="111">
        <f>G815*AP815</f>
      </c>
      <c r="AY815" s="153" t="s">
        <v>1366</v>
      </c>
      <c r="AZ815" s="153" t="s">
        <v>1326</v>
      </c>
      <c r="BA815" s="132" t="s">
        <v>137</v>
      </c>
      <c r="BC815" s="111">
        <f>AW815+AX815</f>
      </c>
      <c r="BD815" s="111">
        <f>H815/(100-BE815)*100</f>
      </c>
      <c r="BE815" s="111" t="n">
        <v>0</v>
      </c>
      <c r="BF815" s="111">
        <f>815</f>
      </c>
      <c r="BH815" s="111">
        <f>G815*AO815</f>
      </c>
      <c r="BI815" s="111">
        <f>G815*AP815</f>
      </c>
      <c r="BJ815" s="111">
        <f>G815*H815</f>
      </c>
      <c r="BK815" s="111"/>
      <c r="BL815" s="111" t="n">
        <v>94</v>
      </c>
      <c r="BW815" s="111" t="n">
        <v>21</v>
      </c>
      <c r="BX815" s="14" t="s">
        <v>1400</v>
      </c>
    </row>
    <row r="816">
      <c r="A816" s="154"/>
      <c r="B816" s="155"/>
      <c r="C816" s="155"/>
      <c r="D816" s="156" t="s">
        <v>1393</v>
      </c>
      <c r="E816" s="156" t="s">
        <v>985</v>
      </c>
      <c r="F816" s="155"/>
      <c r="G816" s="157" t="n">
        <v>1309</v>
      </c>
      <c r="H816" s="155"/>
      <c r="I816" s="155"/>
      <c r="J816" s="155"/>
      <c r="K816" s="146"/>
    </row>
    <row r="817">
      <c r="A817" s="9" t="s">
        <v>1401</v>
      </c>
      <c r="B817" s="10" t="s">
        <v>84</v>
      </c>
      <c r="C817" s="10" t="s">
        <v>1402</v>
      </c>
      <c r="D817" s="14" t="s">
        <v>1403</v>
      </c>
      <c r="E817" s="10"/>
      <c r="F817" s="10" t="s">
        <v>145</v>
      </c>
      <c r="G817" s="111">
        <f>'Stavební rozpočet'!G817</f>
      </c>
      <c r="H817" s="111">
        <f>'Stavební rozpočet'!H817</f>
      </c>
      <c r="I817" s="111">
        <f>G817*H817</f>
      </c>
      <c r="J817" s="153" t="s">
        <v>134</v>
      </c>
      <c r="K817" s="146"/>
      <c r="Z817" s="111">
        <f>IF(AQ817="5",BJ817,0)</f>
      </c>
      <c r="AB817" s="111">
        <f>IF(AQ817="1",BH817,0)</f>
      </c>
      <c r="AC817" s="111">
        <f>IF(AQ817="1",BI817,0)</f>
      </c>
      <c r="AD817" s="111">
        <f>IF(AQ817="7",BH817,0)</f>
      </c>
      <c r="AE817" s="111">
        <f>IF(AQ817="7",BI817,0)</f>
      </c>
      <c r="AF817" s="111">
        <f>IF(AQ817="2",BH817,0)</f>
      </c>
      <c r="AG817" s="111">
        <f>IF(AQ817="2",BI817,0)</f>
      </c>
      <c r="AH817" s="111">
        <f>IF(AQ817="0",BJ817,0)</f>
      </c>
      <c r="AI817" s="132" t="s">
        <v>84</v>
      </c>
      <c r="AJ817" s="111">
        <f>IF(AN817=0,I817,0)</f>
      </c>
      <c r="AK817" s="111">
        <f>IF(AN817=12,I817,0)</f>
      </c>
      <c r="AL817" s="111">
        <f>IF(AN817=21,I817,0)</f>
      </c>
      <c r="AN817" s="111" t="n">
        <v>21</v>
      </c>
      <c r="AO817" s="111">
        <f>H817*0.000146199</f>
      </c>
      <c r="AP817" s="111">
        <f>H817*(1-0.000146199)</f>
      </c>
      <c r="AQ817" s="153" t="s">
        <v>130</v>
      </c>
      <c r="AV817" s="111">
        <f>AW817+AX817</f>
      </c>
      <c r="AW817" s="111">
        <f>G817*AO817</f>
      </c>
      <c r="AX817" s="111">
        <f>G817*AP817</f>
      </c>
      <c r="AY817" s="153" t="s">
        <v>1366</v>
      </c>
      <c r="AZ817" s="153" t="s">
        <v>1326</v>
      </c>
      <c r="BA817" s="132" t="s">
        <v>137</v>
      </c>
      <c r="BC817" s="111">
        <f>AW817+AX817</f>
      </c>
      <c r="BD817" s="111">
        <f>H817/(100-BE817)*100</f>
      </c>
      <c r="BE817" s="111" t="n">
        <v>0</v>
      </c>
      <c r="BF817" s="111">
        <f>817</f>
      </c>
      <c r="BH817" s="111">
        <f>G817*AO817</f>
      </c>
      <c r="BI817" s="111">
        <f>G817*AP817</f>
      </c>
      <c r="BJ817" s="111">
        <f>G817*H817</f>
      </c>
      <c r="BK817" s="111"/>
      <c r="BL817" s="111" t="n">
        <v>94</v>
      </c>
      <c r="BW817" s="111" t="n">
        <v>21</v>
      </c>
      <c r="BX817" s="14" t="s">
        <v>1403</v>
      </c>
    </row>
    <row r="818">
      <c r="A818" s="154"/>
      <c r="B818" s="155"/>
      <c r="C818" s="155"/>
      <c r="D818" s="156" t="s">
        <v>1404</v>
      </c>
      <c r="E818" s="156" t="s">
        <v>985</v>
      </c>
      <c r="F818" s="155"/>
      <c r="G818" s="157" t="n">
        <v>264</v>
      </c>
      <c r="H818" s="155"/>
      <c r="I818" s="155"/>
      <c r="J818" s="155"/>
      <c r="K818" s="146"/>
    </row>
    <row r="819">
      <c r="A819" s="9" t="s">
        <v>1405</v>
      </c>
      <c r="B819" s="10" t="s">
        <v>84</v>
      </c>
      <c r="C819" s="10" t="s">
        <v>1406</v>
      </c>
      <c r="D819" s="14" t="s">
        <v>1407</v>
      </c>
      <c r="E819" s="10"/>
      <c r="F819" s="10" t="s">
        <v>145</v>
      </c>
      <c r="G819" s="111">
        <f>'Stavební rozpočet'!G819</f>
      </c>
      <c r="H819" s="111">
        <f>'Stavební rozpočet'!H819</f>
      </c>
      <c r="I819" s="111">
        <f>G819*H819</f>
      </c>
      <c r="J819" s="153" t="s">
        <v>134</v>
      </c>
      <c r="K819" s="146"/>
      <c r="Z819" s="111">
        <f>IF(AQ819="5",BJ819,0)</f>
      </c>
      <c r="AB819" s="111">
        <f>IF(AQ819="1",BH819,0)</f>
      </c>
      <c r="AC819" s="111">
        <f>IF(AQ819="1",BI819,0)</f>
      </c>
      <c r="AD819" s="111">
        <f>IF(AQ819="7",BH819,0)</f>
      </c>
      <c r="AE819" s="111">
        <f>IF(AQ819="7",BI819,0)</f>
      </c>
      <c r="AF819" s="111">
        <f>IF(AQ819="2",BH819,0)</f>
      </c>
      <c r="AG819" s="111">
        <f>IF(AQ819="2",BI819,0)</f>
      </c>
      <c r="AH819" s="111">
        <f>IF(AQ819="0",BJ819,0)</f>
      </c>
      <c r="AI819" s="132" t="s">
        <v>84</v>
      </c>
      <c r="AJ819" s="111">
        <f>IF(AN819=0,I819,0)</f>
      </c>
      <c r="AK819" s="111">
        <f>IF(AN819=12,I819,0)</f>
      </c>
      <c r="AL819" s="111">
        <f>IF(AN819=21,I819,0)</f>
      </c>
      <c r="AN819" s="111" t="n">
        <v>21</v>
      </c>
      <c r="AO819" s="111">
        <f>H819*0</f>
      </c>
      <c r="AP819" s="111">
        <f>H819*(1-0)</f>
      </c>
      <c r="AQ819" s="153" t="s">
        <v>130</v>
      </c>
      <c r="AV819" s="111">
        <f>AW819+AX819</f>
      </c>
      <c r="AW819" s="111">
        <f>G819*AO819</f>
      </c>
      <c r="AX819" s="111">
        <f>G819*AP819</f>
      </c>
      <c r="AY819" s="153" t="s">
        <v>1366</v>
      </c>
      <c r="AZ819" s="153" t="s">
        <v>1326</v>
      </c>
      <c r="BA819" s="132" t="s">
        <v>137</v>
      </c>
      <c r="BC819" s="111">
        <f>AW819+AX819</f>
      </c>
      <c r="BD819" s="111">
        <f>H819/(100-BE819)*100</f>
      </c>
      <c r="BE819" s="111" t="n">
        <v>0</v>
      </c>
      <c r="BF819" s="111">
        <f>819</f>
      </c>
      <c r="BH819" s="111">
        <f>G819*AO819</f>
      </c>
      <c r="BI819" s="111">
        <f>G819*AP819</f>
      </c>
      <c r="BJ819" s="111">
        <f>G819*H819</f>
      </c>
      <c r="BK819" s="111"/>
      <c r="BL819" s="111" t="n">
        <v>94</v>
      </c>
      <c r="BW819" s="111" t="n">
        <v>21</v>
      </c>
      <c r="BX819" s="14" t="s">
        <v>1407</v>
      </c>
    </row>
    <row r="820">
      <c r="A820" s="154"/>
      <c r="B820" s="155"/>
      <c r="C820" s="155"/>
      <c r="D820" s="156" t="s">
        <v>1408</v>
      </c>
      <c r="E820" s="156" t="s">
        <v>1409</v>
      </c>
      <c r="F820" s="155"/>
      <c r="G820" s="157" t="n">
        <v>15840</v>
      </c>
      <c r="H820" s="155"/>
      <c r="I820" s="155"/>
      <c r="J820" s="155"/>
      <c r="K820" s="146"/>
    </row>
    <row r="821">
      <c r="A821" s="9" t="s">
        <v>1410</v>
      </c>
      <c r="B821" s="10" t="s">
        <v>84</v>
      </c>
      <c r="C821" s="10" t="s">
        <v>1411</v>
      </c>
      <c r="D821" s="14" t="s">
        <v>1412</v>
      </c>
      <c r="E821" s="10"/>
      <c r="F821" s="10" t="s">
        <v>145</v>
      </c>
      <c r="G821" s="111">
        <f>'Stavební rozpočet'!G821</f>
      </c>
      <c r="H821" s="111">
        <f>'Stavební rozpočet'!H821</f>
      </c>
      <c r="I821" s="111">
        <f>G821*H821</f>
      </c>
      <c r="J821" s="153" t="s">
        <v>134</v>
      </c>
      <c r="K821" s="146"/>
      <c r="Z821" s="111">
        <f>IF(AQ821="5",BJ821,0)</f>
      </c>
      <c r="AB821" s="111">
        <f>IF(AQ821="1",BH821,0)</f>
      </c>
      <c r="AC821" s="111">
        <f>IF(AQ821="1",BI821,0)</f>
      </c>
      <c r="AD821" s="111">
        <f>IF(AQ821="7",BH821,0)</f>
      </c>
      <c r="AE821" s="111">
        <f>IF(AQ821="7",BI821,0)</f>
      </c>
      <c r="AF821" s="111">
        <f>IF(AQ821="2",BH821,0)</f>
      </c>
      <c r="AG821" s="111">
        <f>IF(AQ821="2",BI821,0)</f>
      </c>
      <c r="AH821" s="111">
        <f>IF(AQ821="0",BJ821,0)</f>
      </c>
      <c r="AI821" s="132" t="s">
        <v>84</v>
      </c>
      <c r="AJ821" s="111">
        <f>IF(AN821=0,I821,0)</f>
      </c>
      <c r="AK821" s="111">
        <f>IF(AN821=12,I821,0)</f>
      </c>
      <c r="AL821" s="111">
        <f>IF(AN821=21,I821,0)</f>
      </c>
      <c r="AN821" s="111" t="n">
        <v>21</v>
      </c>
      <c r="AO821" s="111">
        <f>H821*0</f>
      </c>
      <c r="AP821" s="111">
        <f>H821*(1-0)</f>
      </c>
      <c r="AQ821" s="153" t="s">
        <v>130</v>
      </c>
      <c r="AV821" s="111">
        <f>AW821+AX821</f>
      </c>
      <c r="AW821" s="111">
        <f>G821*AO821</f>
      </c>
      <c r="AX821" s="111">
        <f>G821*AP821</f>
      </c>
      <c r="AY821" s="153" t="s">
        <v>1366</v>
      </c>
      <c r="AZ821" s="153" t="s">
        <v>1326</v>
      </c>
      <c r="BA821" s="132" t="s">
        <v>137</v>
      </c>
      <c r="BC821" s="111">
        <f>AW821+AX821</f>
      </c>
      <c r="BD821" s="111">
        <f>H821/(100-BE821)*100</f>
      </c>
      <c r="BE821" s="111" t="n">
        <v>0</v>
      </c>
      <c r="BF821" s="111">
        <f>821</f>
      </c>
      <c r="BH821" s="111">
        <f>G821*AO821</f>
      </c>
      <c r="BI821" s="111">
        <f>G821*AP821</f>
      </c>
      <c r="BJ821" s="111">
        <f>G821*H821</f>
      </c>
      <c r="BK821" s="111"/>
      <c r="BL821" s="111" t="n">
        <v>94</v>
      </c>
      <c r="BW821" s="111" t="n">
        <v>21</v>
      </c>
      <c r="BX821" s="14" t="s">
        <v>1412</v>
      </c>
    </row>
    <row r="822">
      <c r="A822" s="154"/>
      <c r="B822" s="155"/>
      <c r="C822" s="155"/>
      <c r="D822" s="156" t="s">
        <v>1404</v>
      </c>
      <c r="E822" s="156" t="s">
        <v>985</v>
      </c>
      <c r="F822" s="155"/>
      <c r="G822" s="157" t="n">
        <v>264</v>
      </c>
      <c r="H822" s="155"/>
      <c r="I822" s="155"/>
      <c r="J822" s="155"/>
      <c r="K822" s="146"/>
    </row>
    <row r="823">
      <c r="A823" s="9" t="s">
        <v>1413</v>
      </c>
      <c r="B823" s="10" t="s">
        <v>84</v>
      </c>
      <c r="C823" s="10" t="s">
        <v>1414</v>
      </c>
      <c r="D823" s="14" t="s">
        <v>1415</v>
      </c>
      <c r="E823" s="10"/>
      <c r="F823" s="10" t="s">
        <v>1416</v>
      </c>
      <c r="G823" s="111">
        <f>'Stavební rozpočet'!G823</f>
      </c>
      <c r="H823" s="111">
        <f>'Stavební rozpočet'!H823</f>
      </c>
      <c r="I823" s="111">
        <f>G823*H823</f>
      </c>
      <c r="J823" s="153" t="s">
        <v>134</v>
      </c>
      <c r="K823" s="146"/>
      <c r="Z823" s="111">
        <f>IF(AQ823="5",BJ823,0)</f>
      </c>
      <c r="AB823" s="111">
        <f>IF(AQ823="1",BH823,0)</f>
      </c>
      <c r="AC823" s="111">
        <f>IF(AQ823="1",BI823,0)</f>
      </c>
      <c r="AD823" s="111">
        <f>IF(AQ823="7",BH823,0)</f>
      </c>
      <c r="AE823" s="111">
        <f>IF(AQ823="7",BI823,0)</f>
      </c>
      <c r="AF823" s="111">
        <f>IF(AQ823="2",BH823,0)</f>
      </c>
      <c r="AG823" s="111">
        <f>IF(AQ823="2",BI823,0)</f>
      </c>
      <c r="AH823" s="111">
        <f>IF(AQ823="0",BJ823,0)</f>
      </c>
      <c r="AI823" s="132" t="s">
        <v>84</v>
      </c>
      <c r="AJ823" s="111">
        <f>IF(AN823=0,I823,0)</f>
      </c>
      <c r="AK823" s="111">
        <f>IF(AN823=12,I823,0)</f>
      </c>
      <c r="AL823" s="111">
        <f>IF(AN823=21,I823,0)</f>
      </c>
      <c r="AN823" s="111" t="n">
        <v>21</v>
      </c>
      <c r="AO823" s="111">
        <f>H823*0</f>
      </c>
      <c r="AP823" s="111">
        <f>H823*(1-0)</f>
      </c>
      <c r="AQ823" s="153" t="s">
        <v>130</v>
      </c>
      <c r="AV823" s="111">
        <f>AW823+AX823</f>
      </c>
      <c r="AW823" s="111">
        <f>G823*AO823</f>
      </c>
      <c r="AX823" s="111">
        <f>G823*AP823</f>
      </c>
      <c r="AY823" s="153" t="s">
        <v>1366</v>
      </c>
      <c r="AZ823" s="153" t="s">
        <v>1326</v>
      </c>
      <c r="BA823" s="132" t="s">
        <v>137</v>
      </c>
      <c r="BC823" s="111">
        <f>AW823+AX823</f>
      </c>
      <c r="BD823" s="111">
        <f>H823/(100-BE823)*100</f>
      </c>
      <c r="BE823" s="111" t="n">
        <v>0</v>
      </c>
      <c r="BF823" s="111">
        <f>823</f>
      </c>
      <c r="BH823" s="111">
        <f>G823*AO823</f>
      </c>
      <c r="BI823" s="111">
        <f>G823*AP823</f>
      </c>
      <c r="BJ823" s="111">
        <f>G823*H823</f>
      </c>
      <c r="BK823" s="111"/>
      <c r="BL823" s="111" t="n">
        <v>94</v>
      </c>
      <c r="BW823" s="111" t="n">
        <v>21</v>
      </c>
      <c r="BX823" s="14" t="s">
        <v>1415</v>
      </c>
    </row>
    <row r="824">
      <c r="A824" s="154"/>
      <c r="B824" s="155"/>
      <c r="C824" s="155"/>
      <c r="D824" s="156" t="s">
        <v>140</v>
      </c>
      <c r="E824" s="156" t="s">
        <v>1417</v>
      </c>
      <c r="F824" s="155"/>
      <c r="G824" s="157" t="n">
        <v>2</v>
      </c>
      <c r="H824" s="155"/>
      <c r="I824" s="155"/>
      <c r="J824" s="155"/>
      <c r="K824" s="146"/>
    </row>
    <row r="825">
      <c r="A825" s="9" t="s">
        <v>1418</v>
      </c>
      <c r="B825" s="10" t="s">
        <v>84</v>
      </c>
      <c r="C825" s="10" t="s">
        <v>1419</v>
      </c>
      <c r="D825" s="14" t="s">
        <v>1420</v>
      </c>
      <c r="E825" s="10"/>
      <c r="F825" s="10" t="s">
        <v>1421</v>
      </c>
      <c r="G825" s="111">
        <f>'Stavební rozpočet'!G825</f>
      </c>
      <c r="H825" s="111">
        <f>'Stavební rozpočet'!H825</f>
      </c>
      <c r="I825" s="111">
        <f>G825*H825</f>
      </c>
      <c r="J825" s="153" t="s">
        <v>134</v>
      </c>
      <c r="K825" s="146"/>
      <c r="Z825" s="111">
        <f>IF(AQ825="5",BJ825,0)</f>
      </c>
      <c r="AB825" s="111">
        <f>IF(AQ825="1",BH825,0)</f>
      </c>
      <c r="AC825" s="111">
        <f>IF(AQ825="1",BI825,0)</f>
      </c>
      <c r="AD825" s="111">
        <f>IF(AQ825="7",BH825,0)</f>
      </c>
      <c r="AE825" s="111">
        <f>IF(AQ825="7",BI825,0)</f>
      </c>
      <c r="AF825" s="111">
        <f>IF(AQ825="2",BH825,0)</f>
      </c>
      <c r="AG825" s="111">
        <f>IF(AQ825="2",BI825,0)</f>
      </c>
      <c r="AH825" s="111">
        <f>IF(AQ825="0",BJ825,0)</f>
      </c>
      <c r="AI825" s="132" t="s">
        <v>84</v>
      </c>
      <c r="AJ825" s="111">
        <f>IF(AN825=0,I825,0)</f>
      </c>
      <c r="AK825" s="111">
        <f>IF(AN825=12,I825,0)</f>
      </c>
      <c r="AL825" s="111">
        <f>IF(AN825=21,I825,0)</f>
      </c>
      <c r="AN825" s="111" t="n">
        <v>21</v>
      </c>
      <c r="AO825" s="111">
        <f>H825*0</f>
      </c>
      <c r="AP825" s="111">
        <f>H825*(1-0)</f>
      </c>
      <c r="AQ825" s="153" t="s">
        <v>130</v>
      </c>
      <c r="AV825" s="111">
        <f>AW825+AX825</f>
      </c>
      <c r="AW825" s="111">
        <f>G825*AO825</f>
      </c>
      <c r="AX825" s="111">
        <f>G825*AP825</f>
      </c>
      <c r="AY825" s="153" t="s">
        <v>1366</v>
      </c>
      <c r="AZ825" s="153" t="s">
        <v>1326</v>
      </c>
      <c r="BA825" s="132" t="s">
        <v>137</v>
      </c>
      <c r="BC825" s="111">
        <f>AW825+AX825</f>
      </c>
      <c r="BD825" s="111">
        <f>H825/(100-BE825)*100</f>
      </c>
      <c r="BE825" s="111" t="n">
        <v>0</v>
      </c>
      <c r="BF825" s="111">
        <f>825</f>
      </c>
      <c r="BH825" s="111">
        <f>G825*AO825</f>
      </c>
      <c r="BI825" s="111">
        <f>G825*AP825</f>
      </c>
      <c r="BJ825" s="111">
        <f>G825*H825</f>
      </c>
      <c r="BK825" s="111"/>
      <c r="BL825" s="111" t="n">
        <v>94</v>
      </c>
      <c r="BW825" s="111" t="n">
        <v>21</v>
      </c>
      <c r="BX825" s="14" t="s">
        <v>1420</v>
      </c>
    </row>
    <row r="826" customHeight="true" ht="13.5">
      <c r="A826" s="159"/>
      <c r="C826" s="160" t="s">
        <v>146</v>
      </c>
      <c r="D826" s="161" t="s">
        <v>1422</v>
      </c>
      <c r="E826" s="156"/>
      <c r="F826" s="156"/>
      <c r="G826" s="156"/>
      <c r="H826" s="156"/>
      <c r="I826" s="156"/>
      <c r="J826" s="156"/>
      <c r="K826" s="163"/>
    </row>
    <row r="827">
      <c r="A827" s="154"/>
      <c r="B827" s="155"/>
      <c r="C827" s="155"/>
      <c r="D827" s="156" t="s">
        <v>140</v>
      </c>
      <c r="E827" s="156" t="s">
        <v>1417</v>
      </c>
      <c r="F827" s="155"/>
      <c r="G827" s="157" t="n">
        <v>2</v>
      </c>
      <c r="H827" s="155"/>
      <c r="I827" s="155"/>
      <c r="J827" s="155"/>
      <c r="K827" s="146"/>
    </row>
    <row r="828">
      <c r="A828" s="9" t="s">
        <v>1423</v>
      </c>
      <c r="B828" s="10" t="s">
        <v>84</v>
      </c>
      <c r="C828" s="10" t="s">
        <v>1424</v>
      </c>
      <c r="D828" s="14" t="s">
        <v>1425</v>
      </c>
      <c r="E828" s="10"/>
      <c r="F828" s="10" t="s">
        <v>1421</v>
      </c>
      <c r="G828" s="111">
        <f>'Stavební rozpočet'!G828</f>
      </c>
      <c r="H828" s="111">
        <f>'Stavební rozpočet'!H828</f>
      </c>
      <c r="I828" s="111">
        <f>G828*H828</f>
      </c>
      <c r="J828" s="153" t="s">
        <v>134</v>
      </c>
      <c r="K828" s="146"/>
      <c r="Z828" s="111">
        <f>IF(AQ828="5",BJ828,0)</f>
      </c>
      <c r="AB828" s="111">
        <f>IF(AQ828="1",BH828,0)</f>
      </c>
      <c r="AC828" s="111">
        <f>IF(AQ828="1",BI828,0)</f>
      </c>
      <c r="AD828" s="111">
        <f>IF(AQ828="7",BH828,0)</f>
      </c>
      <c r="AE828" s="111">
        <f>IF(AQ828="7",BI828,0)</f>
      </c>
      <c r="AF828" s="111">
        <f>IF(AQ828="2",BH828,0)</f>
      </c>
      <c r="AG828" s="111">
        <f>IF(AQ828="2",BI828,0)</f>
      </c>
      <c r="AH828" s="111">
        <f>IF(AQ828="0",BJ828,0)</f>
      </c>
      <c r="AI828" s="132" t="s">
        <v>84</v>
      </c>
      <c r="AJ828" s="111">
        <f>IF(AN828=0,I828,0)</f>
      </c>
      <c r="AK828" s="111">
        <f>IF(AN828=12,I828,0)</f>
      </c>
      <c r="AL828" s="111">
        <f>IF(AN828=21,I828,0)</f>
      </c>
      <c r="AN828" s="111" t="n">
        <v>21</v>
      </c>
      <c r="AO828" s="111">
        <f>H828*0</f>
      </c>
      <c r="AP828" s="111">
        <f>H828*(1-0)</f>
      </c>
      <c r="AQ828" s="153" t="s">
        <v>130</v>
      </c>
      <c r="AV828" s="111">
        <f>AW828+AX828</f>
      </c>
      <c r="AW828" s="111">
        <f>G828*AO828</f>
      </c>
      <c r="AX828" s="111">
        <f>G828*AP828</f>
      </c>
      <c r="AY828" s="153" t="s">
        <v>1366</v>
      </c>
      <c r="AZ828" s="153" t="s">
        <v>1326</v>
      </c>
      <c r="BA828" s="132" t="s">
        <v>137</v>
      </c>
      <c r="BC828" s="111">
        <f>AW828+AX828</f>
      </c>
      <c r="BD828" s="111">
        <f>H828/(100-BE828)*100</f>
      </c>
      <c r="BE828" s="111" t="n">
        <v>0</v>
      </c>
      <c r="BF828" s="111">
        <f>828</f>
      </c>
      <c r="BH828" s="111">
        <f>G828*AO828</f>
      </c>
      <c r="BI828" s="111">
        <f>G828*AP828</f>
      </c>
      <c r="BJ828" s="111">
        <f>G828*H828</f>
      </c>
      <c r="BK828" s="111"/>
      <c r="BL828" s="111" t="n">
        <v>94</v>
      </c>
      <c r="BW828" s="111" t="n">
        <v>21</v>
      </c>
      <c r="BX828" s="14" t="s">
        <v>1425</v>
      </c>
    </row>
    <row r="829" customHeight="true" ht="13.5">
      <c r="A829" s="159"/>
      <c r="C829" s="160" t="s">
        <v>146</v>
      </c>
      <c r="D829" s="161" t="s">
        <v>1426</v>
      </c>
      <c r="E829" s="156"/>
      <c r="F829" s="156"/>
      <c r="G829" s="156"/>
      <c r="H829" s="156"/>
      <c r="I829" s="156"/>
      <c r="J829" s="156"/>
      <c r="K829" s="163"/>
    </row>
    <row r="830">
      <c r="A830" s="154"/>
      <c r="B830" s="155"/>
      <c r="C830" s="155"/>
      <c r="D830" s="156" t="s">
        <v>140</v>
      </c>
      <c r="E830" s="156" t="s">
        <v>1417</v>
      </c>
      <c r="F830" s="155"/>
      <c r="G830" s="157" t="n">
        <v>2</v>
      </c>
      <c r="H830" s="155"/>
      <c r="I830" s="155"/>
      <c r="J830" s="155"/>
      <c r="K830" s="146"/>
    </row>
    <row r="831">
      <c r="A831" s="9" t="s">
        <v>1427</v>
      </c>
      <c r="B831" s="10" t="s">
        <v>84</v>
      </c>
      <c r="C831" s="10" t="s">
        <v>1428</v>
      </c>
      <c r="D831" s="14" t="s">
        <v>1429</v>
      </c>
      <c r="E831" s="10"/>
      <c r="F831" s="10" t="s">
        <v>1430</v>
      </c>
      <c r="G831" s="111">
        <f>'Stavební rozpočet'!G831</f>
      </c>
      <c r="H831" s="111">
        <f>'Stavební rozpočet'!H831</f>
      </c>
      <c r="I831" s="111">
        <f>G831*H831</f>
      </c>
      <c r="J831" s="153" t="s">
        <v>134</v>
      </c>
      <c r="K831" s="146"/>
      <c r="Z831" s="111">
        <f>IF(AQ831="5",BJ831,0)</f>
      </c>
      <c r="AB831" s="111">
        <f>IF(AQ831="1",BH831,0)</f>
      </c>
      <c r="AC831" s="111">
        <f>IF(AQ831="1",BI831,0)</f>
      </c>
      <c r="AD831" s="111">
        <f>IF(AQ831="7",BH831,0)</f>
      </c>
      <c r="AE831" s="111">
        <f>IF(AQ831="7",BI831,0)</f>
      </c>
      <c r="AF831" s="111">
        <f>IF(AQ831="2",BH831,0)</f>
      </c>
      <c r="AG831" s="111">
        <f>IF(AQ831="2",BI831,0)</f>
      </c>
      <c r="AH831" s="111">
        <f>IF(AQ831="0",BJ831,0)</f>
      </c>
      <c r="AI831" s="132" t="s">
        <v>84</v>
      </c>
      <c r="AJ831" s="111">
        <f>IF(AN831=0,I831,0)</f>
      </c>
      <c r="AK831" s="111">
        <f>IF(AN831=12,I831,0)</f>
      </c>
      <c r="AL831" s="111">
        <f>IF(AN831=21,I831,0)</f>
      </c>
      <c r="AN831" s="111" t="n">
        <v>21</v>
      </c>
      <c r="AO831" s="111">
        <f>H831*0</f>
      </c>
      <c r="AP831" s="111">
        <f>H831*(1-0)</f>
      </c>
      <c r="AQ831" s="153" t="s">
        <v>130</v>
      </c>
      <c r="AV831" s="111">
        <f>AW831+AX831</f>
      </c>
      <c r="AW831" s="111">
        <f>G831*AO831</f>
      </c>
      <c r="AX831" s="111">
        <f>G831*AP831</f>
      </c>
      <c r="AY831" s="153" t="s">
        <v>1366</v>
      </c>
      <c r="AZ831" s="153" t="s">
        <v>1326</v>
      </c>
      <c r="BA831" s="132" t="s">
        <v>137</v>
      </c>
      <c r="BC831" s="111">
        <f>AW831+AX831</f>
      </c>
      <c r="BD831" s="111">
        <f>H831/(100-BE831)*100</f>
      </c>
      <c r="BE831" s="111" t="n">
        <v>0</v>
      </c>
      <c r="BF831" s="111">
        <f>831</f>
      </c>
      <c r="BH831" s="111">
        <f>G831*AO831</f>
      </c>
      <c r="BI831" s="111">
        <f>G831*AP831</f>
      </c>
      <c r="BJ831" s="111">
        <f>G831*H831</f>
      </c>
      <c r="BK831" s="111"/>
      <c r="BL831" s="111" t="n">
        <v>94</v>
      </c>
      <c r="BW831" s="111" t="n">
        <v>21</v>
      </c>
      <c r="BX831" s="14" t="s">
        <v>1429</v>
      </c>
    </row>
    <row r="832" customHeight="true" ht="13.5">
      <c r="A832" s="159"/>
      <c r="C832" s="160" t="s">
        <v>146</v>
      </c>
      <c r="D832" s="161" t="s">
        <v>1422</v>
      </c>
      <c r="E832" s="156"/>
      <c r="F832" s="156"/>
      <c r="G832" s="156"/>
      <c r="H832" s="156"/>
      <c r="I832" s="156"/>
      <c r="J832" s="156"/>
      <c r="K832" s="163"/>
    </row>
    <row r="833">
      <c r="A833" s="154"/>
      <c r="B833" s="155"/>
      <c r="C833" s="155"/>
      <c r="D833" s="156" t="s">
        <v>1431</v>
      </c>
      <c r="E833" s="156" t="s">
        <v>985</v>
      </c>
      <c r="F833" s="155"/>
      <c r="G833" s="157" t="n">
        <v>60</v>
      </c>
      <c r="H833" s="155"/>
      <c r="I833" s="155"/>
      <c r="J833" s="155"/>
      <c r="K833" s="146"/>
    </row>
    <row r="834">
      <c r="A834" s="147" t="s">
        <v>4</v>
      </c>
      <c r="B834" s="148" t="s">
        <v>84</v>
      </c>
      <c r="C834" s="148" t="s">
        <v>765</v>
      </c>
      <c r="D834" s="149" t="s">
        <v>1432</v>
      </c>
      <c r="E834" s="148"/>
      <c r="F834" s="150" t="s">
        <v>79</v>
      </c>
      <c r="G834" s="150" t="s">
        <v>79</v>
      </c>
      <c r="H834" s="150" t="s">
        <v>79</v>
      </c>
      <c r="I834" s="117">
        <f>SUM(I835:I854)</f>
      </c>
      <c r="J834" s="132" t="s">
        <v>4</v>
      </c>
      <c r="K834" s="146"/>
      <c r="AI834" s="132" t="s">
        <v>84</v>
      </c>
      <c r="AS834" s="117">
        <f>SUM(AJ835:AJ854)</f>
      </c>
      <c r="AT834" s="117">
        <f>SUM(AK835:AK854)</f>
      </c>
      <c r="AU834" s="117">
        <f>SUM(AL835:AL854)</f>
      </c>
    </row>
    <row r="835">
      <c r="A835" s="9" t="s">
        <v>1433</v>
      </c>
      <c r="B835" s="10" t="s">
        <v>84</v>
      </c>
      <c r="C835" s="10" t="s">
        <v>1434</v>
      </c>
      <c r="D835" s="14" t="s">
        <v>1435</v>
      </c>
      <c r="E835" s="10"/>
      <c r="F835" s="10" t="s">
        <v>133</v>
      </c>
      <c r="G835" s="111">
        <f>'Stavební rozpočet'!G835</f>
      </c>
      <c r="H835" s="111">
        <f>'Stavební rozpočet'!H835</f>
      </c>
      <c r="I835" s="111">
        <f>G835*H835</f>
      </c>
      <c r="J835" s="153" t="s">
        <v>134</v>
      </c>
      <c r="K835" s="146"/>
      <c r="Z835" s="111">
        <f>IF(AQ835="5",BJ835,0)</f>
      </c>
      <c r="AB835" s="111">
        <f>IF(AQ835="1",BH835,0)</f>
      </c>
      <c r="AC835" s="111">
        <f>IF(AQ835="1",BI835,0)</f>
      </c>
      <c r="AD835" s="111">
        <f>IF(AQ835="7",BH835,0)</f>
      </c>
      <c r="AE835" s="111">
        <f>IF(AQ835="7",BI835,0)</f>
      </c>
      <c r="AF835" s="111">
        <f>IF(AQ835="2",BH835,0)</f>
      </c>
      <c r="AG835" s="111">
        <f>IF(AQ835="2",BI835,0)</f>
      </c>
      <c r="AH835" s="111">
        <f>IF(AQ835="0",BJ835,0)</f>
      </c>
      <c r="AI835" s="132" t="s">
        <v>84</v>
      </c>
      <c r="AJ835" s="111">
        <f>IF(AN835=0,I835,0)</f>
      </c>
      <c r="AK835" s="111">
        <f>IF(AN835=12,I835,0)</f>
      </c>
      <c r="AL835" s="111">
        <f>IF(AN835=21,I835,0)</f>
      </c>
      <c r="AN835" s="111" t="n">
        <v>21</v>
      </c>
      <c r="AO835" s="111">
        <f>H835*0.168108108</f>
      </c>
      <c r="AP835" s="111">
        <f>H835*(1-0.168108108)</f>
      </c>
      <c r="AQ835" s="153" t="s">
        <v>130</v>
      </c>
      <c r="AV835" s="111">
        <f>AW835+AX835</f>
      </c>
      <c r="AW835" s="111">
        <f>G835*AO835</f>
      </c>
      <c r="AX835" s="111">
        <f>G835*AP835</f>
      </c>
      <c r="AY835" s="153" t="s">
        <v>1436</v>
      </c>
      <c r="AZ835" s="153" t="s">
        <v>1326</v>
      </c>
      <c r="BA835" s="132" t="s">
        <v>137</v>
      </c>
      <c r="BC835" s="111">
        <f>AW835+AX835</f>
      </c>
      <c r="BD835" s="111">
        <f>H835/(100-BE835)*100</f>
      </c>
      <c r="BE835" s="111" t="n">
        <v>0</v>
      </c>
      <c r="BF835" s="111">
        <f>835</f>
      </c>
      <c r="BH835" s="111">
        <f>G835*AO835</f>
      </c>
      <c r="BI835" s="111">
        <f>G835*AP835</f>
      </c>
      <c r="BJ835" s="111">
        <f>G835*H835</f>
      </c>
      <c r="BK835" s="111"/>
      <c r="BL835" s="111" t="n">
        <v>95</v>
      </c>
      <c r="BW835" s="111" t="n">
        <v>21</v>
      </c>
      <c r="BX835" s="14" t="s">
        <v>1435</v>
      </c>
    </row>
    <row r="836" customHeight="true" ht="13.5">
      <c r="A836" s="159"/>
      <c r="C836" s="160" t="s">
        <v>146</v>
      </c>
      <c r="D836" s="161" t="s">
        <v>1437</v>
      </c>
      <c r="E836" s="156"/>
      <c r="F836" s="156"/>
      <c r="G836" s="156"/>
      <c r="H836" s="156"/>
      <c r="I836" s="156"/>
      <c r="J836" s="156"/>
      <c r="K836" s="163"/>
    </row>
    <row r="837">
      <c r="A837" s="154"/>
      <c r="B837" s="155"/>
      <c r="C837" s="155"/>
      <c r="D837" s="156" t="s">
        <v>156</v>
      </c>
      <c r="E837" s="156" t="s">
        <v>1438</v>
      </c>
      <c r="F837" s="155"/>
      <c r="G837" s="157" t="n">
        <v>5</v>
      </c>
      <c r="H837" s="155"/>
      <c r="I837" s="155"/>
      <c r="J837" s="155"/>
      <c r="K837" s="146"/>
    </row>
    <row r="838">
      <c r="A838" s="9" t="s">
        <v>1439</v>
      </c>
      <c r="B838" s="10" t="s">
        <v>84</v>
      </c>
      <c r="C838" s="10" t="s">
        <v>1440</v>
      </c>
      <c r="D838" s="14" t="s">
        <v>1441</v>
      </c>
      <c r="E838" s="10"/>
      <c r="F838" s="10" t="s">
        <v>133</v>
      </c>
      <c r="G838" s="111">
        <f>'Stavební rozpočet'!G838</f>
      </c>
      <c r="H838" s="111">
        <f>'Stavební rozpočet'!H838</f>
      </c>
      <c r="I838" s="111">
        <f>G838*H838</f>
      </c>
      <c r="J838" s="153" t="s">
        <v>134</v>
      </c>
      <c r="K838" s="146"/>
      <c r="Z838" s="111">
        <f>IF(AQ838="5",BJ838,0)</f>
      </c>
      <c r="AB838" s="111">
        <f>IF(AQ838="1",BH838,0)</f>
      </c>
      <c r="AC838" s="111">
        <f>IF(AQ838="1",BI838,0)</f>
      </c>
      <c r="AD838" s="111">
        <f>IF(AQ838="7",BH838,0)</f>
      </c>
      <c r="AE838" s="111">
        <f>IF(AQ838="7",BI838,0)</f>
      </c>
      <c r="AF838" s="111">
        <f>IF(AQ838="2",BH838,0)</f>
      </c>
      <c r="AG838" s="111">
        <f>IF(AQ838="2",BI838,0)</f>
      </c>
      <c r="AH838" s="111">
        <f>IF(AQ838="0",BJ838,0)</f>
      </c>
      <c r="AI838" s="132" t="s">
        <v>84</v>
      </c>
      <c r="AJ838" s="111">
        <f>IF(AN838=0,I838,0)</f>
      </c>
      <c r="AK838" s="111">
        <f>IF(AN838=12,I838,0)</f>
      </c>
      <c r="AL838" s="111">
        <f>IF(AN838=21,I838,0)</f>
      </c>
      <c r="AN838" s="111" t="n">
        <v>21</v>
      </c>
      <c r="AO838" s="111">
        <f>H838*0</f>
      </c>
      <c r="AP838" s="111">
        <f>H838*(1-0)</f>
      </c>
      <c r="AQ838" s="153" t="s">
        <v>130</v>
      </c>
      <c r="AV838" s="111">
        <f>AW838+AX838</f>
      </c>
      <c r="AW838" s="111">
        <f>G838*AO838</f>
      </c>
      <c r="AX838" s="111">
        <f>G838*AP838</f>
      </c>
      <c r="AY838" s="153" t="s">
        <v>1436</v>
      </c>
      <c r="AZ838" s="153" t="s">
        <v>1326</v>
      </c>
      <c r="BA838" s="132" t="s">
        <v>137</v>
      </c>
      <c r="BC838" s="111">
        <f>AW838+AX838</f>
      </c>
      <c r="BD838" s="111">
        <f>H838/(100-BE838)*100</f>
      </c>
      <c r="BE838" s="111" t="n">
        <v>0</v>
      </c>
      <c r="BF838" s="111">
        <f>838</f>
      </c>
      <c r="BH838" s="111">
        <f>G838*AO838</f>
      </c>
      <c r="BI838" s="111">
        <f>G838*AP838</f>
      </c>
      <c r="BJ838" s="111">
        <f>G838*H838</f>
      </c>
      <c r="BK838" s="111"/>
      <c r="BL838" s="111" t="n">
        <v>95</v>
      </c>
      <c r="BW838" s="111" t="n">
        <v>21</v>
      </c>
      <c r="BX838" s="14" t="s">
        <v>1441</v>
      </c>
    </row>
    <row r="839">
      <c r="A839" s="154"/>
      <c r="B839" s="155"/>
      <c r="C839" s="155"/>
      <c r="D839" s="156" t="s">
        <v>156</v>
      </c>
      <c r="E839" s="156" t="s">
        <v>1438</v>
      </c>
      <c r="F839" s="155"/>
      <c r="G839" s="157" t="n">
        <v>5</v>
      </c>
      <c r="H839" s="155"/>
      <c r="I839" s="155"/>
      <c r="J839" s="155"/>
      <c r="K839" s="146"/>
    </row>
    <row r="840">
      <c r="A840" s="9" t="s">
        <v>1442</v>
      </c>
      <c r="B840" s="10" t="s">
        <v>84</v>
      </c>
      <c r="C840" s="10" t="s">
        <v>1443</v>
      </c>
      <c r="D840" s="14" t="s">
        <v>1444</v>
      </c>
      <c r="E840" s="10"/>
      <c r="F840" s="10" t="s">
        <v>133</v>
      </c>
      <c r="G840" s="111">
        <f>'Stavební rozpočet'!G840</f>
      </c>
      <c r="H840" s="111">
        <f>'Stavební rozpočet'!H840</f>
      </c>
      <c r="I840" s="111">
        <f>G840*H840</f>
      </c>
      <c r="J840" s="153" t="s">
        <v>134</v>
      </c>
      <c r="K840" s="146"/>
      <c r="Z840" s="111">
        <f>IF(AQ840="5",BJ840,0)</f>
      </c>
      <c r="AB840" s="111">
        <f>IF(AQ840="1",BH840,0)</f>
      </c>
      <c r="AC840" s="111">
        <f>IF(AQ840="1",BI840,0)</f>
      </c>
      <c r="AD840" s="111">
        <f>IF(AQ840="7",BH840,0)</f>
      </c>
      <c r="AE840" s="111">
        <f>IF(AQ840="7",BI840,0)</f>
      </c>
      <c r="AF840" s="111">
        <f>IF(AQ840="2",BH840,0)</f>
      </c>
      <c r="AG840" s="111">
        <f>IF(AQ840="2",BI840,0)</f>
      </c>
      <c r="AH840" s="111">
        <f>IF(AQ840="0",BJ840,0)</f>
      </c>
      <c r="AI840" s="132" t="s">
        <v>84</v>
      </c>
      <c r="AJ840" s="111">
        <f>IF(AN840=0,I840,0)</f>
      </c>
      <c r="AK840" s="111">
        <f>IF(AN840=12,I840,0)</f>
      </c>
      <c r="AL840" s="111">
        <f>IF(AN840=21,I840,0)</f>
      </c>
      <c r="AN840" s="111" t="n">
        <v>21</v>
      </c>
      <c r="AO840" s="111">
        <f>H840*1</f>
      </c>
      <c r="AP840" s="111">
        <f>H840*(1-1)</f>
      </c>
      <c r="AQ840" s="153" t="s">
        <v>130</v>
      </c>
      <c r="AV840" s="111">
        <f>AW840+AX840</f>
      </c>
      <c r="AW840" s="111">
        <f>G840*AO840</f>
      </c>
      <c r="AX840" s="111">
        <f>G840*AP840</f>
      </c>
      <c r="AY840" s="153" t="s">
        <v>1436</v>
      </c>
      <c r="AZ840" s="153" t="s">
        <v>1326</v>
      </c>
      <c r="BA840" s="132" t="s">
        <v>137</v>
      </c>
      <c r="BC840" s="111">
        <f>AW840+AX840</f>
      </c>
      <c r="BD840" s="111">
        <f>H840/(100-BE840)*100</f>
      </c>
      <c r="BE840" s="111" t="n">
        <v>0</v>
      </c>
      <c r="BF840" s="111">
        <f>840</f>
      </c>
      <c r="BH840" s="111">
        <f>G840*AO840</f>
      </c>
      <c r="BI840" s="111">
        <f>G840*AP840</f>
      </c>
      <c r="BJ840" s="111">
        <f>G840*H840</f>
      </c>
      <c r="BK840" s="111"/>
      <c r="BL840" s="111" t="n">
        <v>95</v>
      </c>
      <c r="BW840" s="111" t="n">
        <v>21</v>
      </c>
      <c r="BX840" s="14" t="s">
        <v>1444</v>
      </c>
    </row>
    <row r="841">
      <c r="A841" s="154"/>
      <c r="B841" s="155"/>
      <c r="C841" s="155"/>
      <c r="D841" s="156" t="s">
        <v>130</v>
      </c>
      <c r="E841" s="156" t="s">
        <v>1445</v>
      </c>
      <c r="F841" s="155"/>
      <c r="G841" s="157" t="n">
        <v>1</v>
      </c>
      <c r="H841" s="155"/>
      <c r="I841" s="155"/>
      <c r="J841" s="155"/>
      <c r="K841" s="146"/>
    </row>
    <row r="842">
      <c r="A842" s="9" t="s">
        <v>1446</v>
      </c>
      <c r="B842" s="10" t="s">
        <v>84</v>
      </c>
      <c r="C842" s="10" t="s">
        <v>1447</v>
      </c>
      <c r="D842" s="14" t="s">
        <v>1448</v>
      </c>
      <c r="E842" s="10"/>
      <c r="F842" s="10" t="s">
        <v>133</v>
      </c>
      <c r="G842" s="111">
        <f>'Stavební rozpočet'!G842</f>
      </c>
      <c r="H842" s="111">
        <f>'Stavební rozpočet'!H842</f>
      </c>
      <c r="I842" s="111">
        <f>G842*H842</f>
      </c>
      <c r="J842" s="153" t="s">
        <v>134</v>
      </c>
      <c r="K842" s="146"/>
      <c r="Z842" s="111">
        <f>IF(AQ842="5",BJ842,0)</f>
      </c>
      <c r="AB842" s="111">
        <f>IF(AQ842="1",BH842,0)</f>
      </c>
      <c r="AC842" s="111">
        <f>IF(AQ842="1",BI842,0)</f>
      </c>
      <c r="AD842" s="111">
        <f>IF(AQ842="7",BH842,0)</f>
      </c>
      <c r="AE842" s="111">
        <f>IF(AQ842="7",BI842,0)</f>
      </c>
      <c r="AF842" s="111">
        <f>IF(AQ842="2",BH842,0)</f>
      </c>
      <c r="AG842" s="111">
        <f>IF(AQ842="2",BI842,0)</f>
      </c>
      <c r="AH842" s="111">
        <f>IF(AQ842="0",BJ842,0)</f>
      </c>
      <c r="AI842" s="132" t="s">
        <v>84</v>
      </c>
      <c r="AJ842" s="111">
        <f>IF(AN842=0,I842,0)</f>
      </c>
      <c r="AK842" s="111">
        <f>IF(AN842=12,I842,0)</f>
      </c>
      <c r="AL842" s="111">
        <f>IF(AN842=21,I842,0)</f>
      </c>
      <c r="AN842" s="111" t="n">
        <v>21</v>
      </c>
      <c r="AO842" s="111">
        <f>H842*1</f>
      </c>
      <c r="AP842" s="111">
        <f>H842*(1-1)</f>
      </c>
      <c r="AQ842" s="153" t="s">
        <v>130</v>
      </c>
      <c r="AV842" s="111">
        <f>AW842+AX842</f>
      </c>
      <c r="AW842" s="111">
        <f>G842*AO842</f>
      </c>
      <c r="AX842" s="111">
        <f>G842*AP842</f>
      </c>
      <c r="AY842" s="153" t="s">
        <v>1436</v>
      </c>
      <c r="AZ842" s="153" t="s">
        <v>1326</v>
      </c>
      <c r="BA842" s="132" t="s">
        <v>137</v>
      </c>
      <c r="BC842" s="111">
        <f>AW842+AX842</f>
      </c>
      <c r="BD842" s="111">
        <f>H842/(100-BE842)*100</f>
      </c>
      <c r="BE842" s="111" t="n">
        <v>0</v>
      </c>
      <c r="BF842" s="111">
        <f>842</f>
      </c>
      <c r="BH842" s="111">
        <f>G842*AO842</f>
      </c>
      <c r="BI842" s="111">
        <f>G842*AP842</f>
      </c>
      <c r="BJ842" s="111">
        <f>G842*H842</f>
      </c>
      <c r="BK842" s="111"/>
      <c r="BL842" s="111" t="n">
        <v>95</v>
      </c>
      <c r="BW842" s="111" t="n">
        <v>21</v>
      </c>
      <c r="BX842" s="14" t="s">
        <v>1448</v>
      </c>
    </row>
    <row r="843">
      <c r="A843" s="154"/>
      <c r="B843" s="155"/>
      <c r="C843" s="155"/>
      <c r="D843" s="156" t="s">
        <v>156</v>
      </c>
      <c r="E843" s="156" t="s">
        <v>1449</v>
      </c>
      <c r="F843" s="155"/>
      <c r="G843" s="157" t="n">
        <v>5</v>
      </c>
      <c r="H843" s="155"/>
      <c r="I843" s="155"/>
      <c r="J843" s="155"/>
      <c r="K843" s="146"/>
    </row>
    <row r="844">
      <c r="A844" s="9" t="s">
        <v>1450</v>
      </c>
      <c r="B844" s="10" t="s">
        <v>84</v>
      </c>
      <c r="C844" s="10" t="s">
        <v>1451</v>
      </c>
      <c r="D844" s="14" t="s">
        <v>1452</v>
      </c>
      <c r="E844" s="10"/>
      <c r="F844" s="10" t="s">
        <v>145</v>
      </c>
      <c r="G844" s="111">
        <f>'Stavební rozpočet'!G844</f>
      </c>
      <c r="H844" s="111">
        <f>'Stavební rozpočet'!H844</f>
      </c>
      <c r="I844" s="111">
        <f>G844*H844</f>
      </c>
      <c r="J844" s="153" t="s">
        <v>134</v>
      </c>
      <c r="K844" s="146"/>
      <c r="Z844" s="111">
        <f>IF(AQ844="5",BJ844,0)</f>
      </c>
      <c r="AB844" s="111">
        <f>IF(AQ844="1",BH844,0)</f>
      </c>
      <c r="AC844" s="111">
        <f>IF(AQ844="1",BI844,0)</f>
      </c>
      <c r="AD844" s="111">
        <f>IF(AQ844="7",BH844,0)</f>
      </c>
      <c r="AE844" s="111">
        <f>IF(AQ844="7",BI844,0)</f>
      </c>
      <c r="AF844" s="111">
        <f>IF(AQ844="2",BH844,0)</f>
      </c>
      <c r="AG844" s="111">
        <f>IF(AQ844="2",BI844,0)</f>
      </c>
      <c r="AH844" s="111">
        <f>IF(AQ844="0",BJ844,0)</f>
      </c>
      <c r="AI844" s="132" t="s">
        <v>84</v>
      </c>
      <c r="AJ844" s="111">
        <f>IF(AN844=0,I844,0)</f>
      </c>
      <c r="AK844" s="111">
        <f>IF(AN844=12,I844,0)</f>
      </c>
      <c r="AL844" s="111">
        <f>IF(AN844=21,I844,0)</f>
      </c>
      <c r="AN844" s="111" t="n">
        <v>21</v>
      </c>
      <c r="AO844" s="111">
        <f>H844*0</f>
      </c>
      <c r="AP844" s="111">
        <f>H844*(1-0)</f>
      </c>
      <c r="AQ844" s="153" t="s">
        <v>130</v>
      </c>
      <c r="AV844" s="111">
        <f>AW844+AX844</f>
      </c>
      <c r="AW844" s="111">
        <f>G844*AO844</f>
      </c>
      <c r="AX844" s="111">
        <f>G844*AP844</f>
      </c>
      <c r="AY844" s="153" t="s">
        <v>1436</v>
      </c>
      <c r="AZ844" s="153" t="s">
        <v>1326</v>
      </c>
      <c r="BA844" s="132" t="s">
        <v>137</v>
      </c>
      <c r="BC844" s="111">
        <f>AW844+AX844</f>
      </c>
      <c r="BD844" s="111">
        <f>H844/(100-BE844)*100</f>
      </c>
      <c r="BE844" s="111" t="n">
        <v>0</v>
      </c>
      <c r="BF844" s="111">
        <f>844</f>
      </c>
      <c r="BH844" s="111">
        <f>G844*AO844</f>
      </c>
      <c r="BI844" s="111">
        <f>G844*AP844</f>
      </c>
      <c r="BJ844" s="111">
        <f>G844*H844</f>
      </c>
      <c r="BK844" s="111"/>
      <c r="BL844" s="111" t="n">
        <v>95</v>
      </c>
      <c r="BW844" s="111" t="n">
        <v>21</v>
      </c>
      <c r="BX844" s="14" t="s">
        <v>1452</v>
      </c>
    </row>
    <row r="845" customHeight="true" ht="13.5">
      <c r="A845" s="159"/>
      <c r="C845" s="160" t="s">
        <v>146</v>
      </c>
      <c r="D845" s="161" t="s">
        <v>1453</v>
      </c>
      <c r="E845" s="156"/>
      <c r="F845" s="156"/>
      <c r="G845" s="156"/>
      <c r="H845" s="156"/>
      <c r="I845" s="156"/>
      <c r="J845" s="156"/>
      <c r="K845" s="163"/>
    </row>
    <row r="846">
      <c r="A846" s="154"/>
      <c r="B846" s="155"/>
      <c r="C846" s="155"/>
      <c r="D846" s="156" t="s">
        <v>1454</v>
      </c>
      <c r="E846" s="156" t="s">
        <v>434</v>
      </c>
      <c r="F846" s="155"/>
      <c r="G846" s="157" t="n">
        <v>400</v>
      </c>
      <c r="H846" s="155"/>
      <c r="I846" s="155"/>
      <c r="J846" s="155"/>
      <c r="K846" s="146"/>
    </row>
    <row r="847">
      <c r="A847" s="9" t="s">
        <v>1455</v>
      </c>
      <c r="B847" s="10" t="s">
        <v>84</v>
      </c>
      <c r="C847" s="10" t="s">
        <v>1456</v>
      </c>
      <c r="D847" s="14" t="s">
        <v>1457</v>
      </c>
      <c r="E847" s="10"/>
      <c r="F847" s="10" t="s">
        <v>145</v>
      </c>
      <c r="G847" s="111">
        <f>'Stavební rozpočet'!G847</f>
      </c>
      <c r="H847" s="111">
        <f>'Stavební rozpočet'!H847</f>
      </c>
      <c r="I847" s="111">
        <f>G847*H847</f>
      </c>
      <c r="J847" s="153" t="s">
        <v>134</v>
      </c>
      <c r="K847" s="146"/>
      <c r="Z847" s="111">
        <f>IF(AQ847="5",BJ847,0)</f>
      </c>
      <c r="AB847" s="111">
        <f>IF(AQ847="1",BH847,0)</f>
      </c>
      <c r="AC847" s="111">
        <f>IF(AQ847="1",BI847,0)</f>
      </c>
      <c r="AD847" s="111">
        <f>IF(AQ847="7",BH847,0)</f>
      </c>
      <c r="AE847" s="111">
        <f>IF(AQ847="7",BI847,0)</f>
      </c>
      <c r="AF847" s="111">
        <f>IF(AQ847="2",BH847,0)</f>
      </c>
      <c r="AG847" s="111">
        <f>IF(AQ847="2",BI847,0)</f>
      </c>
      <c r="AH847" s="111">
        <f>IF(AQ847="0",BJ847,0)</f>
      </c>
      <c r="AI847" s="132" t="s">
        <v>84</v>
      </c>
      <c r="AJ847" s="111">
        <f>IF(AN847=0,I847,0)</f>
      </c>
      <c r="AK847" s="111">
        <f>IF(AN847=12,I847,0)</f>
      </c>
      <c r="AL847" s="111">
        <f>IF(AN847=21,I847,0)</f>
      </c>
      <c r="AN847" s="111" t="n">
        <v>21</v>
      </c>
      <c r="AO847" s="111">
        <f>H847*0.013885892</f>
      </c>
      <c r="AP847" s="111">
        <f>H847*(1-0.013885892)</f>
      </c>
      <c r="AQ847" s="153" t="s">
        <v>130</v>
      </c>
      <c r="AV847" s="111">
        <f>AW847+AX847</f>
      </c>
      <c r="AW847" s="111">
        <f>G847*AO847</f>
      </c>
      <c r="AX847" s="111">
        <f>G847*AP847</f>
      </c>
      <c r="AY847" s="153" t="s">
        <v>1436</v>
      </c>
      <c r="AZ847" s="153" t="s">
        <v>1326</v>
      </c>
      <c r="BA847" s="132" t="s">
        <v>137</v>
      </c>
      <c r="BC847" s="111">
        <f>AW847+AX847</f>
      </c>
      <c r="BD847" s="111">
        <f>H847/(100-BE847)*100</f>
      </c>
      <c r="BE847" s="111" t="n">
        <v>0</v>
      </c>
      <c r="BF847" s="111">
        <f>847</f>
      </c>
      <c r="BH847" s="111">
        <f>G847*AO847</f>
      </c>
      <c r="BI847" s="111">
        <f>G847*AP847</f>
      </c>
      <c r="BJ847" s="111">
        <f>G847*H847</f>
      </c>
      <c r="BK847" s="111"/>
      <c r="BL847" s="111" t="n">
        <v>95</v>
      </c>
      <c r="BW847" s="111" t="n">
        <v>21</v>
      </c>
      <c r="BX847" s="14" t="s">
        <v>1457</v>
      </c>
    </row>
    <row r="848">
      <c r="A848" s="154"/>
      <c r="B848" s="155"/>
      <c r="C848" s="155"/>
      <c r="D848" s="156" t="s">
        <v>1382</v>
      </c>
      <c r="E848" s="156" t="s">
        <v>421</v>
      </c>
      <c r="F848" s="155"/>
      <c r="G848" s="157" t="n">
        <v>181</v>
      </c>
      <c r="H848" s="155"/>
      <c r="I848" s="155"/>
      <c r="J848" s="155"/>
      <c r="K848" s="146"/>
    </row>
    <row r="849">
      <c r="A849" s="154"/>
      <c r="B849" s="155"/>
      <c r="C849" s="155"/>
      <c r="D849" s="156" t="s">
        <v>1383</v>
      </c>
      <c r="E849" s="156" t="s">
        <v>4</v>
      </c>
      <c r="F849" s="155"/>
      <c r="G849" s="157" t="n">
        <v>52</v>
      </c>
      <c r="H849" s="155"/>
      <c r="I849" s="155"/>
      <c r="J849" s="155"/>
      <c r="K849" s="146"/>
    </row>
    <row r="850">
      <c r="A850" s="154"/>
      <c r="B850" s="155"/>
      <c r="C850" s="155"/>
      <c r="D850" s="156" t="s">
        <v>1384</v>
      </c>
      <c r="E850" s="156" t="s">
        <v>4</v>
      </c>
      <c r="F850" s="155"/>
      <c r="G850" s="157" t="n">
        <v>50.1</v>
      </c>
      <c r="H850" s="155"/>
      <c r="I850" s="155"/>
      <c r="J850" s="155"/>
      <c r="K850" s="146"/>
    </row>
    <row r="851">
      <c r="A851" s="154"/>
      <c r="B851" s="155"/>
      <c r="C851" s="155"/>
      <c r="D851" s="156" t="s">
        <v>1385</v>
      </c>
      <c r="E851" s="156" t="s">
        <v>425</v>
      </c>
      <c r="F851" s="155"/>
      <c r="G851" s="157" t="n">
        <v>96.7</v>
      </c>
      <c r="H851" s="155"/>
      <c r="I851" s="155"/>
      <c r="J851" s="155"/>
      <c r="K851" s="146"/>
    </row>
    <row r="852">
      <c r="A852" s="9" t="s">
        <v>1458</v>
      </c>
      <c r="B852" s="10" t="s">
        <v>84</v>
      </c>
      <c r="C852" s="10" t="s">
        <v>1459</v>
      </c>
      <c r="D852" s="14" t="s">
        <v>1460</v>
      </c>
      <c r="E852" s="10"/>
      <c r="F852" s="10" t="s">
        <v>145</v>
      </c>
      <c r="G852" s="111">
        <f>'Stavební rozpočet'!G852</f>
      </c>
      <c r="H852" s="111">
        <f>'Stavební rozpočet'!H852</f>
      </c>
      <c r="I852" s="111">
        <f>G852*H852</f>
      </c>
      <c r="J852" s="153" t="s">
        <v>134</v>
      </c>
      <c r="K852" s="146"/>
      <c r="Z852" s="111">
        <f>IF(AQ852="5",BJ852,0)</f>
      </c>
      <c r="AB852" s="111">
        <f>IF(AQ852="1",BH852,0)</f>
      </c>
      <c r="AC852" s="111">
        <f>IF(AQ852="1",BI852,0)</f>
      </c>
      <c r="AD852" s="111">
        <f>IF(AQ852="7",BH852,0)</f>
      </c>
      <c r="AE852" s="111">
        <f>IF(AQ852="7",BI852,0)</f>
      </c>
      <c r="AF852" s="111">
        <f>IF(AQ852="2",BH852,0)</f>
      </c>
      <c r="AG852" s="111">
        <f>IF(AQ852="2",BI852,0)</f>
      </c>
      <c r="AH852" s="111">
        <f>IF(AQ852="0",BJ852,0)</f>
      </c>
      <c r="AI852" s="132" t="s">
        <v>84</v>
      </c>
      <c r="AJ852" s="111">
        <f>IF(AN852=0,I852,0)</f>
      </c>
      <c r="AK852" s="111">
        <f>IF(AN852=12,I852,0)</f>
      </c>
      <c r="AL852" s="111">
        <f>IF(AN852=21,I852,0)</f>
      </c>
      <c r="AN852" s="111" t="n">
        <v>21</v>
      </c>
      <c r="AO852" s="111">
        <f>H852*0.012100313</f>
      </c>
      <c r="AP852" s="111">
        <f>H852*(1-0.012100313)</f>
      </c>
      <c r="AQ852" s="153" t="s">
        <v>130</v>
      </c>
      <c r="AV852" s="111">
        <f>AW852+AX852</f>
      </c>
      <c r="AW852" s="111">
        <f>G852*AO852</f>
      </c>
      <c r="AX852" s="111">
        <f>G852*AP852</f>
      </c>
      <c r="AY852" s="153" t="s">
        <v>1436</v>
      </c>
      <c r="AZ852" s="153" t="s">
        <v>1326</v>
      </c>
      <c r="BA852" s="132" t="s">
        <v>137</v>
      </c>
      <c r="BC852" s="111">
        <f>AW852+AX852</f>
      </c>
      <c r="BD852" s="111">
        <f>H852/(100-BE852)*100</f>
      </c>
      <c r="BE852" s="111" t="n">
        <v>0</v>
      </c>
      <c r="BF852" s="111">
        <f>852</f>
      </c>
      <c r="BH852" s="111">
        <f>G852*AO852</f>
      </c>
      <c r="BI852" s="111">
        <f>G852*AP852</f>
      </c>
      <c r="BJ852" s="111">
        <f>G852*H852</f>
      </c>
      <c r="BK852" s="111"/>
      <c r="BL852" s="111" t="n">
        <v>95</v>
      </c>
      <c r="BW852" s="111" t="n">
        <v>21</v>
      </c>
      <c r="BX852" s="14" t="s">
        <v>1460</v>
      </c>
    </row>
    <row r="853">
      <c r="A853" s="154"/>
      <c r="B853" s="155"/>
      <c r="C853" s="155"/>
      <c r="D853" s="156" t="s">
        <v>1461</v>
      </c>
      <c r="E853" s="156" t="s">
        <v>985</v>
      </c>
      <c r="F853" s="155"/>
      <c r="G853" s="157" t="n">
        <v>220</v>
      </c>
      <c r="H853" s="155"/>
      <c r="I853" s="155"/>
      <c r="J853" s="155"/>
      <c r="K853" s="146"/>
    </row>
    <row r="854">
      <c r="A854" s="9" t="s">
        <v>1462</v>
      </c>
      <c r="B854" s="10" t="s">
        <v>84</v>
      </c>
      <c r="C854" s="10" t="s">
        <v>1463</v>
      </c>
      <c r="D854" s="14" t="s">
        <v>1464</v>
      </c>
      <c r="E854" s="10"/>
      <c r="F854" s="10" t="s">
        <v>229</v>
      </c>
      <c r="G854" s="111">
        <f>'Stavební rozpočet'!G854</f>
      </c>
      <c r="H854" s="111">
        <f>'Stavební rozpočet'!H854</f>
      </c>
      <c r="I854" s="111">
        <f>G854*H854</f>
      </c>
      <c r="J854" s="153" t="s">
        <v>134</v>
      </c>
      <c r="K854" s="146"/>
      <c r="Z854" s="111">
        <f>IF(AQ854="5",BJ854,0)</f>
      </c>
      <c r="AB854" s="111">
        <f>IF(AQ854="1",BH854,0)</f>
      </c>
      <c r="AC854" s="111">
        <f>IF(AQ854="1",BI854,0)</f>
      </c>
      <c r="AD854" s="111">
        <f>IF(AQ854="7",BH854,0)</f>
      </c>
      <c r="AE854" s="111">
        <f>IF(AQ854="7",BI854,0)</f>
      </c>
      <c r="AF854" s="111">
        <f>IF(AQ854="2",BH854,0)</f>
      </c>
      <c r="AG854" s="111">
        <f>IF(AQ854="2",BI854,0)</f>
      </c>
      <c r="AH854" s="111">
        <f>IF(AQ854="0",BJ854,0)</f>
      </c>
      <c r="AI854" s="132" t="s">
        <v>84</v>
      </c>
      <c r="AJ854" s="111">
        <f>IF(AN854=0,I854,0)</f>
      </c>
      <c r="AK854" s="111">
        <f>IF(AN854=12,I854,0)</f>
      </c>
      <c r="AL854" s="111">
        <f>IF(AN854=21,I854,0)</f>
      </c>
      <c r="AN854" s="111" t="n">
        <v>21</v>
      </c>
      <c r="AO854" s="111">
        <f>H854*0</f>
      </c>
      <c r="AP854" s="111">
        <f>H854*(1-0)</f>
      </c>
      <c r="AQ854" s="153" t="s">
        <v>156</v>
      </c>
      <c r="AV854" s="111">
        <f>AW854+AX854</f>
      </c>
      <c r="AW854" s="111">
        <f>G854*AO854</f>
      </c>
      <c r="AX854" s="111">
        <f>G854*AP854</f>
      </c>
      <c r="AY854" s="153" t="s">
        <v>1436</v>
      </c>
      <c r="AZ854" s="153" t="s">
        <v>1326</v>
      </c>
      <c r="BA854" s="132" t="s">
        <v>137</v>
      </c>
      <c r="BC854" s="111">
        <f>AW854+AX854</f>
      </c>
      <c r="BD854" s="111">
        <f>H854/(100-BE854)*100</f>
      </c>
      <c r="BE854" s="111" t="n">
        <v>0</v>
      </c>
      <c r="BF854" s="111">
        <f>854</f>
      </c>
      <c r="BH854" s="111">
        <f>G854*AO854</f>
      </c>
      <c r="BI854" s="111">
        <f>G854*AP854</f>
      </c>
      <c r="BJ854" s="111">
        <f>G854*H854</f>
      </c>
      <c r="BK854" s="111"/>
      <c r="BL854" s="111" t="n">
        <v>95</v>
      </c>
      <c r="BW854" s="111" t="n">
        <v>21</v>
      </c>
      <c r="BX854" s="14" t="s">
        <v>1464</v>
      </c>
    </row>
    <row r="855">
      <c r="A855" s="147" t="s">
        <v>4</v>
      </c>
      <c r="B855" s="148" t="s">
        <v>84</v>
      </c>
      <c r="C855" s="148" t="s">
        <v>768</v>
      </c>
      <c r="D855" s="149" t="s">
        <v>1465</v>
      </c>
      <c r="E855" s="148"/>
      <c r="F855" s="150" t="s">
        <v>79</v>
      </c>
      <c r="G855" s="150" t="s">
        <v>79</v>
      </c>
      <c r="H855" s="150" t="s">
        <v>79</v>
      </c>
      <c r="I855" s="117">
        <f>SUM(I856:I882)</f>
      </c>
      <c r="J855" s="132" t="s">
        <v>4</v>
      </c>
      <c r="K855" s="146"/>
      <c r="AI855" s="132" t="s">
        <v>84</v>
      </c>
      <c r="AS855" s="117">
        <f>SUM(AJ856:AJ882)</f>
      </c>
      <c r="AT855" s="117">
        <f>SUM(AK856:AK882)</f>
      </c>
      <c r="AU855" s="117">
        <f>SUM(AL856:AL882)</f>
      </c>
    </row>
    <row r="856">
      <c r="A856" s="9" t="s">
        <v>1466</v>
      </c>
      <c r="B856" s="10" t="s">
        <v>84</v>
      </c>
      <c r="C856" s="10" t="s">
        <v>1467</v>
      </c>
      <c r="D856" s="14" t="s">
        <v>1468</v>
      </c>
      <c r="E856" s="10"/>
      <c r="F856" s="10" t="s">
        <v>282</v>
      </c>
      <c r="G856" s="111">
        <f>'Stavební rozpočet'!G856</f>
      </c>
      <c r="H856" s="111">
        <f>'Stavební rozpočet'!H856</f>
      </c>
      <c r="I856" s="111">
        <f>G856*H856</f>
      </c>
      <c r="J856" s="153" t="s">
        <v>134</v>
      </c>
      <c r="K856" s="146"/>
      <c r="Z856" s="111">
        <f>IF(AQ856="5",BJ856,0)</f>
      </c>
      <c r="AB856" s="111">
        <f>IF(AQ856="1",BH856,0)</f>
      </c>
      <c r="AC856" s="111">
        <f>IF(AQ856="1",BI856,0)</f>
      </c>
      <c r="AD856" s="111">
        <f>IF(AQ856="7",BH856,0)</f>
      </c>
      <c r="AE856" s="111">
        <f>IF(AQ856="7",BI856,0)</f>
      </c>
      <c r="AF856" s="111">
        <f>IF(AQ856="2",BH856,0)</f>
      </c>
      <c r="AG856" s="111">
        <f>IF(AQ856="2",BI856,0)</f>
      </c>
      <c r="AH856" s="111">
        <f>IF(AQ856="0",BJ856,0)</f>
      </c>
      <c r="AI856" s="132" t="s">
        <v>84</v>
      </c>
      <c r="AJ856" s="111">
        <f>IF(AN856=0,I856,0)</f>
      </c>
      <c r="AK856" s="111">
        <f>IF(AN856=12,I856,0)</f>
      </c>
      <c r="AL856" s="111">
        <f>IF(AN856=21,I856,0)</f>
      </c>
      <c r="AN856" s="111" t="n">
        <v>21</v>
      </c>
      <c r="AO856" s="111">
        <f>H856*0</f>
      </c>
      <c r="AP856" s="111">
        <f>H856*(1-0)</f>
      </c>
      <c r="AQ856" s="153" t="s">
        <v>130</v>
      </c>
      <c r="AV856" s="111">
        <f>AW856+AX856</f>
      </c>
      <c r="AW856" s="111">
        <f>G856*AO856</f>
      </c>
      <c r="AX856" s="111">
        <f>G856*AP856</f>
      </c>
      <c r="AY856" s="153" t="s">
        <v>1469</v>
      </c>
      <c r="AZ856" s="153" t="s">
        <v>1326</v>
      </c>
      <c r="BA856" s="132" t="s">
        <v>137</v>
      </c>
      <c r="BC856" s="111">
        <f>AW856+AX856</f>
      </c>
      <c r="BD856" s="111">
        <f>H856/(100-BE856)*100</f>
      </c>
      <c r="BE856" s="111" t="n">
        <v>0</v>
      </c>
      <c r="BF856" s="111">
        <f>856</f>
      </c>
      <c r="BH856" s="111">
        <f>G856*AO856</f>
      </c>
      <c r="BI856" s="111">
        <f>G856*AP856</f>
      </c>
      <c r="BJ856" s="111">
        <f>G856*H856</f>
      </c>
      <c r="BK856" s="111"/>
      <c r="BL856" s="111" t="n">
        <v>96</v>
      </c>
      <c r="BW856" s="111" t="n">
        <v>21</v>
      </c>
      <c r="BX856" s="14" t="s">
        <v>1468</v>
      </c>
    </row>
    <row r="857">
      <c r="A857" s="154"/>
      <c r="B857" s="155"/>
      <c r="C857" s="155"/>
      <c r="D857" s="156" t="s">
        <v>1470</v>
      </c>
      <c r="E857" s="156" t="s">
        <v>1471</v>
      </c>
      <c r="F857" s="155"/>
      <c r="G857" s="157" t="n">
        <v>24.9</v>
      </c>
      <c r="H857" s="155"/>
      <c r="I857" s="155"/>
      <c r="J857" s="155"/>
      <c r="K857" s="146"/>
    </row>
    <row r="858">
      <c r="A858" s="9" t="s">
        <v>1472</v>
      </c>
      <c r="B858" s="10" t="s">
        <v>84</v>
      </c>
      <c r="C858" s="10" t="s">
        <v>1473</v>
      </c>
      <c r="D858" s="14" t="s">
        <v>1474</v>
      </c>
      <c r="E858" s="10"/>
      <c r="F858" s="10" t="s">
        <v>159</v>
      </c>
      <c r="G858" s="111">
        <f>'Stavební rozpočet'!G858</f>
      </c>
      <c r="H858" s="111">
        <f>'Stavební rozpočet'!H858</f>
      </c>
      <c r="I858" s="111">
        <f>G858*H858</f>
      </c>
      <c r="J858" s="153" t="s">
        <v>134</v>
      </c>
      <c r="K858" s="146"/>
      <c r="Z858" s="111">
        <f>IF(AQ858="5",BJ858,0)</f>
      </c>
      <c r="AB858" s="111">
        <f>IF(AQ858="1",BH858,0)</f>
      </c>
      <c r="AC858" s="111">
        <f>IF(AQ858="1",BI858,0)</f>
      </c>
      <c r="AD858" s="111">
        <f>IF(AQ858="7",BH858,0)</f>
      </c>
      <c r="AE858" s="111">
        <f>IF(AQ858="7",BI858,0)</f>
      </c>
      <c r="AF858" s="111">
        <f>IF(AQ858="2",BH858,0)</f>
      </c>
      <c r="AG858" s="111">
        <f>IF(AQ858="2",BI858,0)</f>
      </c>
      <c r="AH858" s="111">
        <f>IF(AQ858="0",BJ858,0)</f>
      </c>
      <c r="AI858" s="132" t="s">
        <v>84</v>
      </c>
      <c r="AJ858" s="111">
        <f>IF(AN858=0,I858,0)</f>
      </c>
      <c r="AK858" s="111">
        <f>IF(AN858=12,I858,0)</f>
      </c>
      <c r="AL858" s="111">
        <f>IF(AN858=21,I858,0)</f>
      </c>
      <c r="AN858" s="111" t="n">
        <v>21</v>
      </c>
      <c r="AO858" s="111">
        <f>H858*0.069774053</f>
      </c>
      <c r="AP858" s="111">
        <f>H858*(1-0.069774053)</f>
      </c>
      <c r="AQ858" s="153" t="s">
        <v>130</v>
      </c>
      <c r="AV858" s="111">
        <f>AW858+AX858</f>
      </c>
      <c r="AW858" s="111">
        <f>G858*AO858</f>
      </c>
      <c r="AX858" s="111">
        <f>G858*AP858</f>
      </c>
      <c r="AY858" s="153" t="s">
        <v>1469</v>
      </c>
      <c r="AZ858" s="153" t="s">
        <v>1326</v>
      </c>
      <c r="BA858" s="132" t="s">
        <v>137</v>
      </c>
      <c r="BC858" s="111">
        <f>AW858+AX858</f>
      </c>
      <c r="BD858" s="111">
        <f>H858/(100-BE858)*100</f>
      </c>
      <c r="BE858" s="111" t="n">
        <v>0</v>
      </c>
      <c r="BF858" s="111">
        <f>858</f>
      </c>
      <c r="BH858" s="111">
        <f>G858*AO858</f>
      </c>
      <c r="BI858" s="111">
        <f>G858*AP858</f>
      </c>
      <c r="BJ858" s="111">
        <f>G858*H858</f>
      </c>
      <c r="BK858" s="111"/>
      <c r="BL858" s="111" t="n">
        <v>96</v>
      </c>
      <c r="BW858" s="111" t="n">
        <v>21</v>
      </c>
      <c r="BX858" s="14" t="s">
        <v>1474</v>
      </c>
    </row>
    <row r="859" customHeight="true" ht="13.5">
      <c r="A859" s="159"/>
      <c r="C859" s="160" t="s">
        <v>146</v>
      </c>
      <c r="D859" s="161" t="s">
        <v>1475</v>
      </c>
      <c r="E859" s="156"/>
      <c r="F859" s="156"/>
      <c r="G859" s="156"/>
      <c r="H859" s="156"/>
      <c r="I859" s="156"/>
      <c r="J859" s="156"/>
      <c r="K859" s="163"/>
    </row>
    <row r="860">
      <c r="A860" s="154"/>
      <c r="B860" s="155"/>
      <c r="C860" s="155"/>
      <c r="D860" s="156" t="s">
        <v>1476</v>
      </c>
      <c r="E860" s="156" t="s">
        <v>1477</v>
      </c>
      <c r="F860" s="155"/>
      <c r="G860" s="157" t="n">
        <v>0.96</v>
      </c>
      <c r="H860" s="155"/>
      <c r="I860" s="155"/>
      <c r="J860" s="155"/>
      <c r="K860" s="146"/>
    </row>
    <row r="861">
      <c r="A861" s="9" t="s">
        <v>1478</v>
      </c>
      <c r="B861" s="10" t="s">
        <v>84</v>
      </c>
      <c r="C861" s="10" t="s">
        <v>1479</v>
      </c>
      <c r="D861" s="14" t="s">
        <v>1480</v>
      </c>
      <c r="E861" s="10"/>
      <c r="F861" s="10" t="s">
        <v>159</v>
      </c>
      <c r="G861" s="111">
        <f>'Stavební rozpočet'!G861</f>
      </c>
      <c r="H861" s="111">
        <f>'Stavební rozpočet'!H861</f>
      </c>
      <c r="I861" s="111">
        <f>G861*H861</f>
      </c>
      <c r="J861" s="153" t="s">
        <v>134</v>
      </c>
      <c r="K861" s="146"/>
      <c r="Z861" s="111">
        <f>IF(AQ861="5",BJ861,0)</f>
      </c>
      <c r="AB861" s="111">
        <f>IF(AQ861="1",BH861,0)</f>
      </c>
      <c r="AC861" s="111">
        <f>IF(AQ861="1",BI861,0)</f>
      </c>
      <c r="AD861" s="111">
        <f>IF(AQ861="7",BH861,0)</f>
      </c>
      <c r="AE861" s="111">
        <f>IF(AQ861="7",BI861,0)</f>
      </c>
      <c r="AF861" s="111">
        <f>IF(AQ861="2",BH861,0)</f>
      </c>
      <c r="AG861" s="111">
        <f>IF(AQ861="2",BI861,0)</f>
      </c>
      <c r="AH861" s="111">
        <f>IF(AQ861="0",BJ861,0)</f>
      </c>
      <c r="AI861" s="132" t="s">
        <v>84</v>
      </c>
      <c r="AJ861" s="111">
        <f>IF(AN861=0,I861,0)</f>
      </c>
      <c r="AK861" s="111">
        <f>IF(AN861=12,I861,0)</f>
      </c>
      <c r="AL861" s="111">
        <f>IF(AN861=21,I861,0)</f>
      </c>
      <c r="AN861" s="111" t="n">
        <v>21</v>
      </c>
      <c r="AO861" s="111">
        <f>H861*0</f>
      </c>
      <c r="AP861" s="111">
        <f>H861*(1-0)</f>
      </c>
      <c r="AQ861" s="153" t="s">
        <v>130</v>
      </c>
      <c r="AV861" s="111">
        <f>AW861+AX861</f>
      </c>
      <c r="AW861" s="111">
        <f>G861*AO861</f>
      </c>
      <c r="AX861" s="111">
        <f>G861*AP861</f>
      </c>
      <c r="AY861" s="153" t="s">
        <v>1469</v>
      </c>
      <c r="AZ861" s="153" t="s">
        <v>1326</v>
      </c>
      <c r="BA861" s="132" t="s">
        <v>137</v>
      </c>
      <c r="BC861" s="111">
        <f>AW861+AX861</f>
      </c>
      <c r="BD861" s="111">
        <f>H861/(100-BE861)*100</f>
      </c>
      <c r="BE861" s="111" t="n">
        <v>0</v>
      </c>
      <c r="BF861" s="111">
        <f>861</f>
      </c>
      <c r="BH861" s="111">
        <f>G861*AO861</f>
      </c>
      <c r="BI861" s="111">
        <f>G861*AP861</f>
      </c>
      <c r="BJ861" s="111">
        <f>G861*H861</f>
      </c>
      <c r="BK861" s="111"/>
      <c r="BL861" s="111" t="n">
        <v>96</v>
      </c>
      <c r="BW861" s="111" t="n">
        <v>21</v>
      </c>
      <c r="BX861" s="14" t="s">
        <v>1480</v>
      </c>
    </row>
    <row r="862" customHeight="true" ht="13.5">
      <c r="A862" s="159"/>
      <c r="C862" s="160" t="s">
        <v>146</v>
      </c>
      <c r="D862" s="161" t="s">
        <v>1481</v>
      </c>
      <c r="E862" s="156"/>
      <c r="F862" s="156"/>
      <c r="G862" s="156"/>
      <c r="H862" s="156"/>
      <c r="I862" s="156"/>
      <c r="J862" s="156"/>
      <c r="K862" s="163"/>
    </row>
    <row r="863">
      <c r="A863" s="154"/>
      <c r="B863" s="155"/>
      <c r="C863" s="155"/>
      <c r="D863" s="156" t="s">
        <v>1482</v>
      </c>
      <c r="E863" s="156" t="s">
        <v>1483</v>
      </c>
      <c r="F863" s="155"/>
      <c r="G863" s="157" t="n">
        <v>3.39</v>
      </c>
      <c r="H863" s="155"/>
      <c r="I863" s="155"/>
      <c r="J863" s="155"/>
      <c r="K863" s="146"/>
    </row>
    <row r="864">
      <c r="A864" s="154"/>
      <c r="B864" s="155"/>
      <c r="C864" s="155"/>
      <c r="D864" s="156" t="s">
        <v>1484</v>
      </c>
      <c r="E864" s="156" t="s">
        <v>1485</v>
      </c>
      <c r="F864" s="155"/>
      <c r="G864" s="157" t="n">
        <v>0.459</v>
      </c>
      <c r="H864" s="155"/>
      <c r="I864" s="155"/>
      <c r="J864" s="155"/>
      <c r="K864" s="146"/>
    </row>
    <row r="865">
      <c r="A865" s="154"/>
      <c r="B865" s="155"/>
      <c r="C865" s="155"/>
      <c r="D865" s="156" t="s">
        <v>1486</v>
      </c>
      <c r="E865" s="156" t="s">
        <v>1487</v>
      </c>
      <c r="F865" s="155"/>
      <c r="G865" s="157" t="n">
        <v>12.75</v>
      </c>
      <c r="H865" s="155"/>
      <c r="I865" s="155"/>
      <c r="J865" s="155"/>
      <c r="K865" s="146"/>
    </row>
    <row r="866">
      <c r="A866" s="154"/>
      <c r="B866" s="155"/>
      <c r="C866" s="155"/>
      <c r="D866" s="156" t="s">
        <v>1488</v>
      </c>
      <c r="E866" s="156" t="s">
        <v>1489</v>
      </c>
      <c r="F866" s="155"/>
      <c r="G866" s="157" t="n">
        <v>2.25</v>
      </c>
      <c r="H866" s="155"/>
      <c r="I866" s="155"/>
      <c r="J866" s="155"/>
      <c r="K866" s="146"/>
    </row>
    <row r="867">
      <c r="A867" s="9" t="s">
        <v>1490</v>
      </c>
      <c r="B867" s="10" t="s">
        <v>84</v>
      </c>
      <c r="C867" s="10" t="s">
        <v>1491</v>
      </c>
      <c r="D867" s="14" t="s">
        <v>1492</v>
      </c>
      <c r="E867" s="10"/>
      <c r="F867" s="10" t="s">
        <v>145</v>
      </c>
      <c r="G867" s="111">
        <f>'Stavební rozpočet'!G867</f>
      </c>
      <c r="H867" s="111">
        <f>'Stavební rozpočet'!H867</f>
      </c>
      <c r="I867" s="111">
        <f>G867*H867</f>
      </c>
      <c r="J867" s="153" t="s">
        <v>134</v>
      </c>
      <c r="K867" s="146"/>
      <c r="Z867" s="111">
        <f>IF(AQ867="5",BJ867,0)</f>
      </c>
      <c r="AB867" s="111">
        <f>IF(AQ867="1",BH867,0)</f>
      </c>
      <c r="AC867" s="111">
        <f>IF(AQ867="1",BI867,0)</f>
      </c>
      <c r="AD867" s="111">
        <f>IF(AQ867="7",BH867,0)</f>
      </c>
      <c r="AE867" s="111">
        <f>IF(AQ867="7",BI867,0)</f>
      </c>
      <c r="AF867" s="111">
        <f>IF(AQ867="2",BH867,0)</f>
      </c>
      <c r="AG867" s="111">
        <f>IF(AQ867="2",BI867,0)</f>
      </c>
      <c r="AH867" s="111">
        <f>IF(AQ867="0",BJ867,0)</f>
      </c>
      <c r="AI867" s="132" t="s">
        <v>84</v>
      </c>
      <c r="AJ867" s="111">
        <f>IF(AN867=0,I867,0)</f>
      </c>
      <c r="AK867" s="111">
        <f>IF(AN867=12,I867,0)</f>
      </c>
      <c r="AL867" s="111">
        <f>IF(AN867=21,I867,0)</f>
      </c>
      <c r="AN867" s="111" t="n">
        <v>21</v>
      </c>
      <c r="AO867" s="111">
        <f>H867*0</f>
      </c>
      <c r="AP867" s="111">
        <f>H867*(1-0)</f>
      </c>
      <c r="AQ867" s="153" t="s">
        <v>130</v>
      </c>
      <c r="AV867" s="111">
        <f>AW867+AX867</f>
      </c>
      <c r="AW867" s="111">
        <f>G867*AO867</f>
      </c>
      <c r="AX867" s="111">
        <f>G867*AP867</f>
      </c>
      <c r="AY867" s="153" t="s">
        <v>1469</v>
      </c>
      <c r="AZ867" s="153" t="s">
        <v>1326</v>
      </c>
      <c r="BA867" s="132" t="s">
        <v>137</v>
      </c>
      <c r="BC867" s="111">
        <f>AW867+AX867</f>
      </c>
      <c r="BD867" s="111">
        <f>H867/(100-BE867)*100</f>
      </c>
      <c r="BE867" s="111" t="n">
        <v>0</v>
      </c>
      <c r="BF867" s="111">
        <f>867</f>
      </c>
      <c r="BH867" s="111">
        <f>G867*AO867</f>
      </c>
      <c r="BI867" s="111">
        <f>G867*AP867</f>
      </c>
      <c r="BJ867" s="111">
        <f>G867*H867</f>
      </c>
      <c r="BK867" s="111"/>
      <c r="BL867" s="111" t="n">
        <v>96</v>
      </c>
      <c r="BW867" s="111" t="n">
        <v>21</v>
      </c>
      <c r="BX867" s="14" t="s">
        <v>1492</v>
      </c>
    </row>
    <row r="868" customHeight="true" ht="13.5">
      <c r="A868" s="159"/>
      <c r="C868" s="160" t="s">
        <v>146</v>
      </c>
      <c r="D868" s="161" t="s">
        <v>1493</v>
      </c>
      <c r="E868" s="156"/>
      <c r="F868" s="156"/>
      <c r="G868" s="156"/>
      <c r="H868" s="156"/>
      <c r="I868" s="156"/>
      <c r="J868" s="156"/>
      <c r="K868" s="163"/>
    </row>
    <row r="869">
      <c r="A869" s="154"/>
      <c r="B869" s="155"/>
      <c r="C869" s="155"/>
      <c r="D869" s="156" t="s">
        <v>698</v>
      </c>
      <c r="E869" s="156" t="s">
        <v>1494</v>
      </c>
      <c r="F869" s="155"/>
      <c r="G869" s="157" t="n">
        <v>85</v>
      </c>
      <c r="H869" s="155"/>
      <c r="I869" s="155"/>
      <c r="J869" s="155"/>
      <c r="K869" s="146"/>
    </row>
    <row r="870">
      <c r="A870" s="154"/>
      <c r="B870" s="155"/>
      <c r="C870" s="155"/>
      <c r="D870" s="156" t="s">
        <v>224</v>
      </c>
      <c r="E870" s="156" t="s">
        <v>1495</v>
      </c>
      <c r="F870" s="155"/>
      <c r="G870" s="157" t="n">
        <v>15</v>
      </c>
      <c r="H870" s="155"/>
      <c r="I870" s="155"/>
      <c r="J870" s="155"/>
      <c r="K870" s="146"/>
    </row>
    <row r="871">
      <c r="A871" s="9" t="s">
        <v>1496</v>
      </c>
      <c r="B871" s="10" t="s">
        <v>84</v>
      </c>
      <c r="C871" s="10" t="s">
        <v>1497</v>
      </c>
      <c r="D871" s="14" t="s">
        <v>1498</v>
      </c>
      <c r="E871" s="10"/>
      <c r="F871" s="10" t="s">
        <v>159</v>
      </c>
      <c r="G871" s="111">
        <f>'Stavební rozpočet'!G871</f>
      </c>
      <c r="H871" s="111">
        <f>'Stavební rozpočet'!H871</f>
      </c>
      <c r="I871" s="111">
        <f>G871*H871</f>
      </c>
      <c r="J871" s="153" t="s">
        <v>134</v>
      </c>
      <c r="K871" s="146"/>
      <c r="Z871" s="111">
        <f>IF(AQ871="5",BJ871,0)</f>
      </c>
      <c r="AB871" s="111">
        <f>IF(AQ871="1",BH871,0)</f>
      </c>
      <c r="AC871" s="111">
        <f>IF(AQ871="1",BI871,0)</f>
      </c>
      <c r="AD871" s="111">
        <f>IF(AQ871="7",BH871,0)</f>
      </c>
      <c r="AE871" s="111">
        <f>IF(AQ871="7",BI871,0)</f>
      </c>
      <c r="AF871" s="111">
        <f>IF(AQ871="2",BH871,0)</f>
      </c>
      <c r="AG871" s="111">
        <f>IF(AQ871="2",BI871,0)</f>
      </c>
      <c r="AH871" s="111">
        <f>IF(AQ871="0",BJ871,0)</f>
      </c>
      <c r="AI871" s="132" t="s">
        <v>84</v>
      </c>
      <c r="AJ871" s="111">
        <f>IF(AN871=0,I871,0)</f>
      </c>
      <c r="AK871" s="111">
        <f>IF(AN871=12,I871,0)</f>
      </c>
      <c r="AL871" s="111">
        <f>IF(AN871=21,I871,0)</f>
      </c>
      <c r="AN871" s="111" t="n">
        <v>21</v>
      </c>
      <c r="AO871" s="111">
        <f>H871*0.013908991</f>
      </c>
      <c r="AP871" s="111">
        <f>H871*(1-0.013908991)</f>
      </c>
      <c r="AQ871" s="153" t="s">
        <v>130</v>
      </c>
      <c r="AV871" s="111">
        <f>AW871+AX871</f>
      </c>
      <c r="AW871" s="111">
        <f>G871*AO871</f>
      </c>
      <c r="AX871" s="111">
        <f>G871*AP871</f>
      </c>
      <c r="AY871" s="153" t="s">
        <v>1469</v>
      </c>
      <c r="AZ871" s="153" t="s">
        <v>1326</v>
      </c>
      <c r="BA871" s="132" t="s">
        <v>137</v>
      </c>
      <c r="BC871" s="111">
        <f>AW871+AX871</f>
      </c>
      <c r="BD871" s="111">
        <f>H871/(100-BE871)*100</f>
      </c>
      <c r="BE871" s="111" t="n">
        <v>0</v>
      </c>
      <c r="BF871" s="111">
        <f>871</f>
      </c>
      <c r="BH871" s="111">
        <f>G871*AO871</f>
      </c>
      <c r="BI871" s="111">
        <f>G871*AP871</f>
      </c>
      <c r="BJ871" s="111">
        <f>G871*H871</f>
      </c>
      <c r="BK871" s="111"/>
      <c r="BL871" s="111" t="n">
        <v>96</v>
      </c>
      <c r="BW871" s="111" t="n">
        <v>21</v>
      </c>
      <c r="BX871" s="14" t="s">
        <v>1498</v>
      </c>
    </row>
    <row r="872">
      <c r="A872" s="154"/>
      <c r="B872" s="155"/>
      <c r="C872" s="155"/>
      <c r="D872" s="156" t="s">
        <v>1499</v>
      </c>
      <c r="E872" s="156" t="s">
        <v>1500</v>
      </c>
      <c r="F872" s="155"/>
      <c r="G872" s="157" t="n">
        <v>2.75946</v>
      </c>
      <c r="H872" s="155"/>
      <c r="I872" s="155"/>
      <c r="J872" s="155"/>
      <c r="K872" s="146"/>
    </row>
    <row r="873">
      <c r="A873" s="9" t="s">
        <v>1501</v>
      </c>
      <c r="B873" s="10" t="s">
        <v>84</v>
      </c>
      <c r="C873" s="10" t="s">
        <v>1502</v>
      </c>
      <c r="D873" s="14" t="s">
        <v>1503</v>
      </c>
      <c r="E873" s="10"/>
      <c r="F873" s="10" t="s">
        <v>159</v>
      </c>
      <c r="G873" s="111">
        <f>'Stavební rozpočet'!G873</f>
      </c>
      <c r="H873" s="111">
        <f>'Stavební rozpočet'!H873</f>
      </c>
      <c r="I873" s="111">
        <f>G873*H873</f>
      </c>
      <c r="J873" s="153" t="s">
        <v>134</v>
      </c>
      <c r="K873" s="146"/>
      <c r="Z873" s="111">
        <f>IF(AQ873="5",BJ873,0)</f>
      </c>
      <c r="AB873" s="111">
        <f>IF(AQ873="1",BH873,0)</f>
      </c>
      <c r="AC873" s="111">
        <f>IF(AQ873="1",BI873,0)</f>
      </c>
      <c r="AD873" s="111">
        <f>IF(AQ873="7",BH873,0)</f>
      </c>
      <c r="AE873" s="111">
        <f>IF(AQ873="7",BI873,0)</f>
      </c>
      <c r="AF873" s="111">
        <f>IF(AQ873="2",BH873,0)</f>
      </c>
      <c r="AG873" s="111">
        <f>IF(AQ873="2",BI873,0)</f>
      </c>
      <c r="AH873" s="111">
        <f>IF(AQ873="0",BJ873,0)</f>
      </c>
      <c r="AI873" s="132" t="s">
        <v>84</v>
      </c>
      <c r="AJ873" s="111">
        <f>IF(AN873=0,I873,0)</f>
      </c>
      <c r="AK873" s="111">
        <f>IF(AN873=12,I873,0)</f>
      </c>
      <c r="AL873" s="111">
        <f>IF(AN873=21,I873,0)</f>
      </c>
      <c r="AN873" s="111" t="n">
        <v>21</v>
      </c>
      <c r="AO873" s="111">
        <f>H873*0</f>
      </c>
      <c r="AP873" s="111">
        <f>H873*(1-0)</f>
      </c>
      <c r="AQ873" s="153" t="s">
        <v>130</v>
      </c>
      <c r="AV873" s="111">
        <f>AW873+AX873</f>
      </c>
      <c r="AW873" s="111">
        <f>G873*AO873</f>
      </c>
      <c r="AX873" s="111">
        <f>G873*AP873</f>
      </c>
      <c r="AY873" s="153" t="s">
        <v>1469</v>
      </c>
      <c r="AZ873" s="153" t="s">
        <v>1326</v>
      </c>
      <c r="BA873" s="132" t="s">
        <v>137</v>
      </c>
      <c r="BC873" s="111">
        <f>AW873+AX873</f>
      </c>
      <c r="BD873" s="111">
        <f>H873/(100-BE873)*100</f>
      </c>
      <c r="BE873" s="111" t="n">
        <v>0</v>
      </c>
      <c r="BF873" s="111">
        <f>873</f>
      </c>
      <c r="BH873" s="111">
        <f>G873*AO873</f>
      </c>
      <c r="BI873" s="111">
        <f>G873*AP873</f>
      </c>
      <c r="BJ873" s="111">
        <f>G873*H873</f>
      </c>
      <c r="BK873" s="111"/>
      <c r="BL873" s="111" t="n">
        <v>96</v>
      </c>
      <c r="BW873" s="111" t="n">
        <v>21</v>
      </c>
      <c r="BX873" s="14" t="s">
        <v>1503</v>
      </c>
    </row>
    <row r="874">
      <c r="A874" s="154"/>
      <c r="B874" s="155"/>
      <c r="C874" s="155"/>
      <c r="D874" s="156" t="s">
        <v>1504</v>
      </c>
      <c r="E874" s="156" t="s">
        <v>1500</v>
      </c>
      <c r="F874" s="155"/>
      <c r="G874" s="157" t="n">
        <v>3.2736</v>
      </c>
      <c r="H874" s="155"/>
      <c r="I874" s="155"/>
      <c r="J874" s="155"/>
      <c r="K874" s="146"/>
    </row>
    <row r="875">
      <c r="A875" s="9" t="s">
        <v>1505</v>
      </c>
      <c r="B875" s="10" t="s">
        <v>84</v>
      </c>
      <c r="C875" s="10" t="s">
        <v>1506</v>
      </c>
      <c r="D875" s="14" t="s">
        <v>1507</v>
      </c>
      <c r="E875" s="10"/>
      <c r="F875" s="10" t="s">
        <v>282</v>
      </c>
      <c r="G875" s="111">
        <f>'Stavební rozpočet'!G875</f>
      </c>
      <c r="H875" s="111">
        <f>'Stavební rozpočet'!H875</f>
      </c>
      <c r="I875" s="111">
        <f>G875*H875</f>
      </c>
      <c r="J875" s="153" t="s">
        <v>134</v>
      </c>
      <c r="K875" s="146"/>
      <c r="Z875" s="111">
        <f>IF(AQ875="5",BJ875,0)</f>
      </c>
      <c r="AB875" s="111">
        <f>IF(AQ875="1",BH875,0)</f>
      </c>
      <c r="AC875" s="111">
        <f>IF(AQ875="1",BI875,0)</f>
      </c>
      <c r="AD875" s="111">
        <f>IF(AQ875="7",BH875,0)</f>
      </c>
      <c r="AE875" s="111">
        <f>IF(AQ875="7",BI875,0)</f>
      </c>
      <c r="AF875" s="111">
        <f>IF(AQ875="2",BH875,0)</f>
      </c>
      <c r="AG875" s="111">
        <f>IF(AQ875="2",BI875,0)</f>
      </c>
      <c r="AH875" s="111">
        <f>IF(AQ875="0",BJ875,0)</f>
      </c>
      <c r="AI875" s="132" t="s">
        <v>84</v>
      </c>
      <c r="AJ875" s="111">
        <f>IF(AN875=0,I875,0)</f>
      </c>
      <c r="AK875" s="111">
        <f>IF(AN875=12,I875,0)</f>
      </c>
      <c r="AL875" s="111">
        <f>IF(AN875=21,I875,0)</f>
      </c>
      <c r="AN875" s="111" t="n">
        <v>21</v>
      </c>
      <c r="AO875" s="111">
        <f>H875*0</f>
      </c>
      <c r="AP875" s="111">
        <f>H875*(1-0)</f>
      </c>
      <c r="AQ875" s="153" t="s">
        <v>130</v>
      </c>
      <c r="AV875" s="111">
        <f>AW875+AX875</f>
      </c>
      <c r="AW875" s="111">
        <f>G875*AO875</f>
      </c>
      <c r="AX875" s="111">
        <f>G875*AP875</f>
      </c>
      <c r="AY875" s="153" t="s">
        <v>1469</v>
      </c>
      <c r="AZ875" s="153" t="s">
        <v>1326</v>
      </c>
      <c r="BA875" s="132" t="s">
        <v>137</v>
      </c>
      <c r="BC875" s="111">
        <f>AW875+AX875</f>
      </c>
      <c r="BD875" s="111">
        <f>H875/(100-BE875)*100</f>
      </c>
      <c r="BE875" s="111" t="n">
        <v>0</v>
      </c>
      <c r="BF875" s="111">
        <f>875</f>
      </c>
      <c r="BH875" s="111">
        <f>G875*AO875</f>
      </c>
      <c r="BI875" s="111">
        <f>G875*AP875</f>
      </c>
      <c r="BJ875" s="111">
        <f>G875*H875</f>
      </c>
      <c r="BK875" s="111"/>
      <c r="BL875" s="111" t="n">
        <v>96</v>
      </c>
      <c r="BW875" s="111" t="n">
        <v>21</v>
      </c>
      <c r="BX875" s="14" t="s">
        <v>1507</v>
      </c>
    </row>
    <row r="876">
      <c r="A876" s="154"/>
      <c r="B876" s="155"/>
      <c r="C876" s="155"/>
      <c r="D876" s="156" t="s">
        <v>1508</v>
      </c>
      <c r="E876" s="156" t="s">
        <v>1509</v>
      </c>
      <c r="F876" s="155"/>
      <c r="G876" s="157" t="n">
        <v>3.3</v>
      </c>
      <c r="H876" s="155"/>
      <c r="I876" s="155"/>
      <c r="J876" s="155"/>
      <c r="K876" s="146"/>
    </row>
    <row r="877">
      <c r="A877" s="9" t="s">
        <v>1510</v>
      </c>
      <c r="B877" s="10" t="s">
        <v>84</v>
      </c>
      <c r="C877" s="10" t="s">
        <v>1511</v>
      </c>
      <c r="D877" s="14" t="s">
        <v>1512</v>
      </c>
      <c r="E877" s="10"/>
      <c r="F877" s="10" t="s">
        <v>159</v>
      </c>
      <c r="G877" s="111">
        <f>'Stavební rozpočet'!G877</f>
      </c>
      <c r="H877" s="111">
        <f>'Stavební rozpočet'!H877</f>
      </c>
      <c r="I877" s="111">
        <f>G877*H877</f>
      </c>
      <c r="J877" s="153" t="s">
        <v>134</v>
      </c>
      <c r="K877" s="146"/>
      <c r="Z877" s="111">
        <f>IF(AQ877="5",BJ877,0)</f>
      </c>
      <c r="AB877" s="111">
        <f>IF(AQ877="1",BH877,0)</f>
      </c>
      <c r="AC877" s="111">
        <f>IF(AQ877="1",BI877,0)</f>
      </c>
      <c r="AD877" s="111">
        <f>IF(AQ877="7",BH877,0)</f>
      </c>
      <c r="AE877" s="111">
        <f>IF(AQ877="7",BI877,0)</f>
      </c>
      <c r="AF877" s="111">
        <f>IF(AQ877="2",BH877,0)</f>
      </c>
      <c r="AG877" s="111">
        <f>IF(AQ877="2",BI877,0)</f>
      </c>
      <c r="AH877" s="111">
        <f>IF(AQ877="0",BJ877,0)</f>
      </c>
      <c r="AI877" s="132" t="s">
        <v>84</v>
      </c>
      <c r="AJ877" s="111">
        <f>IF(AN877=0,I877,0)</f>
      </c>
      <c r="AK877" s="111">
        <f>IF(AN877=12,I877,0)</f>
      </c>
      <c r="AL877" s="111">
        <f>IF(AN877=21,I877,0)</f>
      </c>
      <c r="AN877" s="111" t="n">
        <v>21</v>
      </c>
      <c r="AO877" s="111">
        <f>H877*0.035145732</f>
      </c>
      <c r="AP877" s="111">
        <f>H877*(1-0.035145732)</f>
      </c>
      <c r="AQ877" s="153" t="s">
        <v>130</v>
      </c>
      <c r="AV877" s="111">
        <f>AW877+AX877</f>
      </c>
      <c r="AW877" s="111">
        <f>G877*AO877</f>
      </c>
      <c r="AX877" s="111">
        <f>G877*AP877</f>
      </c>
      <c r="AY877" s="153" t="s">
        <v>1469</v>
      </c>
      <c r="AZ877" s="153" t="s">
        <v>1326</v>
      </c>
      <c r="BA877" s="132" t="s">
        <v>137</v>
      </c>
      <c r="BC877" s="111">
        <f>AW877+AX877</f>
      </c>
      <c r="BD877" s="111">
        <f>H877/(100-BE877)*100</f>
      </c>
      <c r="BE877" s="111" t="n">
        <v>0</v>
      </c>
      <c r="BF877" s="111">
        <f>877</f>
      </c>
      <c r="BH877" s="111">
        <f>G877*AO877</f>
      </c>
      <c r="BI877" s="111">
        <f>G877*AP877</f>
      </c>
      <c r="BJ877" s="111">
        <f>G877*H877</f>
      </c>
      <c r="BK877" s="111"/>
      <c r="BL877" s="111" t="n">
        <v>96</v>
      </c>
      <c r="BW877" s="111" t="n">
        <v>21</v>
      </c>
      <c r="BX877" s="14" t="s">
        <v>1512</v>
      </c>
    </row>
    <row r="878">
      <c r="A878" s="154"/>
      <c r="B878" s="155"/>
      <c r="C878" s="155"/>
      <c r="D878" s="156" t="s">
        <v>1513</v>
      </c>
      <c r="E878" s="156" t="s">
        <v>1514</v>
      </c>
      <c r="F878" s="155"/>
      <c r="G878" s="157" t="n">
        <v>1.573</v>
      </c>
      <c r="H878" s="155"/>
      <c r="I878" s="155"/>
      <c r="J878" s="155"/>
      <c r="K878" s="146"/>
    </row>
    <row r="879">
      <c r="A879" s="154"/>
      <c r="B879" s="155"/>
      <c r="C879" s="155"/>
      <c r="D879" s="156" t="s">
        <v>1515</v>
      </c>
      <c r="E879" s="156" t="s">
        <v>1516</v>
      </c>
      <c r="F879" s="155"/>
      <c r="G879" s="157" t="n">
        <v>2.91506</v>
      </c>
      <c r="H879" s="155"/>
      <c r="I879" s="155"/>
      <c r="J879" s="155"/>
      <c r="K879" s="146"/>
    </row>
    <row r="880">
      <c r="A880" s="9" t="s">
        <v>1517</v>
      </c>
      <c r="B880" s="10" t="s">
        <v>84</v>
      </c>
      <c r="C880" s="10" t="s">
        <v>1518</v>
      </c>
      <c r="D880" s="14" t="s">
        <v>1519</v>
      </c>
      <c r="E880" s="10"/>
      <c r="F880" s="10" t="s">
        <v>133</v>
      </c>
      <c r="G880" s="111">
        <f>'Stavební rozpočet'!G880</f>
      </c>
      <c r="H880" s="111">
        <f>'Stavební rozpočet'!H880</f>
      </c>
      <c r="I880" s="111">
        <f>G880*H880</f>
      </c>
      <c r="J880" s="153" t="s">
        <v>134</v>
      </c>
      <c r="K880" s="146"/>
      <c r="Z880" s="111">
        <f>IF(AQ880="5",BJ880,0)</f>
      </c>
      <c r="AB880" s="111">
        <f>IF(AQ880="1",BH880,0)</f>
      </c>
      <c r="AC880" s="111">
        <f>IF(AQ880="1",BI880,0)</f>
      </c>
      <c r="AD880" s="111">
        <f>IF(AQ880="7",BH880,0)</f>
      </c>
      <c r="AE880" s="111">
        <f>IF(AQ880="7",BI880,0)</f>
      </c>
      <c r="AF880" s="111">
        <f>IF(AQ880="2",BH880,0)</f>
      </c>
      <c r="AG880" s="111">
        <f>IF(AQ880="2",BI880,0)</f>
      </c>
      <c r="AH880" s="111">
        <f>IF(AQ880="0",BJ880,0)</f>
      </c>
      <c r="AI880" s="132" t="s">
        <v>84</v>
      </c>
      <c r="AJ880" s="111">
        <f>IF(AN880=0,I880,0)</f>
      </c>
      <c r="AK880" s="111">
        <f>IF(AN880=12,I880,0)</f>
      </c>
      <c r="AL880" s="111">
        <f>IF(AN880=21,I880,0)</f>
      </c>
      <c r="AN880" s="111" t="n">
        <v>21</v>
      </c>
      <c r="AO880" s="111">
        <f>H880*0</f>
      </c>
      <c r="AP880" s="111">
        <f>H880*(1-0)</f>
      </c>
      <c r="AQ880" s="153" t="s">
        <v>130</v>
      </c>
      <c r="AV880" s="111">
        <f>AW880+AX880</f>
      </c>
      <c r="AW880" s="111">
        <f>G880*AO880</f>
      </c>
      <c r="AX880" s="111">
        <f>G880*AP880</f>
      </c>
      <c r="AY880" s="153" t="s">
        <v>1469</v>
      </c>
      <c r="AZ880" s="153" t="s">
        <v>1326</v>
      </c>
      <c r="BA880" s="132" t="s">
        <v>137</v>
      </c>
      <c r="BC880" s="111">
        <f>AW880+AX880</f>
      </c>
      <c r="BD880" s="111">
        <f>H880/(100-BE880)*100</f>
      </c>
      <c r="BE880" s="111" t="n">
        <v>0</v>
      </c>
      <c r="BF880" s="111">
        <f>880</f>
      </c>
      <c r="BH880" s="111">
        <f>G880*AO880</f>
      </c>
      <c r="BI880" s="111">
        <f>G880*AP880</f>
      </c>
      <c r="BJ880" s="111">
        <f>G880*H880</f>
      </c>
      <c r="BK880" s="111"/>
      <c r="BL880" s="111" t="n">
        <v>96</v>
      </c>
      <c r="BW880" s="111" t="n">
        <v>21</v>
      </c>
      <c r="BX880" s="14" t="s">
        <v>1519</v>
      </c>
    </row>
    <row r="881">
      <c r="A881" s="154"/>
      <c r="B881" s="155"/>
      <c r="C881" s="155"/>
      <c r="D881" s="156" t="s">
        <v>156</v>
      </c>
      <c r="E881" s="156" t="s">
        <v>1520</v>
      </c>
      <c r="F881" s="155"/>
      <c r="G881" s="157" t="n">
        <v>5</v>
      </c>
      <c r="H881" s="155"/>
      <c r="I881" s="155"/>
      <c r="J881" s="155"/>
      <c r="K881" s="146"/>
    </row>
    <row r="882">
      <c r="A882" s="9" t="s">
        <v>1521</v>
      </c>
      <c r="B882" s="10" t="s">
        <v>84</v>
      </c>
      <c r="C882" s="10" t="s">
        <v>1522</v>
      </c>
      <c r="D882" s="14" t="s">
        <v>1523</v>
      </c>
      <c r="E882" s="10"/>
      <c r="F882" s="10" t="s">
        <v>145</v>
      </c>
      <c r="G882" s="111">
        <f>'Stavební rozpočet'!G882</f>
      </c>
      <c r="H882" s="111">
        <f>'Stavební rozpočet'!H882</f>
      </c>
      <c r="I882" s="111">
        <f>G882*H882</f>
      </c>
      <c r="J882" s="153" t="s">
        <v>134</v>
      </c>
      <c r="K882" s="146"/>
      <c r="Z882" s="111">
        <f>IF(AQ882="5",BJ882,0)</f>
      </c>
      <c r="AB882" s="111">
        <f>IF(AQ882="1",BH882,0)</f>
      </c>
      <c r="AC882" s="111">
        <f>IF(AQ882="1",BI882,0)</f>
      </c>
      <c r="AD882" s="111">
        <f>IF(AQ882="7",BH882,0)</f>
      </c>
      <c r="AE882" s="111">
        <f>IF(AQ882="7",BI882,0)</f>
      </c>
      <c r="AF882" s="111">
        <f>IF(AQ882="2",BH882,0)</f>
      </c>
      <c r="AG882" s="111">
        <f>IF(AQ882="2",BI882,0)</f>
      </c>
      <c r="AH882" s="111">
        <f>IF(AQ882="0",BJ882,0)</f>
      </c>
      <c r="AI882" s="132" t="s">
        <v>84</v>
      </c>
      <c r="AJ882" s="111">
        <f>IF(AN882=0,I882,0)</f>
      </c>
      <c r="AK882" s="111">
        <f>IF(AN882=12,I882,0)</f>
      </c>
      <c r="AL882" s="111">
        <f>IF(AN882=21,I882,0)</f>
      </c>
      <c r="AN882" s="111" t="n">
        <v>21</v>
      </c>
      <c r="AO882" s="111">
        <f>H882*0.181566213</f>
      </c>
      <c r="AP882" s="111">
        <f>H882*(1-0.181566213)</f>
      </c>
      <c r="AQ882" s="153" t="s">
        <v>130</v>
      </c>
      <c r="AV882" s="111">
        <f>AW882+AX882</f>
      </c>
      <c r="AW882" s="111">
        <f>G882*AO882</f>
      </c>
      <c r="AX882" s="111">
        <f>G882*AP882</f>
      </c>
      <c r="AY882" s="153" t="s">
        <v>1469</v>
      </c>
      <c r="AZ882" s="153" t="s">
        <v>1326</v>
      </c>
      <c r="BA882" s="132" t="s">
        <v>137</v>
      </c>
      <c r="BC882" s="111">
        <f>AW882+AX882</f>
      </c>
      <c r="BD882" s="111">
        <f>H882/(100-BE882)*100</f>
      </c>
      <c r="BE882" s="111" t="n">
        <v>0</v>
      </c>
      <c r="BF882" s="111">
        <f>882</f>
      </c>
      <c r="BH882" s="111">
        <f>G882*AO882</f>
      </c>
      <c r="BI882" s="111">
        <f>G882*AP882</f>
      </c>
      <c r="BJ882" s="111">
        <f>G882*H882</f>
      </c>
      <c r="BK882" s="111"/>
      <c r="BL882" s="111" t="n">
        <v>96</v>
      </c>
      <c r="BW882" s="111" t="n">
        <v>21</v>
      </c>
      <c r="BX882" s="14" t="s">
        <v>1523</v>
      </c>
    </row>
    <row r="883">
      <c r="A883" s="154"/>
      <c r="B883" s="155"/>
      <c r="C883" s="155"/>
      <c r="D883" s="156" t="s">
        <v>1524</v>
      </c>
      <c r="E883" s="156" t="s">
        <v>1520</v>
      </c>
      <c r="F883" s="155"/>
      <c r="G883" s="157" t="n">
        <v>2.945</v>
      </c>
      <c r="H883" s="155"/>
      <c r="I883" s="155"/>
      <c r="J883" s="155"/>
      <c r="K883" s="146"/>
    </row>
    <row r="884">
      <c r="A884" s="154"/>
      <c r="B884" s="155"/>
      <c r="C884" s="155"/>
      <c r="D884" s="156" t="s">
        <v>1525</v>
      </c>
      <c r="E884" s="156" t="s">
        <v>4</v>
      </c>
      <c r="F884" s="155"/>
      <c r="G884" s="157" t="n">
        <v>2.1</v>
      </c>
      <c r="H884" s="155"/>
      <c r="I884" s="155"/>
      <c r="J884" s="155"/>
      <c r="K884" s="146"/>
    </row>
    <row r="885">
      <c r="A885" s="147" t="s">
        <v>4</v>
      </c>
      <c r="B885" s="148" t="s">
        <v>84</v>
      </c>
      <c r="C885" s="148" t="s">
        <v>783</v>
      </c>
      <c r="D885" s="149" t="s">
        <v>1526</v>
      </c>
      <c r="E885" s="148"/>
      <c r="F885" s="150" t="s">
        <v>79</v>
      </c>
      <c r="G885" s="150" t="s">
        <v>79</v>
      </c>
      <c r="H885" s="150" t="s">
        <v>79</v>
      </c>
      <c r="I885" s="117">
        <f>SUM(I886:I897)</f>
      </c>
      <c r="J885" s="132" t="s">
        <v>4</v>
      </c>
      <c r="K885" s="146"/>
      <c r="AI885" s="132" t="s">
        <v>84</v>
      </c>
      <c r="AS885" s="117">
        <f>SUM(AJ886:AJ897)</f>
      </c>
      <c r="AT885" s="117">
        <f>SUM(AK886:AK897)</f>
      </c>
      <c r="AU885" s="117">
        <f>SUM(AL886:AL897)</f>
      </c>
    </row>
    <row r="886">
      <c r="A886" s="9" t="s">
        <v>1527</v>
      </c>
      <c r="B886" s="10" t="s">
        <v>84</v>
      </c>
      <c r="C886" s="10" t="s">
        <v>1528</v>
      </c>
      <c r="D886" s="14" t="s">
        <v>1529</v>
      </c>
      <c r="E886" s="10"/>
      <c r="F886" s="10" t="s">
        <v>133</v>
      </c>
      <c r="G886" s="111">
        <f>'Stavební rozpočet'!G886</f>
      </c>
      <c r="H886" s="111">
        <f>'Stavební rozpočet'!H886</f>
      </c>
      <c r="I886" s="111">
        <f>G886*H886</f>
      </c>
      <c r="J886" s="153" t="s">
        <v>134</v>
      </c>
      <c r="K886" s="146"/>
      <c r="Z886" s="111">
        <f>IF(AQ886="5",BJ886,0)</f>
      </c>
      <c r="AB886" s="111">
        <f>IF(AQ886="1",BH886,0)</f>
      </c>
      <c r="AC886" s="111">
        <f>IF(AQ886="1",BI886,0)</f>
      </c>
      <c r="AD886" s="111">
        <f>IF(AQ886="7",BH886,0)</f>
      </c>
      <c r="AE886" s="111">
        <f>IF(AQ886="7",BI886,0)</f>
      </c>
      <c r="AF886" s="111">
        <f>IF(AQ886="2",BH886,0)</f>
      </c>
      <c r="AG886" s="111">
        <f>IF(AQ886="2",BI886,0)</f>
      </c>
      <c r="AH886" s="111">
        <f>IF(AQ886="0",BJ886,0)</f>
      </c>
      <c r="AI886" s="132" t="s">
        <v>84</v>
      </c>
      <c r="AJ886" s="111">
        <f>IF(AN886=0,I886,0)</f>
      </c>
      <c r="AK886" s="111">
        <f>IF(AN886=12,I886,0)</f>
      </c>
      <c r="AL886" s="111">
        <f>IF(AN886=21,I886,0)</f>
      </c>
      <c r="AN886" s="111" t="n">
        <v>21</v>
      </c>
      <c r="AO886" s="111">
        <f>H886*0.037615665</f>
      </c>
      <c r="AP886" s="111">
        <f>H886*(1-0.037615665)</f>
      </c>
      <c r="AQ886" s="153" t="s">
        <v>130</v>
      </c>
      <c r="AV886" s="111">
        <f>AW886+AX886</f>
      </c>
      <c r="AW886" s="111">
        <f>G886*AO886</f>
      </c>
      <c r="AX886" s="111">
        <f>G886*AP886</f>
      </c>
      <c r="AY886" s="153" t="s">
        <v>1530</v>
      </c>
      <c r="AZ886" s="153" t="s">
        <v>1326</v>
      </c>
      <c r="BA886" s="132" t="s">
        <v>137</v>
      </c>
      <c r="BC886" s="111">
        <f>AW886+AX886</f>
      </c>
      <c r="BD886" s="111">
        <f>H886/(100-BE886)*100</f>
      </c>
      <c r="BE886" s="111" t="n">
        <v>0</v>
      </c>
      <c r="BF886" s="111">
        <f>886</f>
      </c>
      <c r="BH886" s="111">
        <f>G886*AO886</f>
      </c>
      <c r="BI886" s="111">
        <f>G886*AP886</f>
      </c>
      <c r="BJ886" s="111">
        <f>G886*H886</f>
      </c>
      <c r="BK886" s="111"/>
      <c r="BL886" s="111" t="n">
        <v>97</v>
      </c>
      <c r="BW886" s="111" t="n">
        <v>21</v>
      </c>
      <c r="BX886" s="14" t="s">
        <v>1529</v>
      </c>
    </row>
    <row r="887">
      <c r="A887" s="154"/>
      <c r="B887" s="155"/>
      <c r="C887" s="155"/>
      <c r="D887" s="156" t="s">
        <v>1531</v>
      </c>
      <c r="E887" s="156" t="s">
        <v>709</v>
      </c>
      <c r="F887" s="155"/>
      <c r="G887" s="157" t="n">
        <v>10</v>
      </c>
      <c r="H887" s="155"/>
      <c r="I887" s="155"/>
      <c r="J887" s="155"/>
      <c r="K887" s="146"/>
    </row>
    <row r="888">
      <c r="A888" s="9" t="s">
        <v>1532</v>
      </c>
      <c r="B888" s="10" t="s">
        <v>84</v>
      </c>
      <c r="C888" s="10" t="s">
        <v>1533</v>
      </c>
      <c r="D888" s="14" t="s">
        <v>1534</v>
      </c>
      <c r="E888" s="10"/>
      <c r="F888" s="10" t="s">
        <v>133</v>
      </c>
      <c r="G888" s="111">
        <f>'Stavební rozpočet'!G888</f>
      </c>
      <c r="H888" s="111">
        <f>'Stavební rozpočet'!H888</f>
      </c>
      <c r="I888" s="111">
        <f>G888*H888</f>
      </c>
      <c r="J888" s="153" t="s">
        <v>134</v>
      </c>
      <c r="K888" s="146"/>
      <c r="Z888" s="111">
        <f>IF(AQ888="5",BJ888,0)</f>
      </c>
      <c r="AB888" s="111">
        <f>IF(AQ888="1",BH888,0)</f>
      </c>
      <c r="AC888" s="111">
        <f>IF(AQ888="1",BI888,0)</f>
      </c>
      <c r="AD888" s="111">
        <f>IF(AQ888="7",BH888,0)</f>
      </c>
      <c r="AE888" s="111">
        <f>IF(AQ888="7",BI888,0)</f>
      </c>
      <c r="AF888" s="111">
        <f>IF(AQ888="2",BH888,0)</f>
      </c>
      <c r="AG888" s="111">
        <f>IF(AQ888="2",BI888,0)</f>
      </c>
      <c r="AH888" s="111">
        <f>IF(AQ888="0",BJ888,0)</f>
      </c>
      <c r="AI888" s="132" t="s">
        <v>84</v>
      </c>
      <c r="AJ888" s="111">
        <f>IF(AN888=0,I888,0)</f>
      </c>
      <c r="AK888" s="111">
        <f>IF(AN888=12,I888,0)</f>
      </c>
      <c r="AL888" s="111">
        <f>IF(AN888=21,I888,0)</f>
      </c>
      <c r="AN888" s="111" t="n">
        <v>21</v>
      </c>
      <c r="AO888" s="111">
        <f>H888*0</f>
      </c>
      <c r="AP888" s="111">
        <f>H888*(1-0)</f>
      </c>
      <c r="AQ888" s="153" t="s">
        <v>130</v>
      </c>
      <c r="AV888" s="111">
        <f>AW888+AX888</f>
      </c>
      <c r="AW888" s="111">
        <f>G888*AO888</f>
      </c>
      <c r="AX888" s="111">
        <f>G888*AP888</f>
      </c>
      <c r="AY888" s="153" t="s">
        <v>1530</v>
      </c>
      <c r="AZ888" s="153" t="s">
        <v>1326</v>
      </c>
      <c r="BA888" s="132" t="s">
        <v>137</v>
      </c>
      <c r="BC888" s="111">
        <f>AW888+AX888</f>
      </c>
      <c r="BD888" s="111">
        <f>H888/(100-BE888)*100</f>
      </c>
      <c r="BE888" s="111" t="n">
        <v>0</v>
      </c>
      <c r="BF888" s="111">
        <f>888</f>
      </c>
      <c r="BH888" s="111">
        <f>G888*AO888</f>
      </c>
      <c r="BI888" s="111">
        <f>G888*AP888</f>
      </c>
      <c r="BJ888" s="111">
        <f>G888*H888</f>
      </c>
      <c r="BK888" s="111"/>
      <c r="BL888" s="111" t="n">
        <v>97</v>
      </c>
      <c r="BW888" s="111" t="n">
        <v>21</v>
      </c>
      <c r="BX888" s="14" t="s">
        <v>1534</v>
      </c>
    </row>
    <row r="889">
      <c r="A889" s="154"/>
      <c r="B889" s="155"/>
      <c r="C889" s="155"/>
      <c r="D889" s="156" t="s">
        <v>1535</v>
      </c>
      <c r="E889" s="156" t="s">
        <v>1536</v>
      </c>
      <c r="F889" s="155"/>
      <c r="G889" s="157" t="n">
        <v>6</v>
      </c>
      <c r="H889" s="155"/>
      <c r="I889" s="155"/>
      <c r="J889" s="155"/>
      <c r="K889" s="146"/>
    </row>
    <row r="890">
      <c r="A890" s="9" t="s">
        <v>1537</v>
      </c>
      <c r="B890" s="10" t="s">
        <v>84</v>
      </c>
      <c r="C890" s="10" t="s">
        <v>1538</v>
      </c>
      <c r="D890" s="14" t="s">
        <v>1539</v>
      </c>
      <c r="E890" s="10"/>
      <c r="F890" s="10" t="s">
        <v>145</v>
      </c>
      <c r="G890" s="111">
        <f>'Stavební rozpočet'!G890</f>
      </c>
      <c r="H890" s="111">
        <f>'Stavební rozpočet'!H890</f>
      </c>
      <c r="I890" s="111">
        <f>G890*H890</f>
      </c>
      <c r="J890" s="153" t="s">
        <v>134</v>
      </c>
      <c r="K890" s="146"/>
      <c r="Z890" s="111">
        <f>IF(AQ890="5",BJ890,0)</f>
      </c>
      <c r="AB890" s="111">
        <f>IF(AQ890="1",BH890,0)</f>
      </c>
      <c r="AC890" s="111">
        <f>IF(AQ890="1",BI890,0)</f>
      </c>
      <c r="AD890" s="111">
        <f>IF(AQ890="7",BH890,0)</f>
      </c>
      <c r="AE890" s="111">
        <f>IF(AQ890="7",BI890,0)</f>
      </c>
      <c r="AF890" s="111">
        <f>IF(AQ890="2",BH890,0)</f>
      </c>
      <c r="AG890" s="111">
        <f>IF(AQ890="2",BI890,0)</f>
      </c>
      <c r="AH890" s="111">
        <f>IF(AQ890="0",BJ890,0)</f>
      </c>
      <c r="AI890" s="132" t="s">
        <v>84</v>
      </c>
      <c r="AJ890" s="111">
        <f>IF(AN890=0,I890,0)</f>
      </c>
      <c r="AK890" s="111">
        <f>IF(AN890=12,I890,0)</f>
      </c>
      <c r="AL890" s="111">
        <f>IF(AN890=21,I890,0)</f>
      </c>
      <c r="AN890" s="111" t="n">
        <v>21</v>
      </c>
      <c r="AO890" s="111">
        <f>H890*0</f>
      </c>
      <c r="AP890" s="111">
        <f>H890*(1-0)</f>
      </c>
      <c r="AQ890" s="153" t="s">
        <v>130</v>
      </c>
      <c r="AV890" s="111">
        <f>AW890+AX890</f>
      </c>
      <c r="AW890" s="111">
        <f>G890*AO890</f>
      </c>
      <c r="AX890" s="111">
        <f>G890*AP890</f>
      </c>
      <c r="AY890" s="153" t="s">
        <v>1530</v>
      </c>
      <c r="AZ890" s="153" t="s">
        <v>1326</v>
      </c>
      <c r="BA890" s="132" t="s">
        <v>137</v>
      </c>
      <c r="BC890" s="111">
        <f>AW890+AX890</f>
      </c>
      <c r="BD890" s="111">
        <f>H890/(100-BE890)*100</f>
      </c>
      <c r="BE890" s="111" t="n">
        <v>0</v>
      </c>
      <c r="BF890" s="111">
        <f>890</f>
      </c>
      <c r="BH890" s="111">
        <f>G890*AO890</f>
      </c>
      <c r="BI890" s="111">
        <f>G890*AP890</f>
      </c>
      <c r="BJ890" s="111">
        <f>G890*H890</f>
      </c>
      <c r="BK890" s="111"/>
      <c r="BL890" s="111" t="n">
        <v>97</v>
      </c>
      <c r="BW890" s="111" t="n">
        <v>21</v>
      </c>
      <c r="BX890" s="14" t="s">
        <v>1539</v>
      </c>
    </row>
    <row r="891">
      <c r="A891" s="154"/>
      <c r="B891" s="155"/>
      <c r="C891" s="155"/>
      <c r="D891" s="156" t="s">
        <v>1540</v>
      </c>
      <c r="E891" s="156" t="s">
        <v>1541</v>
      </c>
      <c r="F891" s="155"/>
      <c r="G891" s="157" t="n">
        <v>18.69</v>
      </c>
      <c r="H891" s="155"/>
      <c r="I891" s="155"/>
      <c r="J891" s="155"/>
      <c r="K891" s="146"/>
    </row>
    <row r="892">
      <c r="A892" s="154"/>
      <c r="B892" s="155"/>
      <c r="C892" s="155"/>
      <c r="D892" s="156" t="s">
        <v>1070</v>
      </c>
      <c r="E892" s="156" t="s">
        <v>1071</v>
      </c>
      <c r="F892" s="155"/>
      <c r="G892" s="157" t="n">
        <v>47.268</v>
      </c>
      <c r="H892" s="155"/>
      <c r="I892" s="155"/>
      <c r="J892" s="155"/>
      <c r="K892" s="146"/>
    </row>
    <row r="893">
      <c r="A893" s="154"/>
      <c r="B893" s="155"/>
      <c r="C893" s="155"/>
      <c r="D893" s="156" t="s">
        <v>1542</v>
      </c>
      <c r="E893" s="156" t="s">
        <v>1073</v>
      </c>
      <c r="F893" s="155"/>
      <c r="G893" s="157" t="n">
        <v>28.89</v>
      </c>
      <c r="H893" s="155"/>
      <c r="I893" s="155"/>
      <c r="J893" s="155"/>
      <c r="K893" s="146"/>
    </row>
    <row r="894">
      <c r="A894" s="9" t="s">
        <v>1543</v>
      </c>
      <c r="B894" s="10" t="s">
        <v>84</v>
      </c>
      <c r="C894" s="10" t="s">
        <v>1544</v>
      </c>
      <c r="D894" s="14" t="s">
        <v>1545</v>
      </c>
      <c r="E894" s="10"/>
      <c r="F894" s="10" t="s">
        <v>282</v>
      </c>
      <c r="G894" s="111">
        <f>'Stavební rozpočet'!G894</f>
      </c>
      <c r="H894" s="111">
        <f>'Stavební rozpočet'!H894</f>
      </c>
      <c r="I894" s="111">
        <f>G894*H894</f>
      </c>
      <c r="J894" s="153" t="s">
        <v>134</v>
      </c>
      <c r="K894" s="146"/>
      <c r="Z894" s="111">
        <f>IF(AQ894="5",BJ894,0)</f>
      </c>
      <c r="AB894" s="111">
        <f>IF(AQ894="1",BH894,0)</f>
      </c>
      <c r="AC894" s="111">
        <f>IF(AQ894="1",BI894,0)</f>
      </c>
      <c r="AD894" s="111">
        <f>IF(AQ894="7",BH894,0)</f>
      </c>
      <c r="AE894" s="111">
        <f>IF(AQ894="7",BI894,0)</f>
      </c>
      <c r="AF894" s="111">
        <f>IF(AQ894="2",BH894,0)</f>
      </c>
      <c r="AG894" s="111">
        <f>IF(AQ894="2",BI894,0)</f>
      </c>
      <c r="AH894" s="111">
        <f>IF(AQ894="0",BJ894,0)</f>
      </c>
      <c r="AI894" s="132" t="s">
        <v>84</v>
      </c>
      <c r="AJ894" s="111">
        <f>IF(AN894=0,I894,0)</f>
      </c>
      <c r="AK894" s="111">
        <f>IF(AN894=12,I894,0)</f>
      </c>
      <c r="AL894" s="111">
        <f>IF(AN894=21,I894,0)</f>
      </c>
      <c r="AN894" s="111" t="n">
        <v>21</v>
      </c>
      <c r="AO894" s="111">
        <f>H894*0.238697674</f>
      </c>
      <c r="AP894" s="111">
        <f>H894*(1-0.238697674)</f>
      </c>
      <c r="AQ894" s="153" t="s">
        <v>130</v>
      </c>
      <c r="AV894" s="111">
        <f>AW894+AX894</f>
      </c>
      <c r="AW894" s="111">
        <f>G894*AO894</f>
      </c>
      <c r="AX894" s="111">
        <f>G894*AP894</f>
      </c>
      <c r="AY894" s="153" t="s">
        <v>1530</v>
      </c>
      <c r="AZ894" s="153" t="s">
        <v>1326</v>
      </c>
      <c r="BA894" s="132" t="s">
        <v>137</v>
      </c>
      <c r="BC894" s="111">
        <f>AW894+AX894</f>
      </c>
      <c r="BD894" s="111">
        <f>H894/(100-BE894)*100</f>
      </c>
      <c r="BE894" s="111" t="n">
        <v>0</v>
      </c>
      <c r="BF894" s="111">
        <f>894</f>
      </c>
      <c r="BH894" s="111">
        <f>G894*AO894</f>
      </c>
      <c r="BI894" s="111">
        <f>G894*AP894</f>
      </c>
      <c r="BJ894" s="111">
        <f>G894*H894</f>
      </c>
      <c r="BK894" s="111"/>
      <c r="BL894" s="111" t="n">
        <v>97</v>
      </c>
      <c r="BW894" s="111" t="n">
        <v>21</v>
      </c>
      <c r="BX894" s="14" t="s">
        <v>1545</v>
      </c>
    </row>
    <row r="895">
      <c r="A895" s="154"/>
      <c r="B895" s="155"/>
      <c r="C895" s="155"/>
      <c r="D895" s="156" t="s">
        <v>874</v>
      </c>
      <c r="E895" s="156" t="s">
        <v>862</v>
      </c>
      <c r="F895" s="155"/>
      <c r="G895" s="157" t="n">
        <v>2.1</v>
      </c>
      <c r="H895" s="155"/>
      <c r="I895" s="155"/>
      <c r="J895" s="155"/>
      <c r="K895" s="146"/>
    </row>
    <row r="896">
      <c r="A896" s="154"/>
      <c r="B896" s="155"/>
      <c r="C896" s="155"/>
      <c r="D896" s="156" t="s">
        <v>1546</v>
      </c>
      <c r="E896" s="156" t="s">
        <v>933</v>
      </c>
      <c r="F896" s="155"/>
      <c r="G896" s="157" t="n">
        <v>1.8</v>
      </c>
      <c r="H896" s="155"/>
      <c r="I896" s="155"/>
      <c r="J896" s="155"/>
      <c r="K896" s="146"/>
    </row>
    <row r="897">
      <c r="A897" s="9" t="s">
        <v>1547</v>
      </c>
      <c r="B897" s="10" t="s">
        <v>84</v>
      </c>
      <c r="C897" s="10" t="s">
        <v>1548</v>
      </c>
      <c r="D897" s="14" t="s">
        <v>1549</v>
      </c>
      <c r="E897" s="10"/>
      <c r="F897" s="10" t="s">
        <v>145</v>
      </c>
      <c r="G897" s="111">
        <f>'Stavební rozpočet'!G897</f>
      </c>
      <c r="H897" s="111">
        <f>'Stavební rozpočet'!H897</f>
      </c>
      <c r="I897" s="111">
        <f>G897*H897</f>
      </c>
      <c r="J897" s="153" t="s">
        <v>134</v>
      </c>
      <c r="K897" s="146"/>
      <c r="Z897" s="111">
        <f>IF(AQ897="5",BJ897,0)</f>
      </c>
      <c r="AB897" s="111">
        <f>IF(AQ897="1",BH897,0)</f>
      </c>
      <c r="AC897" s="111">
        <f>IF(AQ897="1",BI897,0)</f>
      </c>
      <c r="AD897" s="111">
        <f>IF(AQ897="7",BH897,0)</f>
      </c>
      <c r="AE897" s="111">
        <f>IF(AQ897="7",BI897,0)</f>
      </c>
      <c r="AF897" s="111">
        <f>IF(AQ897="2",BH897,0)</f>
      </c>
      <c r="AG897" s="111">
        <f>IF(AQ897="2",BI897,0)</f>
      </c>
      <c r="AH897" s="111">
        <f>IF(AQ897="0",BJ897,0)</f>
      </c>
      <c r="AI897" s="132" t="s">
        <v>84</v>
      </c>
      <c r="AJ897" s="111">
        <f>IF(AN897=0,I897,0)</f>
      </c>
      <c r="AK897" s="111">
        <f>IF(AN897=12,I897,0)</f>
      </c>
      <c r="AL897" s="111">
        <f>IF(AN897=21,I897,0)</f>
      </c>
      <c r="AN897" s="111" t="n">
        <v>21</v>
      </c>
      <c r="AO897" s="111">
        <f>H897*0.24959685</f>
      </c>
      <c r="AP897" s="111">
        <f>H897*(1-0.24959685)</f>
      </c>
      <c r="AQ897" s="153" t="s">
        <v>130</v>
      </c>
      <c r="AV897" s="111">
        <f>AW897+AX897</f>
      </c>
      <c r="AW897" s="111">
        <f>G897*AO897</f>
      </c>
      <c r="AX897" s="111">
        <f>G897*AP897</f>
      </c>
      <c r="AY897" s="153" t="s">
        <v>1530</v>
      </c>
      <c r="AZ897" s="153" t="s">
        <v>1326</v>
      </c>
      <c r="BA897" s="132" t="s">
        <v>137</v>
      </c>
      <c r="BC897" s="111">
        <f>AW897+AX897</f>
      </c>
      <c r="BD897" s="111">
        <f>H897/(100-BE897)*100</f>
      </c>
      <c r="BE897" s="111" t="n">
        <v>0</v>
      </c>
      <c r="BF897" s="111">
        <f>897</f>
      </c>
      <c r="BH897" s="111">
        <f>G897*AO897</f>
      </c>
      <c r="BI897" s="111">
        <f>G897*AP897</f>
      </c>
      <c r="BJ897" s="111">
        <f>G897*H897</f>
      </c>
      <c r="BK897" s="111"/>
      <c r="BL897" s="111" t="n">
        <v>97</v>
      </c>
      <c r="BW897" s="111" t="n">
        <v>21</v>
      </c>
      <c r="BX897" s="14" t="s">
        <v>1549</v>
      </c>
    </row>
    <row r="898" customHeight="true" ht="13.5">
      <c r="A898" s="159"/>
      <c r="C898" s="160" t="s">
        <v>146</v>
      </c>
      <c r="D898" s="161" t="s">
        <v>1550</v>
      </c>
      <c r="E898" s="156"/>
      <c r="F898" s="156"/>
      <c r="G898" s="156"/>
      <c r="H898" s="156"/>
      <c r="I898" s="156"/>
      <c r="J898" s="156"/>
      <c r="K898" s="163"/>
    </row>
    <row r="899">
      <c r="A899" s="154"/>
      <c r="B899" s="155"/>
      <c r="C899" s="155"/>
      <c r="D899" s="156" t="s">
        <v>1551</v>
      </c>
      <c r="E899" s="156" t="s">
        <v>933</v>
      </c>
      <c r="F899" s="155"/>
      <c r="G899" s="157" t="n">
        <v>15.24585</v>
      </c>
      <c r="H899" s="155"/>
      <c r="I899" s="155"/>
      <c r="J899" s="155"/>
      <c r="K899" s="146"/>
    </row>
    <row r="900">
      <c r="A900" s="147" t="s">
        <v>4</v>
      </c>
      <c r="B900" s="148" t="s">
        <v>84</v>
      </c>
      <c r="C900" s="148" t="s">
        <v>793</v>
      </c>
      <c r="D900" s="149" t="s">
        <v>1552</v>
      </c>
      <c r="E900" s="148"/>
      <c r="F900" s="150" t="s">
        <v>79</v>
      </c>
      <c r="G900" s="150" t="s">
        <v>79</v>
      </c>
      <c r="H900" s="150" t="s">
        <v>79</v>
      </c>
      <c r="I900" s="117">
        <f>SUM(I901:I901)</f>
      </c>
      <c r="J900" s="132" t="s">
        <v>4</v>
      </c>
      <c r="K900" s="146"/>
      <c r="AI900" s="132" t="s">
        <v>84</v>
      </c>
      <c r="AS900" s="117">
        <f>SUM(AJ901:AJ901)</f>
      </c>
      <c r="AT900" s="117">
        <f>SUM(AK901:AK901)</f>
      </c>
      <c r="AU900" s="117">
        <f>SUM(AL901:AL901)</f>
      </c>
    </row>
    <row r="901">
      <c r="A901" s="9" t="s">
        <v>1553</v>
      </c>
      <c r="B901" s="10" t="s">
        <v>84</v>
      </c>
      <c r="C901" s="10" t="s">
        <v>1554</v>
      </c>
      <c r="D901" s="14" t="s">
        <v>1555</v>
      </c>
      <c r="E901" s="10"/>
      <c r="F901" s="10" t="s">
        <v>159</v>
      </c>
      <c r="G901" s="111">
        <f>'Stavební rozpočet'!G901</f>
      </c>
      <c r="H901" s="111">
        <f>'Stavební rozpočet'!H901</f>
      </c>
      <c r="I901" s="111">
        <f>G901*H901</f>
      </c>
      <c r="J901" s="153" t="s">
        <v>134</v>
      </c>
      <c r="K901" s="146"/>
      <c r="Z901" s="111">
        <f>IF(AQ901="5",BJ901,0)</f>
      </c>
      <c r="AB901" s="111">
        <f>IF(AQ901="1",BH901,0)</f>
      </c>
      <c r="AC901" s="111">
        <f>IF(AQ901="1",BI901,0)</f>
      </c>
      <c r="AD901" s="111">
        <f>IF(AQ901="7",BH901,0)</f>
      </c>
      <c r="AE901" s="111">
        <f>IF(AQ901="7",BI901,0)</f>
      </c>
      <c r="AF901" s="111">
        <f>IF(AQ901="2",BH901,0)</f>
      </c>
      <c r="AG901" s="111">
        <f>IF(AQ901="2",BI901,0)</f>
      </c>
      <c r="AH901" s="111">
        <f>IF(AQ901="0",BJ901,0)</f>
      </c>
      <c r="AI901" s="132" t="s">
        <v>84</v>
      </c>
      <c r="AJ901" s="111">
        <f>IF(AN901=0,I901,0)</f>
      </c>
      <c r="AK901" s="111">
        <f>IF(AN901=12,I901,0)</f>
      </c>
      <c r="AL901" s="111">
        <f>IF(AN901=21,I901,0)</f>
      </c>
      <c r="AN901" s="111" t="n">
        <v>21</v>
      </c>
      <c r="AO901" s="111">
        <f>H901*0.009764706</f>
      </c>
      <c r="AP901" s="111">
        <f>H901*(1-0.009764706)</f>
      </c>
      <c r="AQ901" s="153" t="s">
        <v>130</v>
      </c>
      <c r="AV901" s="111">
        <f>AW901+AX901</f>
      </c>
      <c r="AW901" s="111">
        <f>G901*AO901</f>
      </c>
      <c r="AX901" s="111">
        <f>G901*AP901</f>
      </c>
      <c r="AY901" s="153" t="s">
        <v>1556</v>
      </c>
      <c r="AZ901" s="153" t="s">
        <v>1326</v>
      </c>
      <c r="BA901" s="132" t="s">
        <v>137</v>
      </c>
      <c r="BC901" s="111">
        <f>AW901+AX901</f>
      </c>
      <c r="BD901" s="111">
        <f>H901/(100-BE901)*100</f>
      </c>
      <c r="BE901" s="111" t="n">
        <v>0</v>
      </c>
      <c r="BF901" s="111">
        <f>901</f>
      </c>
      <c r="BH901" s="111">
        <f>G901*AO901</f>
      </c>
      <c r="BI901" s="111">
        <f>G901*AP901</f>
      </c>
      <c r="BJ901" s="111">
        <f>G901*H901</f>
      </c>
      <c r="BK901" s="111"/>
      <c r="BL901" s="111" t="n">
        <v>98</v>
      </c>
      <c r="BW901" s="111" t="n">
        <v>21</v>
      </c>
      <c r="BX901" s="14" t="s">
        <v>1555</v>
      </c>
    </row>
    <row r="902" customHeight="true" ht="13.5">
      <c r="A902" s="159"/>
      <c r="C902" s="160" t="s">
        <v>146</v>
      </c>
      <c r="D902" s="161" t="s">
        <v>1557</v>
      </c>
      <c r="E902" s="156"/>
      <c r="F902" s="156"/>
      <c r="G902" s="156"/>
      <c r="H902" s="156"/>
      <c r="I902" s="156"/>
      <c r="J902" s="156"/>
      <c r="K902" s="163"/>
    </row>
    <row r="903">
      <c r="A903" s="154"/>
      <c r="B903" s="155"/>
      <c r="C903" s="155"/>
      <c r="D903" s="156" t="s">
        <v>1558</v>
      </c>
      <c r="E903" s="156" t="s">
        <v>1559</v>
      </c>
      <c r="F903" s="155"/>
      <c r="G903" s="157" t="n">
        <v>23.9277</v>
      </c>
      <c r="H903" s="155"/>
      <c r="I903" s="155"/>
      <c r="J903" s="155"/>
      <c r="K903" s="146"/>
    </row>
    <row r="904">
      <c r="A904" s="154"/>
      <c r="B904" s="155"/>
      <c r="C904" s="155"/>
      <c r="D904" s="156" t="s">
        <v>1560</v>
      </c>
      <c r="E904" s="156" t="s">
        <v>1561</v>
      </c>
      <c r="F904" s="155"/>
      <c r="G904" s="157" t="n">
        <v>19.1</v>
      </c>
      <c r="H904" s="155"/>
      <c r="I904" s="155"/>
      <c r="J904" s="155"/>
      <c r="K904" s="146"/>
    </row>
    <row r="905">
      <c r="A905" s="154"/>
      <c r="B905" s="155"/>
      <c r="C905" s="155"/>
      <c r="D905" s="156" t="s">
        <v>1562</v>
      </c>
      <c r="E905" s="156" t="s">
        <v>1307</v>
      </c>
      <c r="F905" s="155"/>
      <c r="G905" s="157" t="n">
        <v>340.4</v>
      </c>
      <c r="H905" s="155"/>
      <c r="I905" s="155"/>
      <c r="J905" s="155"/>
      <c r="K905" s="146"/>
    </row>
    <row r="906">
      <c r="A906" s="154"/>
      <c r="B906" s="155"/>
      <c r="C906" s="155"/>
      <c r="D906" s="156" t="s">
        <v>342</v>
      </c>
      <c r="E906" s="156" t="s">
        <v>1563</v>
      </c>
      <c r="F906" s="155"/>
      <c r="G906" s="157" t="n">
        <v>30</v>
      </c>
      <c r="H906" s="155"/>
      <c r="I906" s="155"/>
      <c r="J906" s="155"/>
      <c r="K906" s="146"/>
    </row>
    <row r="907">
      <c r="A907" s="154"/>
      <c r="B907" s="155"/>
      <c r="C907" s="155"/>
      <c r="D907" s="156" t="s">
        <v>1564</v>
      </c>
      <c r="E907" s="156" t="s">
        <v>1565</v>
      </c>
      <c r="F907" s="155"/>
      <c r="G907" s="157" t="n">
        <v>57.5</v>
      </c>
      <c r="H907" s="155"/>
      <c r="I907" s="155"/>
      <c r="J907" s="155"/>
      <c r="K907" s="146"/>
    </row>
    <row r="908">
      <c r="A908" s="147" t="s">
        <v>4</v>
      </c>
      <c r="B908" s="148" t="s">
        <v>84</v>
      </c>
      <c r="C908" s="148" t="s">
        <v>1566</v>
      </c>
      <c r="D908" s="149" t="s">
        <v>1567</v>
      </c>
      <c r="E908" s="148"/>
      <c r="F908" s="150" t="s">
        <v>79</v>
      </c>
      <c r="G908" s="150" t="s">
        <v>79</v>
      </c>
      <c r="H908" s="150" t="s">
        <v>79</v>
      </c>
      <c r="I908" s="117">
        <f>SUM(I909:I928)</f>
      </c>
      <c r="J908" s="132" t="s">
        <v>4</v>
      </c>
      <c r="K908" s="146"/>
      <c r="AI908" s="132" t="s">
        <v>84</v>
      </c>
      <c r="AS908" s="117">
        <f>SUM(AJ909:AJ928)</f>
      </c>
      <c r="AT908" s="117">
        <f>SUM(AK909:AK928)</f>
      </c>
      <c r="AU908" s="117">
        <f>SUM(AL909:AL928)</f>
      </c>
    </row>
    <row r="909">
      <c r="A909" s="9" t="s">
        <v>1568</v>
      </c>
      <c r="B909" s="10" t="s">
        <v>84</v>
      </c>
      <c r="C909" s="10" t="s">
        <v>1569</v>
      </c>
      <c r="D909" s="14" t="s">
        <v>1570</v>
      </c>
      <c r="E909" s="10"/>
      <c r="F909" s="10" t="s">
        <v>229</v>
      </c>
      <c r="G909" s="111">
        <f>'Stavební rozpočet'!G909</f>
      </c>
      <c r="H909" s="111">
        <f>'Stavební rozpočet'!H909</f>
      </c>
      <c r="I909" s="111">
        <f>G909*H909</f>
      </c>
      <c r="J909" s="153" t="s">
        <v>134</v>
      </c>
      <c r="K909" s="146"/>
      <c r="Z909" s="111">
        <f>IF(AQ909="5",BJ909,0)</f>
      </c>
      <c r="AB909" s="111">
        <f>IF(AQ909="1",BH909,0)</f>
      </c>
      <c r="AC909" s="111">
        <f>IF(AQ909="1",BI909,0)</f>
      </c>
      <c r="AD909" s="111">
        <f>IF(AQ909="7",BH909,0)</f>
      </c>
      <c r="AE909" s="111">
        <f>IF(AQ909="7",BI909,0)</f>
      </c>
      <c r="AF909" s="111">
        <f>IF(AQ909="2",BH909,0)</f>
      </c>
      <c r="AG909" s="111">
        <f>IF(AQ909="2",BI909,0)</f>
      </c>
      <c r="AH909" s="111">
        <f>IF(AQ909="0",BJ909,0)</f>
      </c>
      <c r="AI909" s="132" t="s">
        <v>84</v>
      </c>
      <c r="AJ909" s="111">
        <f>IF(AN909=0,I909,0)</f>
      </c>
      <c r="AK909" s="111">
        <f>IF(AN909=12,I909,0)</f>
      </c>
      <c r="AL909" s="111">
        <f>IF(AN909=21,I909,0)</f>
      </c>
      <c r="AN909" s="111" t="n">
        <v>21</v>
      </c>
      <c r="AO909" s="111">
        <f>H909*0</f>
      </c>
      <c r="AP909" s="111">
        <f>H909*(1-0)</f>
      </c>
      <c r="AQ909" s="153" t="s">
        <v>156</v>
      </c>
      <c r="AV909" s="111">
        <f>AW909+AX909</f>
      </c>
      <c r="AW909" s="111">
        <f>G909*AO909</f>
      </c>
      <c r="AX909" s="111">
        <f>G909*AP909</f>
      </c>
      <c r="AY909" s="153" t="s">
        <v>1571</v>
      </c>
      <c r="AZ909" s="153" t="s">
        <v>1326</v>
      </c>
      <c r="BA909" s="132" t="s">
        <v>137</v>
      </c>
      <c r="BC909" s="111">
        <f>AW909+AX909</f>
      </c>
      <c r="BD909" s="111">
        <f>H909/(100-BE909)*100</f>
      </c>
      <c r="BE909" s="111" t="n">
        <v>0</v>
      </c>
      <c r="BF909" s="111">
        <f>909</f>
      </c>
      <c r="BH909" s="111">
        <f>G909*AO909</f>
      </c>
      <c r="BI909" s="111">
        <f>G909*AP909</f>
      </c>
      <c r="BJ909" s="111">
        <f>G909*H909</f>
      </c>
      <c r="BK909" s="111"/>
      <c r="BL909" s="111"/>
      <c r="BW909" s="111" t="n">
        <v>21</v>
      </c>
      <c r="BX909" s="14" t="s">
        <v>1570</v>
      </c>
    </row>
    <row r="910">
      <c r="A910" s="154"/>
      <c r="B910" s="155"/>
      <c r="C910" s="155"/>
      <c r="D910" s="156" t="s">
        <v>1572</v>
      </c>
      <c r="E910" s="156" t="s">
        <v>4</v>
      </c>
      <c r="F910" s="155"/>
      <c r="G910" s="157" t="n">
        <v>410.802</v>
      </c>
      <c r="H910" s="155"/>
      <c r="I910" s="155"/>
      <c r="J910" s="155"/>
      <c r="K910" s="146"/>
    </row>
    <row r="911">
      <c r="A911" s="9" t="s">
        <v>1573</v>
      </c>
      <c r="B911" s="10" t="s">
        <v>84</v>
      </c>
      <c r="C911" s="10" t="s">
        <v>1574</v>
      </c>
      <c r="D911" s="14" t="s">
        <v>1575</v>
      </c>
      <c r="E911" s="10"/>
      <c r="F911" s="10" t="s">
        <v>229</v>
      </c>
      <c r="G911" s="111">
        <f>'Stavební rozpočet'!G911</f>
      </c>
      <c r="H911" s="111">
        <f>'Stavební rozpočet'!H911</f>
      </c>
      <c r="I911" s="111">
        <f>G911*H911</f>
      </c>
      <c r="J911" s="153" t="s">
        <v>134</v>
      </c>
      <c r="K911" s="146"/>
      <c r="Z911" s="111">
        <f>IF(AQ911="5",BJ911,0)</f>
      </c>
      <c r="AB911" s="111">
        <f>IF(AQ911="1",BH911,0)</f>
      </c>
      <c r="AC911" s="111">
        <f>IF(AQ911="1",BI911,0)</f>
      </c>
      <c r="AD911" s="111">
        <f>IF(AQ911="7",BH911,0)</f>
      </c>
      <c r="AE911" s="111">
        <f>IF(AQ911="7",BI911,0)</f>
      </c>
      <c r="AF911" s="111">
        <f>IF(AQ911="2",BH911,0)</f>
      </c>
      <c r="AG911" s="111">
        <f>IF(AQ911="2",BI911,0)</f>
      </c>
      <c r="AH911" s="111">
        <f>IF(AQ911="0",BJ911,0)</f>
      </c>
      <c r="AI911" s="132" t="s">
        <v>84</v>
      </c>
      <c r="AJ911" s="111">
        <f>IF(AN911=0,I911,0)</f>
      </c>
      <c r="AK911" s="111">
        <f>IF(AN911=12,I911,0)</f>
      </c>
      <c r="AL911" s="111">
        <f>IF(AN911=21,I911,0)</f>
      </c>
      <c r="AN911" s="111" t="n">
        <v>21</v>
      </c>
      <c r="AO911" s="111">
        <f>H911*0</f>
      </c>
      <c r="AP911" s="111">
        <f>H911*(1-0)</f>
      </c>
      <c r="AQ911" s="153" t="s">
        <v>156</v>
      </c>
      <c r="AV911" s="111">
        <f>AW911+AX911</f>
      </c>
      <c r="AW911" s="111">
        <f>G911*AO911</f>
      </c>
      <c r="AX911" s="111">
        <f>G911*AP911</f>
      </c>
      <c r="AY911" s="153" t="s">
        <v>1571</v>
      </c>
      <c r="AZ911" s="153" t="s">
        <v>1326</v>
      </c>
      <c r="BA911" s="132" t="s">
        <v>137</v>
      </c>
      <c r="BC911" s="111">
        <f>AW911+AX911</f>
      </c>
      <c r="BD911" s="111">
        <f>H911/(100-BE911)*100</f>
      </c>
      <c r="BE911" s="111" t="n">
        <v>0</v>
      </c>
      <c r="BF911" s="111">
        <f>911</f>
      </c>
      <c r="BH911" s="111">
        <f>G911*AO911</f>
      </c>
      <c r="BI911" s="111">
        <f>G911*AP911</f>
      </c>
      <c r="BJ911" s="111">
        <f>G911*H911</f>
      </c>
      <c r="BK911" s="111"/>
      <c r="BL911" s="111"/>
      <c r="BW911" s="111" t="n">
        <v>21</v>
      </c>
      <c r="BX911" s="14" t="s">
        <v>1575</v>
      </c>
    </row>
    <row r="912">
      <c r="A912" s="154"/>
      <c r="B912" s="155"/>
      <c r="C912" s="155"/>
      <c r="D912" s="156" t="s">
        <v>1576</v>
      </c>
      <c r="E912" s="156" t="s">
        <v>4</v>
      </c>
      <c r="F912" s="155"/>
      <c r="G912" s="157" t="n">
        <v>821.604</v>
      </c>
      <c r="H912" s="155"/>
      <c r="I912" s="155"/>
      <c r="J912" s="155"/>
      <c r="K912" s="146"/>
    </row>
    <row r="913">
      <c r="A913" s="9" t="s">
        <v>1577</v>
      </c>
      <c r="B913" s="10" t="s">
        <v>84</v>
      </c>
      <c r="C913" s="10" t="s">
        <v>1578</v>
      </c>
      <c r="D913" s="14" t="s">
        <v>1579</v>
      </c>
      <c r="E913" s="10"/>
      <c r="F913" s="10" t="s">
        <v>229</v>
      </c>
      <c r="G913" s="111">
        <f>'Stavební rozpočet'!G913</f>
      </c>
      <c r="H913" s="111">
        <f>'Stavební rozpočet'!H913</f>
      </c>
      <c r="I913" s="111">
        <f>G913*H913</f>
      </c>
      <c r="J913" s="153" t="s">
        <v>134</v>
      </c>
      <c r="K913" s="146"/>
      <c r="Z913" s="111">
        <f>IF(AQ913="5",BJ913,0)</f>
      </c>
      <c r="AB913" s="111">
        <f>IF(AQ913="1",BH913,0)</f>
      </c>
      <c r="AC913" s="111">
        <f>IF(AQ913="1",BI913,0)</f>
      </c>
      <c r="AD913" s="111">
        <f>IF(AQ913="7",BH913,0)</f>
      </c>
      <c r="AE913" s="111">
        <f>IF(AQ913="7",BI913,0)</f>
      </c>
      <c r="AF913" s="111">
        <f>IF(AQ913="2",BH913,0)</f>
      </c>
      <c r="AG913" s="111">
        <f>IF(AQ913="2",BI913,0)</f>
      </c>
      <c r="AH913" s="111">
        <f>IF(AQ913="0",BJ913,0)</f>
      </c>
      <c r="AI913" s="132" t="s">
        <v>84</v>
      </c>
      <c r="AJ913" s="111">
        <f>IF(AN913=0,I913,0)</f>
      </c>
      <c r="AK913" s="111">
        <f>IF(AN913=12,I913,0)</f>
      </c>
      <c r="AL913" s="111">
        <f>IF(AN913=21,I913,0)</f>
      </c>
      <c r="AN913" s="111" t="n">
        <v>21</v>
      </c>
      <c r="AO913" s="111">
        <f>H913*0</f>
      </c>
      <c r="AP913" s="111">
        <f>H913*(1-0)</f>
      </c>
      <c r="AQ913" s="153" t="s">
        <v>156</v>
      </c>
      <c r="AV913" s="111">
        <f>AW913+AX913</f>
      </c>
      <c r="AW913" s="111">
        <f>G913*AO913</f>
      </c>
      <c r="AX913" s="111">
        <f>G913*AP913</f>
      </c>
      <c r="AY913" s="153" t="s">
        <v>1571</v>
      </c>
      <c r="AZ913" s="153" t="s">
        <v>1326</v>
      </c>
      <c r="BA913" s="132" t="s">
        <v>137</v>
      </c>
      <c r="BC913" s="111">
        <f>AW913+AX913</f>
      </c>
      <c r="BD913" s="111">
        <f>H913/(100-BE913)*100</f>
      </c>
      <c r="BE913" s="111" t="n">
        <v>0</v>
      </c>
      <c r="BF913" s="111">
        <f>913</f>
      </c>
      <c r="BH913" s="111">
        <f>G913*AO913</f>
      </c>
      <c r="BI913" s="111">
        <f>G913*AP913</f>
      </c>
      <c r="BJ913" s="111">
        <f>G913*H913</f>
      </c>
      <c r="BK913" s="111"/>
      <c r="BL913" s="111"/>
      <c r="BW913" s="111" t="n">
        <v>21</v>
      </c>
      <c r="BX913" s="14" t="s">
        <v>1579</v>
      </c>
    </row>
    <row r="914">
      <c r="A914" s="9" t="s">
        <v>1580</v>
      </c>
      <c r="B914" s="10" t="s">
        <v>84</v>
      </c>
      <c r="C914" s="10" t="s">
        <v>1581</v>
      </c>
      <c r="D914" s="14" t="s">
        <v>1582</v>
      </c>
      <c r="E914" s="10"/>
      <c r="F914" s="10" t="s">
        <v>229</v>
      </c>
      <c r="G914" s="111">
        <f>'Stavební rozpočet'!G914</f>
      </c>
      <c r="H914" s="111">
        <f>'Stavební rozpočet'!H914</f>
      </c>
      <c r="I914" s="111">
        <f>G914*H914</f>
      </c>
      <c r="J914" s="153" t="s">
        <v>134</v>
      </c>
      <c r="K914" s="146"/>
      <c r="Z914" s="111">
        <f>IF(AQ914="5",BJ914,0)</f>
      </c>
      <c r="AB914" s="111">
        <f>IF(AQ914="1",BH914,0)</f>
      </c>
      <c r="AC914" s="111">
        <f>IF(AQ914="1",BI914,0)</f>
      </c>
      <c r="AD914" s="111">
        <f>IF(AQ914="7",BH914,0)</f>
      </c>
      <c r="AE914" s="111">
        <f>IF(AQ914="7",BI914,0)</f>
      </c>
      <c r="AF914" s="111">
        <f>IF(AQ914="2",BH914,0)</f>
      </c>
      <c r="AG914" s="111">
        <f>IF(AQ914="2",BI914,0)</f>
      </c>
      <c r="AH914" s="111">
        <f>IF(AQ914="0",BJ914,0)</f>
      </c>
      <c r="AI914" s="132" t="s">
        <v>84</v>
      </c>
      <c r="AJ914" s="111">
        <f>IF(AN914=0,I914,0)</f>
      </c>
      <c r="AK914" s="111">
        <f>IF(AN914=12,I914,0)</f>
      </c>
      <c r="AL914" s="111">
        <f>IF(AN914=21,I914,0)</f>
      </c>
      <c r="AN914" s="111" t="n">
        <v>21</v>
      </c>
      <c r="AO914" s="111">
        <f>H914*0</f>
      </c>
      <c r="AP914" s="111">
        <f>H914*(1-0)</f>
      </c>
      <c r="AQ914" s="153" t="s">
        <v>156</v>
      </c>
      <c r="AV914" s="111">
        <f>AW914+AX914</f>
      </c>
      <c r="AW914" s="111">
        <f>G914*AO914</f>
      </c>
      <c r="AX914" s="111">
        <f>G914*AP914</f>
      </c>
      <c r="AY914" s="153" t="s">
        <v>1571</v>
      </c>
      <c r="AZ914" s="153" t="s">
        <v>1326</v>
      </c>
      <c r="BA914" s="132" t="s">
        <v>137</v>
      </c>
      <c r="BC914" s="111">
        <f>AW914+AX914</f>
      </c>
      <c r="BD914" s="111">
        <f>H914/(100-BE914)*100</f>
      </c>
      <c r="BE914" s="111" t="n">
        <v>0</v>
      </c>
      <c r="BF914" s="111">
        <f>914</f>
      </c>
      <c r="BH914" s="111">
        <f>G914*AO914</f>
      </c>
      <c r="BI914" s="111">
        <f>G914*AP914</f>
      </c>
      <c r="BJ914" s="111">
        <f>G914*H914</f>
      </c>
      <c r="BK914" s="111"/>
      <c r="BL914" s="111"/>
      <c r="BW914" s="111" t="n">
        <v>21</v>
      </c>
      <c r="BX914" s="14" t="s">
        <v>1582</v>
      </c>
    </row>
    <row r="915">
      <c r="A915" s="154"/>
      <c r="B915" s="155"/>
      <c r="C915" s="155"/>
      <c r="D915" s="156" t="s">
        <v>1583</v>
      </c>
      <c r="E915" s="156" t="s">
        <v>4</v>
      </c>
      <c r="F915" s="155"/>
      <c r="G915" s="157" t="n">
        <v>3697.2</v>
      </c>
      <c r="H915" s="155"/>
      <c r="I915" s="155"/>
      <c r="J915" s="155"/>
      <c r="K915" s="146"/>
    </row>
    <row r="916">
      <c r="A916" s="9" t="s">
        <v>1584</v>
      </c>
      <c r="B916" s="10" t="s">
        <v>84</v>
      </c>
      <c r="C916" s="10" t="s">
        <v>1585</v>
      </c>
      <c r="D916" s="14" t="s">
        <v>1586</v>
      </c>
      <c r="E916" s="10"/>
      <c r="F916" s="10" t="s">
        <v>229</v>
      </c>
      <c r="G916" s="111">
        <f>'Stavební rozpočet'!G916</f>
      </c>
      <c r="H916" s="111">
        <f>'Stavební rozpočet'!H916</f>
      </c>
      <c r="I916" s="111">
        <f>G916*H916</f>
      </c>
      <c r="J916" s="153" t="s">
        <v>134</v>
      </c>
      <c r="K916" s="146"/>
      <c r="Z916" s="111">
        <f>IF(AQ916="5",BJ916,0)</f>
      </c>
      <c r="AB916" s="111">
        <f>IF(AQ916="1",BH916,0)</f>
      </c>
      <c r="AC916" s="111">
        <f>IF(AQ916="1",BI916,0)</f>
      </c>
      <c r="AD916" s="111">
        <f>IF(AQ916="7",BH916,0)</f>
      </c>
      <c r="AE916" s="111">
        <f>IF(AQ916="7",BI916,0)</f>
      </c>
      <c r="AF916" s="111">
        <f>IF(AQ916="2",BH916,0)</f>
      </c>
      <c r="AG916" s="111">
        <f>IF(AQ916="2",BI916,0)</f>
      </c>
      <c r="AH916" s="111">
        <f>IF(AQ916="0",BJ916,0)</f>
      </c>
      <c r="AI916" s="132" t="s">
        <v>84</v>
      </c>
      <c r="AJ916" s="111">
        <f>IF(AN916=0,I916,0)</f>
      </c>
      <c r="AK916" s="111">
        <f>IF(AN916=12,I916,0)</f>
      </c>
      <c r="AL916" s="111">
        <f>IF(AN916=21,I916,0)</f>
      </c>
      <c r="AN916" s="111" t="n">
        <v>21</v>
      </c>
      <c r="AO916" s="111">
        <f>H916*0</f>
      </c>
      <c r="AP916" s="111">
        <f>H916*(1-0)</f>
      </c>
      <c r="AQ916" s="153" t="s">
        <v>156</v>
      </c>
      <c r="AV916" s="111">
        <f>AW916+AX916</f>
      </c>
      <c r="AW916" s="111">
        <f>G916*AO916</f>
      </c>
      <c r="AX916" s="111">
        <f>G916*AP916</f>
      </c>
      <c r="AY916" s="153" t="s">
        <v>1571</v>
      </c>
      <c r="AZ916" s="153" t="s">
        <v>1326</v>
      </c>
      <c r="BA916" s="132" t="s">
        <v>137</v>
      </c>
      <c r="BC916" s="111">
        <f>AW916+AX916</f>
      </c>
      <c r="BD916" s="111">
        <f>H916/(100-BE916)*100</f>
      </c>
      <c r="BE916" s="111" t="n">
        <v>0</v>
      </c>
      <c r="BF916" s="111">
        <f>916</f>
      </c>
      <c r="BH916" s="111">
        <f>G916*AO916</f>
      </c>
      <c r="BI916" s="111">
        <f>G916*AP916</f>
      </c>
      <c r="BJ916" s="111">
        <f>G916*H916</f>
      </c>
      <c r="BK916" s="111"/>
      <c r="BL916" s="111"/>
      <c r="BW916" s="111" t="n">
        <v>21</v>
      </c>
      <c r="BX916" s="14" t="s">
        <v>1586</v>
      </c>
    </row>
    <row r="917">
      <c r="A917" s="9" t="s">
        <v>1587</v>
      </c>
      <c r="B917" s="10" t="s">
        <v>84</v>
      </c>
      <c r="C917" s="10" t="s">
        <v>1588</v>
      </c>
      <c r="D917" s="14" t="s">
        <v>1589</v>
      </c>
      <c r="E917" s="10"/>
      <c r="F917" s="10" t="s">
        <v>229</v>
      </c>
      <c r="G917" s="111">
        <f>'Stavební rozpočet'!G917</f>
      </c>
      <c r="H917" s="111">
        <f>'Stavební rozpočet'!H917</f>
      </c>
      <c r="I917" s="111">
        <f>G917*H917</f>
      </c>
      <c r="J917" s="153" t="s">
        <v>134</v>
      </c>
      <c r="K917" s="146"/>
      <c r="Z917" s="111">
        <f>IF(AQ917="5",BJ917,0)</f>
      </c>
      <c r="AB917" s="111">
        <f>IF(AQ917="1",BH917,0)</f>
      </c>
      <c r="AC917" s="111">
        <f>IF(AQ917="1",BI917,0)</f>
      </c>
      <c r="AD917" s="111">
        <f>IF(AQ917="7",BH917,0)</f>
      </c>
      <c r="AE917" s="111">
        <f>IF(AQ917="7",BI917,0)</f>
      </c>
      <c r="AF917" s="111">
        <f>IF(AQ917="2",BH917,0)</f>
      </c>
      <c r="AG917" s="111">
        <f>IF(AQ917="2",BI917,0)</f>
      </c>
      <c r="AH917" s="111">
        <f>IF(AQ917="0",BJ917,0)</f>
      </c>
      <c r="AI917" s="132" t="s">
        <v>84</v>
      </c>
      <c r="AJ917" s="111">
        <f>IF(AN917=0,I917,0)</f>
      </c>
      <c r="AK917" s="111">
        <f>IF(AN917=12,I917,0)</f>
      </c>
      <c r="AL917" s="111">
        <f>IF(AN917=21,I917,0)</f>
      </c>
      <c r="AN917" s="111" t="n">
        <v>21</v>
      </c>
      <c r="AO917" s="111">
        <f>H917*0</f>
      </c>
      <c r="AP917" s="111">
        <f>H917*(1-0)</f>
      </c>
      <c r="AQ917" s="153" t="s">
        <v>156</v>
      </c>
      <c r="AV917" s="111">
        <f>AW917+AX917</f>
      </c>
      <c r="AW917" s="111">
        <f>G917*AO917</f>
      </c>
      <c r="AX917" s="111">
        <f>G917*AP917</f>
      </c>
      <c r="AY917" s="153" t="s">
        <v>1571</v>
      </c>
      <c r="AZ917" s="153" t="s">
        <v>1326</v>
      </c>
      <c r="BA917" s="132" t="s">
        <v>137</v>
      </c>
      <c r="BC917" s="111">
        <f>AW917+AX917</f>
      </c>
      <c r="BD917" s="111">
        <f>H917/(100-BE917)*100</f>
      </c>
      <c r="BE917" s="111" t="n">
        <v>0</v>
      </c>
      <c r="BF917" s="111">
        <f>917</f>
      </c>
      <c r="BH917" s="111">
        <f>G917*AO917</f>
      </c>
      <c r="BI917" s="111">
        <f>G917*AP917</f>
      </c>
      <c r="BJ917" s="111">
        <f>G917*H917</f>
      </c>
      <c r="BK917" s="111"/>
      <c r="BL917" s="111"/>
      <c r="BW917" s="111" t="n">
        <v>21</v>
      </c>
      <c r="BX917" s="14" t="s">
        <v>1589</v>
      </c>
    </row>
    <row r="918" ht="24.75">
      <c r="A918" s="9" t="s">
        <v>1461</v>
      </c>
      <c r="B918" s="10" t="s">
        <v>84</v>
      </c>
      <c r="C918" s="10" t="s">
        <v>1590</v>
      </c>
      <c r="D918" s="14" t="s">
        <v>1591</v>
      </c>
      <c r="E918" s="10"/>
      <c r="F918" s="10" t="s">
        <v>229</v>
      </c>
      <c r="G918" s="111">
        <f>'Stavební rozpočet'!G918</f>
      </c>
      <c r="H918" s="111">
        <f>'Stavební rozpočet'!H918</f>
      </c>
      <c r="I918" s="111">
        <f>G918*H918</f>
      </c>
      <c r="J918" s="153" t="s">
        <v>134</v>
      </c>
      <c r="K918" s="146"/>
      <c r="Z918" s="111">
        <f>IF(AQ918="5",BJ918,0)</f>
      </c>
      <c r="AB918" s="111">
        <f>IF(AQ918="1",BH918,0)</f>
      </c>
      <c r="AC918" s="111">
        <f>IF(AQ918="1",BI918,0)</f>
      </c>
      <c r="AD918" s="111">
        <f>IF(AQ918="7",BH918,0)</f>
      </c>
      <c r="AE918" s="111">
        <f>IF(AQ918="7",BI918,0)</f>
      </c>
      <c r="AF918" s="111">
        <f>IF(AQ918="2",BH918,0)</f>
      </c>
      <c r="AG918" s="111">
        <f>IF(AQ918="2",BI918,0)</f>
      </c>
      <c r="AH918" s="111">
        <f>IF(AQ918="0",BJ918,0)</f>
      </c>
      <c r="AI918" s="132" t="s">
        <v>84</v>
      </c>
      <c r="AJ918" s="111">
        <f>IF(AN918=0,I918,0)</f>
      </c>
      <c r="AK918" s="111">
        <f>IF(AN918=12,I918,0)</f>
      </c>
      <c r="AL918" s="111">
        <f>IF(AN918=21,I918,0)</f>
      </c>
      <c r="AN918" s="111" t="n">
        <v>21</v>
      </c>
      <c r="AO918" s="111">
        <f>H918*0</f>
      </c>
      <c r="AP918" s="111">
        <f>H918*(1-0)</f>
      </c>
      <c r="AQ918" s="153" t="s">
        <v>156</v>
      </c>
      <c r="AV918" s="111">
        <f>AW918+AX918</f>
      </c>
      <c r="AW918" s="111">
        <f>G918*AO918</f>
      </c>
      <c r="AX918" s="111">
        <f>G918*AP918</f>
      </c>
      <c r="AY918" s="153" t="s">
        <v>1571</v>
      </c>
      <c r="AZ918" s="153" t="s">
        <v>1326</v>
      </c>
      <c r="BA918" s="132" t="s">
        <v>137</v>
      </c>
      <c r="BC918" s="111">
        <f>AW918+AX918</f>
      </c>
      <c r="BD918" s="111">
        <f>H918/(100-BE918)*100</f>
      </c>
      <c r="BE918" s="111" t="n">
        <v>0</v>
      </c>
      <c r="BF918" s="111">
        <f>918</f>
      </c>
      <c r="BH918" s="111">
        <f>G918*AO918</f>
      </c>
      <c r="BI918" s="111">
        <f>G918*AP918</f>
      </c>
      <c r="BJ918" s="111">
        <f>G918*H918</f>
      </c>
      <c r="BK918" s="111"/>
      <c r="BL918" s="111"/>
      <c r="BW918" s="111" t="n">
        <v>21</v>
      </c>
      <c r="BX918" s="14" t="s">
        <v>1591</v>
      </c>
    </row>
    <row r="919">
      <c r="A919" s="154"/>
      <c r="B919" s="155"/>
      <c r="C919" s="155"/>
      <c r="D919" s="156" t="s">
        <v>1592</v>
      </c>
      <c r="E919" s="156" t="s">
        <v>4</v>
      </c>
      <c r="F919" s="155"/>
      <c r="G919" s="157" t="n">
        <v>308.8102</v>
      </c>
      <c r="H919" s="155"/>
      <c r="I919" s="155"/>
      <c r="J919" s="155"/>
      <c r="K919" s="146"/>
    </row>
    <row r="920">
      <c r="A920" s="9" t="s">
        <v>1593</v>
      </c>
      <c r="B920" s="10" t="s">
        <v>84</v>
      </c>
      <c r="C920" s="10" t="s">
        <v>1594</v>
      </c>
      <c r="D920" s="14" t="s">
        <v>1595</v>
      </c>
      <c r="E920" s="10"/>
      <c r="F920" s="10" t="s">
        <v>229</v>
      </c>
      <c r="G920" s="111">
        <f>'Stavební rozpočet'!G920</f>
      </c>
      <c r="H920" s="111">
        <f>'Stavební rozpočet'!H920</f>
      </c>
      <c r="I920" s="111">
        <f>G920*H920</f>
      </c>
      <c r="J920" s="153" t="s">
        <v>134</v>
      </c>
      <c r="K920" s="146"/>
      <c r="Z920" s="111">
        <f>IF(AQ920="5",BJ920,0)</f>
      </c>
      <c r="AB920" s="111">
        <f>IF(AQ920="1",BH920,0)</f>
      </c>
      <c r="AC920" s="111">
        <f>IF(AQ920="1",BI920,0)</f>
      </c>
      <c r="AD920" s="111">
        <f>IF(AQ920="7",BH920,0)</f>
      </c>
      <c r="AE920" s="111">
        <f>IF(AQ920="7",BI920,0)</f>
      </c>
      <c r="AF920" s="111">
        <f>IF(AQ920="2",BH920,0)</f>
      </c>
      <c r="AG920" s="111">
        <f>IF(AQ920="2",BI920,0)</f>
      </c>
      <c r="AH920" s="111">
        <f>IF(AQ920="0",BJ920,0)</f>
      </c>
      <c r="AI920" s="132" t="s">
        <v>84</v>
      </c>
      <c r="AJ920" s="111">
        <f>IF(AN920=0,I920,0)</f>
      </c>
      <c r="AK920" s="111">
        <f>IF(AN920=12,I920,0)</f>
      </c>
      <c r="AL920" s="111">
        <f>IF(AN920=21,I920,0)</f>
      </c>
      <c r="AN920" s="111" t="n">
        <v>21</v>
      </c>
      <c r="AO920" s="111">
        <f>H920*0</f>
      </c>
      <c r="AP920" s="111">
        <f>H920*(1-0)</f>
      </c>
      <c r="AQ920" s="153" t="s">
        <v>156</v>
      </c>
      <c r="AV920" s="111">
        <f>AW920+AX920</f>
      </c>
      <c r="AW920" s="111">
        <f>G920*AO920</f>
      </c>
      <c r="AX920" s="111">
        <f>G920*AP920</f>
      </c>
      <c r="AY920" s="153" t="s">
        <v>1571</v>
      </c>
      <c r="AZ920" s="153" t="s">
        <v>1326</v>
      </c>
      <c r="BA920" s="132" t="s">
        <v>137</v>
      </c>
      <c r="BC920" s="111">
        <f>AW920+AX920</f>
      </c>
      <c r="BD920" s="111">
        <f>H920/(100-BE920)*100</f>
      </c>
      <c r="BE920" s="111" t="n">
        <v>0</v>
      </c>
      <c r="BF920" s="111">
        <f>920</f>
      </c>
      <c r="BH920" s="111">
        <f>G920*AO920</f>
      </c>
      <c r="BI920" s="111">
        <f>G920*AP920</f>
      </c>
      <c r="BJ920" s="111">
        <f>G920*H920</f>
      </c>
      <c r="BK920" s="111"/>
      <c r="BL920" s="111"/>
      <c r="BW920" s="111" t="n">
        <v>21</v>
      </c>
      <c r="BX920" s="14" t="s">
        <v>1595</v>
      </c>
    </row>
    <row r="921">
      <c r="A921" s="154"/>
      <c r="B921" s="155"/>
      <c r="C921" s="155"/>
      <c r="D921" s="156" t="s">
        <v>1596</v>
      </c>
      <c r="E921" s="156" t="s">
        <v>4</v>
      </c>
      <c r="F921" s="155"/>
      <c r="G921" s="157" t="n">
        <v>4.972</v>
      </c>
      <c r="H921" s="155"/>
      <c r="I921" s="155"/>
      <c r="J921" s="155"/>
      <c r="K921" s="146"/>
    </row>
    <row r="922">
      <c r="A922" s="9" t="s">
        <v>1597</v>
      </c>
      <c r="B922" s="10" t="s">
        <v>84</v>
      </c>
      <c r="C922" s="10" t="s">
        <v>227</v>
      </c>
      <c r="D922" s="14" t="s">
        <v>228</v>
      </c>
      <c r="E922" s="10"/>
      <c r="F922" s="10" t="s">
        <v>229</v>
      </c>
      <c r="G922" s="111">
        <f>'Stavební rozpočet'!G922</f>
      </c>
      <c r="H922" s="111">
        <f>'Stavební rozpočet'!H922</f>
      </c>
      <c r="I922" s="111">
        <f>G922*H922</f>
      </c>
      <c r="J922" s="153" t="s">
        <v>134</v>
      </c>
      <c r="K922" s="146"/>
      <c r="Z922" s="111">
        <f>IF(AQ922="5",BJ922,0)</f>
      </c>
      <c r="AB922" s="111">
        <f>IF(AQ922="1",BH922,0)</f>
      </c>
      <c r="AC922" s="111">
        <f>IF(AQ922="1",BI922,0)</f>
      </c>
      <c r="AD922" s="111">
        <f>IF(AQ922="7",BH922,0)</f>
      </c>
      <c r="AE922" s="111">
        <f>IF(AQ922="7",BI922,0)</f>
      </c>
      <c r="AF922" s="111">
        <f>IF(AQ922="2",BH922,0)</f>
      </c>
      <c r="AG922" s="111">
        <f>IF(AQ922="2",BI922,0)</f>
      </c>
      <c r="AH922" s="111">
        <f>IF(AQ922="0",BJ922,0)</f>
      </c>
      <c r="AI922" s="132" t="s">
        <v>84</v>
      </c>
      <c r="AJ922" s="111">
        <f>IF(AN922=0,I922,0)</f>
      </c>
      <c r="AK922" s="111">
        <f>IF(AN922=12,I922,0)</f>
      </c>
      <c r="AL922" s="111">
        <f>IF(AN922=21,I922,0)</f>
      </c>
      <c r="AN922" s="111" t="n">
        <v>21</v>
      </c>
      <c r="AO922" s="111">
        <f>H922*0</f>
      </c>
      <c r="AP922" s="111">
        <f>H922*(1-0)</f>
      </c>
      <c r="AQ922" s="153" t="s">
        <v>156</v>
      </c>
      <c r="AV922" s="111">
        <f>AW922+AX922</f>
      </c>
      <c r="AW922" s="111">
        <f>G922*AO922</f>
      </c>
      <c r="AX922" s="111">
        <f>G922*AP922</f>
      </c>
      <c r="AY922" s="153" t="s">
        <v>1571</v>
      </c>
      <c r="AZ922" s="153" t="s">
        <v>1326</v>
      </c>
      <c r="BA922" s="132" t="s">
        <v>137</v>
      </c>
      <c r="BC922" s="111">
        <f>AW922+AX922</f>
      </c>
      <c r="BD922" s="111">
        <f>H922/(100-BE922)*100</f>
      </c>
      <c r="BE922" s="111" t="n">
        <v>0</v>
      </c>
      <c r="BF922" s="111">
        <f>922</f>
      </c>
      <c r="BH922" s="111">
        <f>G922*AO922</f>
      </c>
      <c r="BI922" s="111">
        <f>G922*AP922</f>
      </c>
      <c r="BJ922" s="111">
        <f>G922*H922</f>
      </c>
      <c r="BK922" s="111"/>
      <c r="BL922" s="111"/>
      <c r="BW922" s="111" t="n">
        <v>21</v>
      </c>
      <c r="BX922" s="14" t="s">
        <v>228</v>
      </c>
    </row>
    <row r="923">
      <c r="A923" s="9" t="s">
        <v>1598</v>
      </c>
      <c r="B923" s="10" t="s">
        <v>84</v>
      </c>
      <c r="C923" s="10" t="s">
        <v>1599</v>
      </c>
      <c r="D923" s="14" t="s">
        <v>1600</v>
      </c>
      <c r="E923" s="10"/>
      <c r="F923" s="10" t="s">
        <v>229</v>
      </c>
      <c r="G923" s="111">
        <f>'Stavební rozpočet'!G923</f>
      </c>
      <c r="H923" s="111">
        <f>'Stavební rozpočet'!H923</f>
      </c>
      <c r="I923" s="111">
        <f>G923*H923</f>
      </c>
      <c r="J923" s="153" t="s">
        <v>134</v>
      </c>
      <c r="K923" s="146"/>
      <c r="Z923" s="111">
        <f>IF(AQ923="5",BJ923,0)</f>
      </c>
      <c r="AB923" s="111">
        <f>IF(AQ923="1",BH923,0)</f>
      </c>
      <c r="AC923" s="111">
        <f>IF(AQ923="1",BI923,0)</f>
      </c>
      <c r="AD923" s="111">
        <f>IF(AQ923="7",BH923,0)</f>
      </c>
      <c r="AE923" s="111">
        <f>IF(AQ923="7",BI923,0)</f>
      </c>
      <c r="AF923" s="111">
        <f>IF(AQ923="2",BH923,0)</f>
      </c>
      <c r="AG923" s="111">
        <f>IF(AQ923="2",BI923,0)</f>
      </c>
      <c r="AH923" s="111">
        <f>IF(AQ923="0",BJ923,0)</f>
      </c>
      <c r="AI923" s="132" t="s">
        <v>84</v>
      </c>
      <c r="AJ923" s="111">
        <f>IF(AN923=0,I923,0)</f>
      </c>
      <c r="AK923" s="111">
        <f>IF(AN923=12,I923,0)</f>
      </c>
      <c r="AL923" s="111">
        <f>IF(AN923=21,I923,0)</f>
      </c>
      <c r="AN923" s="111" t="n">
        <v>21</v>
      </c>
      <c r="AO923" s="111">
        <f>H923*0</f>
      </c>
      <c r="AP923" s="111">
        <f>H923*(1-0)</f>
      </c>
      <c r="AQ923" s="153" t="s">
        <v>156</v>
      </c>
      <c r="AV923" s="111">
        <f>AW923+AX923</f>
      </c>
      <c r="AW923" s="111">
        <f>G923*AO923</f>
      </c>
      <c r="AX923" s="111">
        <f>G923*AP923</f>
      </c>
      <c r="AY923" s="153" t="s">
        <v>1571</v>
      </c>
      <c r="AZ923" s="153" t="s">
        <v>1326</v>
      </c>
      <c r="BA923" s="132" t="s">
        <v>137</v>
      </c>
      <c r="BC923" s="111">
        <f>AW923+AX923</f>
      </c>
      <c r="BD923" s="111">
        <f>H923/(100-BE923)*100</f>
      </c>
      <c r="BE923" s="111" t="n">
        <v>0</v>
      </c>
      <c r="BF923" s="111">
        <f>923</f>
      </c>
      <c r="BH923" s="111">
        <f>G923*AO923</f>
      </c>
      <c r="BI923" s="111">
        <f>G923*AP923</f>
      </c>
      <c r="BJ923" s="111">
        <f>G923*H923</f>
      </c>
      <c r="BK923" s="111"/>
      <c r="BL923" s="111"/>
      <c r="BW923" s="111" t="n">
        <v>21</v>
      </c>
      <c r="BX923" s="14" t="s">
        <v>1600</v>
      </c>
    </row>
    <row r="924">
      <c r="A924" s="154"/>
      <c r="B924" s="155"/>
      <c r="C924" s="155"/>
      <c r="D924" s="156" t="s">
        <v>1601</v>
      </c>
      <c r="E924" s="156" t="s">
        <v>4</v>
      </c>
      <c r="F924" s="155"/>
      <c r="G924" s="157" t="n">
        <v>0.141</v>
      </c>
      <c r="H924" s="155"/>
      <c r="I924" s="155"/>
      <c r="J924" s="155"/>
      <c r="K924" s="146"/>
    </row>
    <row r="925">
      <c r="A925" s="9" t="s">
        <v>1602</v>
      </c>
      <c r="B925" s="10" t="s">
        <v>84</v>
      </c>
      <c r="C925" s="10" t="s">
        <v>1603</v>
      </c>
      <c r="D925" s="14" t="s">
        <v>1604</v>
      </c>
      <c r="E925" s="10"/>
      <c r="F925" s="10" t="s">
        <v>229</v>
      </c>
      <c r="G925" s="111">
        <f>'Stavební rozpočet'!G925</f>
      </c>
      <c r="H925" s="111">
        <f>'Stavební rozpočet'!H925</f>
      </c>
      <c r="I925" s="111">
        <f>G925*H925</f>
      </c>
      <c r="J925" s="153" t="s">
        <v>134</v>
      </c>
      <c r="K925" s="146"/>
      <c r="Z925" s="111">
        <f>IF(AQ925="5",BJ925,0)</f>
      </c>
      <c r="AB925" s="111">
        <f>IF(AQ925="1",BH925,0)</f>
      </c>
      <c r="AC925" s="111">
        <f>IF(AQ925="1",BI925,0)</f>
      </c>
      <c r="AD925" s="111">
        <f>IF(AQ925="7",BH925,0)</f>
      </c>
      <c r="AE925" s="111">
        <f>IF(AQ925="7",BI925,0)</f>
      </c>
      <c r="AF925" s="111">
        <f>IF(AQ925="2",BH925,0)</f>
      </c>
      <c r="AG925" s="111">
        <f>IF(AQ925="2",BI925,0)</f>
      </c>
      <c r="AH925" s="111">
        <f>IF(AQ925="0",BJ925,0)</f>
      </c>
      <c r="AI925" s="132" t="s">
        <v>84</v>
      </c>
      <c r="AJ925" s="111">
        <f>IF(AN925=0,I925,0)</f>
      </c>
      <c r="AK925" s="111">
        <f>IF(AN925=12,I925,0)</f>
      </c>
      <c r="AL925" s="111">
        <f>IF(AN925=21,I925,0)</f>
      </c>
      <c r="AN925" s="111" t="n">
        <v>21</v>
      </c>
      <c r="AO925" s="111">
        <f>H925*0</f>
      </c>
      <c r="AP925" s="111">
        <f>H925*(1-0)</f>
      </c>
      <c r="AQ925" s="153" t="s">
        <v>156</v>
      </c>
      <c r="AV925" s="111">
        <f>AW925+AX925</f>
      </c>
      <c r="AW925" s="111">
        <f>G925*AO925</f>
      </c>
      <c r="AX925" s="111">
        <f>G925*AP925</f>
      </c>
      <c r="AY925" s="153" t="s">
        <v>1571</v>
      </c>
      <c r="AZ925" s="153" t="s">
        <v>1326</v>
      </c>
      <c r="BA925" s="132" t="s">
        <v>137</v>
      </c>
      <c r="BC925" s="111">
        <f>AW925+AX925</f>
      </c>
      <c r="BD925" s="111">
        <f>H925/(100-BE925)*100</f>
      </c>
      <c r="BE925" s="111" t="n">
        <v>0</v>
      </c>
      <c r="BF925" s="111">
        <f>925</f>
      </c>
      <c r="BH925" s="111">
        <f>G925*AO925</f>
      </c>
      <c r="BI925" s="111">
        <f>G925*AP925</f>
      </c>
      <c r="BJ925" s="111">
        <f>G925*H925</f>
      </c>
      <c r="BK925" s="111"/>
      <c r="BL925" s="111"/>
      <c r="BW925" s="111" t="n">
        <v>21</v>
      </c>
      <c r="BX925" s="14" t="s">
        <v>1604</v>
      </c>
    </row>
    <row r="926">
      <c r="A926" s="9" t="s">
        <v>1605</v>
      </c>
      <c r="B926" s="10" t="s">
        <v>84</v>
      </c>
      <c r="C926" s="10" t="s">
        <v>1606</v>
      </c>
      <c r="D926" s="14" t="s">
        <v>1607</v>
      </c>
      <c r="E926" s="10"/>
      <c r="F926" s="10" t="s">
        <v>229</v>
      </c>
      <c r="G926" s="111">
        <f>'Stavební rozpočet'!G926</f>
      </c>
      <c r="H926" s="111">
        <f>'Stavební rozpočet'!H926</f>
      </c>
      <c r="I926" s="111">
        <f>G926*H926</f>
      </c>
      <c r="J926" s="153" t="s">
        <v>1608</v>
      </c>
      <c r="K926" s="146"/>
      <c r="Z926" s="111">
        <f>IF(AQ926="5",BJ926,0)</f>
      </c>
      <c r="AB926" s="111">
        <f>IF(AQ926="1",BH926,0)</f>
      </c>
      <c r="AC926" s="111">
        <f>IF(AQ926="1",BI926,0)</f>
      </c>
      <c r="AD926" s="111">
        <f>IF(AQ926="7",BH926,0)</f>
      </c>
      <c r="AE926" s="111">
        <f>IF(AQ926="7",BI926,0)</f>
      </c>
      <c r="AF926" s="111">
        <f>IF(AQ926="2",BH926,0)</f>
      </c>
      <c r="AG926" s="111">
        <f>IF(AQ926="2",BI926,0)</f>
      </c>
      <c r="AH926" s="111">
        <f>IF(AQ926="0",BJ926,0)</f>
      </c>
      <c r="AI926" s="132" t="s">
        <v>84</v>
      </c>
      <c r="AJ926" s="111">
        <f>IF(AN926=0,I926,0)</f>
      </c>
      <c r="AK926" s="111">
        <f>IF(AN926=12,I926,0)</f>
      </c>
      <c r="AL926" s="111">
        <f>IF(AN926=21,I926,0)</f>
      </c>
      <c r="AN926" s="111" t="n">
        <v>21</v>
      </c>
      <c r="AO926" s="111">
        <f>H926*0</f>
      </c>
      <c r="AP926" s="111">
        <f>H926*(1-0)</f>
      </c>
      <c r="AQ926" s="153" t="s">
        <v>156</v>
      </c>
      <c r="AV926" s="111">
        <f>AW926+AX926</f>
      </c>
      <c r="AW926" s="111">
        <f>G926*AO926</f>
      </c>
      <c r="AX926" s="111">
        <f>G926*AP926</f>
      </c>
      <c r="AY926" s="153" t="s">
        <v>1571</v>
      </c>
      <c r="AZ926" s="153" t="s">
        <v>1326</v>
      </c>
      <c r="BA926" s="132" t="s">
        <v>137</v>
      </c>
      <c r="BC926" s="111">
        <f>AW926+AX926</f>
      </c>
      <c r="BD926" s="111">
        <f>H926/(100-BE926)*100</f>
      </c>
      <c r="BE926" s="111" t="n">
        <v>0</v>
      </c>
      <c r="BF926" s="111">
        <f>926</f>
      </c>
      <c r="BH926" s="111">
        <f>G926*AO926</f>
      </c>
      <c r="BI926" s="111">
        <f>G926*AP926</f>
      </c>
      <c r="BJ926" s="111">
        <f>G926*H926</f>
      </c>
      <c r="BK926" s="111"/>
      <c r="BL926" s="111"/>
      <c r="BW926" s="111" t="n">
        <v>21</v>
      </c>
      <c r="BX926" s="14" t="s">
        <v>1607</v>
      </c>
    </row>
    <row r="927">
      <c r="A927" s="159"/>
      <c r="D927" s="156" t="s">
        <v>1609</v>
      </c>
      <c r="E927" s="156" t="s">
        <v>4</v>
      </c>
      <c r="G927" s="157" t="n">
        <v>1.226</v>
      </c>
      <c r="K927" s="146"/>
    </row>
    <row r="928" ht="24.75">
      <c r="A928" s="9" t="s">
        <v>1610</v>
      </c>
      <c r="B928" s="10" t="s">
        <v>84</v>
      </c>
      <c r="C928" s="10" t="s">
        <v>1611</v>
      </c>
      <c r="D928" s="14" t="s">
        <v>1612</v>
      </c>
      <c r="E928" s="10"/>
      <c r="F928" s="10" t="s">
        <v>229</v>
      </c>
      <c r="G928" s="111">
        <f>'Stavební rozpočet'!G928</f>
      </c>
      <c r="H928" s="111">
        <f>'Stavební rozpočet'!H928</f>
      </c>
      <c r="I928" s="111">
        <f>G928*H928</f>
      </c>
      <c r="J928" s="153" t="s">
        <v>1608</v>
      </c>
      <c r="K928" s="146"/>
      <c r="Z928" s="111">
        <f>IF(AQ928="5",BJ928,0)</f>
      </c>
      <c r="AB928" s="111">
        <f>IF(AQ928="1",BH928,0)</f>
      </c>
      <c r="AC928" s="111">
        <f>IF(AQ928="1",BI928,0)</f>
      </c>
      <c r="AD928" s="111">
        <f>IF(AQ928="7",BH928,0)</f>
      </c>
      <c r="AE928" s="111">
        <f>IF(AQ928="7",BI928,0)</f>
      </c>
      <c r="AF928" s="111">
        <f>IF(AQ928="2",BH928,0)</f>
      </c>
      <c r="AG928" s="111">
        <f>IF(AQ928="2",BI928,0)</f>
      </c>
      <c r="AH928" s="111">
        <f>IF(AQ928="0",BJ928,0)</f>
      </c>
      <c r="AI928" s="132" t="s">
        <v>84</v>
      </c>
      <c r="AJ928" s="111">
        <f>IF(AN928=0,I928,0)</f>
      </c>
      <c r="AK928" s="111">
        <f>IF(AN928=12,I928,0)</f>
      </c>
      <c r="AL928" s="111">
        <f>IF(AN928=21,I928,0)</f>
      </c>
      <c r="AN928" s="111" t="n">
        <v>21</v>
      </c>
      <c r="AO928" s="111">
        <f>H928*0</f>
      </c>
      <c r="AP928" s="111">
        <f>H928*(1-0)</f>
      </c>
      <c r="AQ928" s="153" t="s">
        <v>156</v>
      </c>
      <c r="AV928" s="111">
        <f>AW928+AX928</f>
      </c>
      <c r="AW928" s="111">
        <f>G928*AO928</f>
      </c>
      <c r="AX928" s="111">
        <f>G928*AP928</f>
      </c>
      <c r="AY928" s="153" t="s">
        <v>1571</v>
      </c>
      <c r="AZ928" s="153" t="s">
        <v>1326</v>
      </c>
      <c r="BA928" s="132" t="s">
        <v>137</v>
      </c>
      <c r="BC928" s="111">
        <f>AW928+AX928</f>
      </c>
      <c r="BD928" s="111">
        <f>H928/(100-BE928)*100</f>
      </c>
      <c r="BE928" s="111" t="n">
        <v>0</v>
      </c>
      <c r="BF928" s="111">
        <f>928</f>
      </c>
      <c r="BH928" s="111">
        <f>G928*AO928</f>
      </c>
      <c r="BI928" s="111">
        <f>G928*AP928</f>
      </c>
      <c r="BJ928" s="111">
        <f>G928*H928</f>
      </c>
      <c r="BK928" s="111"/>
      <c r="BL928" s="111"/>
      <c r="BW928" s="111" t="n">
        <v>21</v>
      </c>
      <c r="BX928" s="14" t="s">
        <v>1612</v>
      </c>
    </row>
    <row r="929">
      <c r="A929" s="159"/>
      <c r="D929" s="156" t="s">
        <v>1613</v>
      </c>
      <c r="E929" s="156" t="s">
        <v>4</v>
      </c>
      <c r="G929" s="157" t="n">
        <v>83.153</v>
      </c>
      <c r="K929" s="146"/>
    </row>
    <row r="930">
      <c r="A930" s="147" t="s">
        <v>4</v>
      </c>
      <c r="B930" s="148" t="s">
        <v>84</v>
      </c>
      <c r="C930" s="148" t="s">
        <v>1614</v>
      </c>
      <c r="D930" s="149" t="s">
        <v>1615</v>
      </c>
      <c r="E930" s="148"/>
      <c r="F930" s="150" t="s">
        <v>79</v>
      </c>
      <c r="G930" s="150" t="s">
        <v>79</v>
      </c>
      <c r="H930" s="150" t="s">
        <v>79</v>
      </c>
      <c r="I930" s="117">
        <f>SUM(I931:I971)</f>
      </c>
      <c r="J930" s="132" t="s">
        <v>4</v>
      </c>
      <c r="K930" s="146"/>
      <c r="AI930" s="132" t="s">
        <v>84</v>
      </c>
      <c r="AS930" s="117">
        <f>SUM(AJ931:AJ971)</f>
      </c>
      <c r="AT930" s="117">
        <f>SUM(AK931:AK971)</f>
      </c>
      <c r="AU930" s="117">
        <f>SUM(AL931:AL971)</f>
      </c>
    </row>
    <row r="931">
      <c r="A931" s="9" t="s">
        <v>1616</v>
      </c>
      <c r="B931" s="10" t="s">
        <v>84</v>
      </c>
      <c r="C931" s="10" t="s">
        <v>1617</v>
      </c>
      <c r="D931" s="14" t="s">
        <v>1618</v>
      </c>
      <c r="E931" s="10"/>
      <c r="F931" s="10" t="s">
        <v>145</v>
      </c>
      <c r="G931" s="111">
        <f>'Stavební rozpočet'!G931</f>
      </c>
      <c r="H931" s="111">
        <f>'Stavební rozpočet'!H931</f>
      </c>
      <c r="I931" s="111">
        <f>G931*H931</f>
      </c>
      <c r="J931" s="153" t="s">
        <v>134</v>
      </c>
      <c r="K931" s="146"/>
      <c r="Z931" s="111">
        <f>IF(AQ931="5",BJ931,0)</f>
      </c>
      <c r="AB931" s="111">
        <f>IF(AQ931="1",BH931,0)</f>
      </c>
      <c r="AC931" s="111">
        <f>IF(AQ931="1",BI931,0)</f>
      </c>
      <c r="AD931" s="111">
        <f>IF(AQ931="7",BH931,0)</f>
      </c>
      <c r="AE931" s="111">
        <f>IF(AQ931="7",BI931,0)</f>
      </c>
      <c r="AF931" s="111">
        <f>IF(AQ931="2",BH931,0)</f>
      </c>
      <c r="AG931" s="111">
        <f>IF(AQ931="2",BI931,0)</f>
      </c>
      <c r="AH931" s="111">
        <f>IF(AQ931="0",BJ931,0)</f>
      </c>
      <c r="AI931" s="132" t="s">
        <v>84</v>
      </c>
      <c r="AJ931" s="111">
        <f>IF(AN931=0,I931,0)</f>
      </c>
      <c r="AK931" s="111">
        <f>IF(AN931=12,I931,0)</f>
      </c>
      <c r="AL931" s="111">
        <f>IF(AN931=21,I931,0)</f>
      </c>
      <c r="AN931" s="111" t="n">
        <v>21</v>
      </c>
      <c r="AO931" s="111">
        <f>H931*0.726204239</f>
      </c>
      <c r="AP931" s="111">
        <f>H931*(1-0.726204239)</f>
      </c>
      <c r="AQ931" s="153" t="s">
        <v>173</v>
      </c>
      <c r="AV931" s="111">
        <f>AW931+AX931</f>
      </c>
      <c r="AW931" s="111">
        <f>G931*AO931</f>
      </c>
      <c r="AX931" s="111">
        <f>G931*AP931</f>
      </c>
      <c r="AY931" s="153" t="s">
        <v>1619</v>
      </c>
      <c r="AZ931" s="153" t="s">
        <v>1620</v>
      </c>
      <c r="BA931" s="132" t="s">
        <v>137</v>
      </c>
      <c r="BC931" s="111">
        <f>AW931+AX931</f>
      </c>
      <c r="BD931" s="111">
        <f>H931/(100-BE931)*100</f>
      </c>
      <c r="BE931" s="111" t="n">
        <v>0</v>
      </c>
      <c r="BF931" s="111">
        <f>931</f>
      </c>
      <c r="BH931" s="111">
        <f>G931*AO931</f>
      </c>
      <c r="BI931" s="111">
        <f>G931*AP931</f>
      </c>
      <c r="BJ931" s="111">
        <f>G931*H931</f>
      </c>
      <c r="BK931" s="111"/>
      <c r="BL931" s="111" t="n">
        <v>711</v>
      </c>
      <c r="BW931" s="111" t="n">
        <v>21</v>
      </c>
      <c r="BX931" s="14" t="s">
        <v>1618</v>
      </c>
    </row>
    <row r="932" customHeight="true" ht="13.5">
      <c r="A932" s="159"/>
      <c r="C932" s="160" t="s">
        <v>146</v>
      </c>
      <c r="D932" s="161" t="s">
        <v>1621</v>
      </c>
      <c r="E932" s="156"/>
      <c r="F932" s="156"/>
      <c r="G932" s="156"/>
      <c r="H932" s="156"/>
      <c r="I932" s="156"/>
      <c r="J932" s="156"/>
      <c r="K932" s="163"/>
    </row>
    <row r="933">
      <c r="A933" s="154"/>
      <c r="B933" s="155"/>
      <c r="C933" s="155"/>
      <c r="D933" s="156" t="s">
        <v>358</v>
      </c>
      <c r="E933" s="156" t="s">
        <v>1622</v>
      </c>
      <c r="F933" s="155"/>
      <c r="G933" s="157" t="n">
        <v>527.4</v>
      </c>
      <c r="H933" s="155"/>
      <c r="I933" s="155"/>
      <c r="J933" s="155"/>
      <c r="K933" s="146"/>
    </row>
    <row r="934">
      <c r="A934" s="9" t="s">
        <v>1623</v>
      </c>
      <c r="B934" s="10" t="s">
        <v>84</v>
      </c>
      <c r="C934" s="10" t="s">
        <v>1624</v>
      </c>
      <c r="D934" s="14" t="s">
        <v>1625</v>
      </c>
      <c r="E934" s="10"/>
      <c r="F934" s="10" t="s">
        <v>145</v>
      </c>
      <c r="G934" s="111">
        <f>'Stavební rozpočet'!G934</f>
      </c>
      <c r="H934" s="111">
        <f>'Stavební rozpočet'!H934</f>
      </c>
      <c r="I934" s="111">
        <f>G934*H934</f>
      </c>
      <c r="J934" s="153" t="s">
        <v>134</v>
      </c>
      <c r="K934" s="146"/>
      <c r="Z934" s="111">
        <f>IF(AQ934="5",BJ934,0)</f>
      </c>
      <c r="AB934" s="111">
        <f>IF(AQ934="1",BH934,0)</f>
      </c>
      <c r="AC934" s="111">
        <f>IF(AQ934="1",BI934,0)</f>
      </c>
      <c r="AD934" s="111">
        <f>IF(AQ934="7",BH934,0)</f>
      </c>
      <c r="AE934" s="111">
        <f>IF(AQ934="7",BI934,0)</f>
      </c>
      <c r="AF934" s="111">
        <f>IF(AQ934="2",BH934,0)</f>
      </c>
      <c r="AG934" s="111">
        <f>IF(AQ934="2",BI934,0)</f>
      </c>
      <c r="AH934" s="111">
        <f>IF(AQ934="0",BJ934,0)</f>
      </c>
      <c r="AI934" s="132" t="s">
        <v>84</v>
      </c>
      <c r="AJ934" s="111">
        <f>IF(AN934=0,I934,0)</f>
      </c>
      <c r="AK934" s="111">
        <f>IF(AN934=12,I934,0)</f>
      </c>
      <c r="AL934" s="111">
        <f>IF(AN934=21,I934,0)</f>
      </c>
      <c r="AN934" s="111" t="n">
        <v>21</v>
      </c>
      <c r="AO934" s="111">
        <f>H934*0.081081081</f>
      </c>
      <c r="AP934" s="111">
        <f>H934*(1-0.081081081)</f>
      </c>
      <c r="AQ934" s="153" t="s">
        <v>173</v>
      </c>
      <c r="AV934" s="111">
        <f>AW934+AX934</f>
      </c>
      <c r="AW934" s="111">
        <f>G934*AO934</f>
      </c>
      <c r="AX934" s="111">
        <f>G934*AP934</f>
      </c>
      <c r="AY934" s="153" t="s">
        <v>1619</v>
      </c>
      <c r="AZ934" s="153" t="s">
        <v>1620</v>
      </c>
      <c r="BA934" s="132" t="s">
        <v>137</v>
      </c>
      <c r="BC934" s="111">
        <f>AW934+AX934</f>
      </c>
      <c r="BD934" s="111">
        <f>H934/(100-BE934)*100</f>
      </c>
      <c r="BE934" s="111" t="n">
        <v>0</v>
      </c>
      <c r="BF934" s="111">
        <f>934</f>
      </c>
      <c r="BH934" s="111">
        <f>G934*AO934</f>
      </c>
      <c r="BI934" s="111">
        <f>G934*AP934</f>
      </c>
      <c r="BJ934" s="111">
        <f>G934*H934</f>
      </c>
      <c r="BK934" s="111"/>
      <c r="BL934" s="111" t="n">
        <v>711</v>
      </c>
      <c r="BW934" s="111" t="n">
        <v>21</v>
      </c>
      <c r="BX934" s="14" t="s">
        <v>1625</v>
      </c>
    </row>
    <row r="935" customHeight="true" ht="13.5">
      <c r="A935" s="159"/>
      <c r="C935" s="160" t="s">
        <v>146</v>
      </c>
      <c r="D935" s="161" t="s">
        <v>1626</v>
      </c>
      <c r="E935" s="156"/>
      <c r="F935" s="156"/>
      <c r="G935" s="156"/>
      <c r="H935" s="156"/>
      <c r="I935" s="156"/>
      <c r="J935" s="156"/>
      <c r="K935" s="163"/>
    </row>
    <row r="936">
      <c r="A936" s="154"/>
      <c r="B936" s="155"/>
      <c r="C936" s="155"/>
      <c r="D936" s="156" t="s">
        <v>358</v>
      </c>
      <c r="E936" s="156" t="s">
        <v>1622</v>
      </c>
      <c r="F936" s="155"/>
      <c r="G936" s="157" t="n">
        <v>527.4</v>
      </c>
      <c r="H936" s="155"/>
      <c r="I936" s="155"/>
      <c r="J936" s="155"/>
      <c r="K936" s="146"/>
    </row>
    <row r="937">
      <c r="A937" s="9" t="s">
        <v>1627</v>
      </c>
      <c r="B937" s="10" t="s">
        <v>84</v>
      </c>
      <c r="C937" s="10" t="s">
        <v>1628</v>
      </c>
      <c r="D937" s="14" t="s">
        <v>1629</v>
      </c>
      <c r="E937" s="10"/>
      <c r="F937" s="10" t="s">
        <v>145</v>
      </c>
      <c r="G937" s="111">
        <f>'Stavební rozpočet'!G937</f>
      </c>
      <c r="H937" s="111">
        <f>'Stavební rozpočet'!H937</f>
      </c>
      <c r="I937" s="111">
        <f>G937*H937</f>
      </c>
      <c r="J937" s="153" t="s">
        <v>134</v>
      </c>
      <c r="K937" s="146"/>
      <c r="Z937" s="111">
        <f>IF(AQ937="5",BJ937,0)</f>
      </c>
      <c r="AB937" s="111">
        <f>IF(AQ937="1",BH937,0)</f>
      </c>
      <c r="AC937" s="111">
        <f>IF(AQ937="1",BI937,0)</f>
      </c>
      <c r="AD937" s="111">
        <f>IF(AQ937="7",BH937,0)</f>
      </c>
      <c r="AE937" s="111">
        <f>IF(AQ937="7",BI937,0)</f>
      </c>
      <c r="AF937" s="111">
        <f>IF(AQ937="2",BH937,0)</f>
      </c>
      <c r="AG937" s="111">
        <f>IF(AQ937="2",BI937,0)</f>
      </c>
      <c r="AH937" s="111">
        <f>IF(AQ937="0",BJ937,0)</f>
      </c>
      <c r="AI937" s="132" t="s">
        <v>84</v>
      </c>
      <c r="AJ937" s="111">
        <f>IF(AN937=0,I937,0)</f>
      </c>
      <c r="AK937" s="111">
        <f>IF(AN937=12,I937,0)</f>
      </c>
      <c r="AL937" s="111">
        <f>IF(AN937=21,I937,0)</f>
      </c>
      <c r="AN937" s="111" t="n">
        <v>21</v>
      </c>
      <c r="AO937" s="111">
        <f>H937*1</f>
      </c>
      <c r="AP937" s="111">
        <f>H937*(1-1)</f>
      </c>
      <c r="AQ937" s="153" t="s">
        <v>173</v>
      </c>
      <c r="AV937" s="111">
        <f>AW937+AX937</f>
      </c>
      <c r="AW937" s="111">
        <f>G937*AO937</f>
      </c>
      <c r="AX937" s="111">
        <f>G937*AP937</f>
      </c>
      <c r="AY937" s="153" t="s">
        <v>1619</v>
      </c>
      <c r="AZ937" s="153" t="s">
        <v>1620</v>
      </c>
      <c r="BA937" s="132" t="s">
        <v>137</v>
      </c>
      <c r="BC937" s="111">
        <f>AW937+AX937</f>
      </c>
      <c r="BD937" s="111">
        <f>H937/(100-BE937)*100</f>
      </c>
      <c r="BE937" s="111" t="n">
        <v>0</v>
      </c>
      <c r="BF937" s="111">
        <f>937</f>
      </c>
      <c r="BH937" s="111">
        <f>G937*AO937</f>
      </c>
      <c r="BI937" s="111">
        <f>G937*AP937</f>
      </c>
      <c r="BJ937" s="111">
        <f>G937*H937</f>
      </c>
      <c r="BK937" s="111"/>
      <c r="BL937" s="111" t="n">
        <v>711</v>
      </c>
      <c r="BW937" s="111" t="n">
        <v>21</v>
      </c>
      <c r="BX937" s="14" t="s">
        <v>1629</v>
      </c>
    </row>
    <row r="938">
      <c r="A938" s="154"/>
      <c r="B938" s="155"/>
      <c r="C938" s="155"/>
      <c r="D938" s="156" t="s">
        <v>358</v>
      </c>
      <c r="E938" s="156" t="s">
        <v>1622</v>
      </c>
      <c r="F938" s="155"/>
      <c r="G938" s="157" t="n">
        <v>527.4</v>
      </c>
      <c r="H938" s="155"/>
      <c r="I938" s="155"/>
      <c r="J938" s="155"/>
      <c r="K938" s="146"/>
    </row>
    <row r="939">
      <c r="A939" s="154"/>
      <c r="B939" s="155"/>
      <c r="C939" s="155"/>
      <c r="D939" s="156" t="s">
        <v>1630</v>
      </c>
      <c r="E939" s="156" t="s">
        <v>674</v>
      </c>
      <c r="F939" s="155"/>
      <c r="G939" s="157" t="n">
        <v>79.11</v>
      </c>
      <c r="H939" s="155"/>
      <c r="I939" s="155"/>
      <c r="J939" s="155"/>
      <c r="K939" s="146"/>
    </row>
    <row r="940">
      <c r="A940" s="9" t="s">
        <v>1631</v>
      </c>
      <c r="B940" s="10" t="s">
        <v>84</v>
      </c>
      <c r="C940" s="10" t="s">
        <v>1632</v>
      </c>
      <c r="D940" s="14" t="s">
        <v>1633</v>
      </c>
      <c r="E940" s="10"/>
      <c r="F940" s="10" t="s">
        <v>145</v>
      </c>
      <c r="G940" s="111">
        <f>'Stavební rozpočet'!G940</f>
      </c>
      <c r="H940" s="111">
        <f>'Stavební rozpočet'!H940</f>
      </c>
      <c r="I940" s="111">
        <f>G940*H940</f>
      </c>
      <c r="J940" s="153" t="s">
        <v>134</v>
      </c>
      <c r="K940" s="146"/>
      <c r="Z940" s="111">
        <f>IF(AQ940="5",BJ940,0)</f>
      </c>
      <c r="AB940" s="111">
        <f>IF(AQ940="1",BH940,0)</f>
      </c>
      <c r="AC940" s="111">
        <f>IF(AQ940="1",BI940,0)</f>
      </c>
      <c r="AD940" s="111">
        <f>IF(AQ940="7",BH940,0)</f>
      </c>
      <c r="AE940" s="111">
        <f>IF(AQ940="7",BI940,0)</f>
      </c>
      <c r="AF940" s="111">
        <f>IF(AQ940="2",BH940,0)</f>
      </c>
      <c r="AG940" s="111">
        <f>IF(AQ940="2",BI940,0)</f>
      </c>
      <c r="AH940" s="111">
        <f>IF(AQ940="0",BJ940,0)</f>
      </c>
      <c r="AI940" s="132" t="s">
        <v>84</v>
      </c>
      <c r="AJ940" s="111">
        <f>IF(AN940=0,I940,0)</f>
      </c>
      <c r="AK940" s="111">
        <f>IF(AN940=12,I940,0)</f>
      </c>
      <c r="AL940" s="111">
        <f>IF(AN940=21,I940,0)</f>
      </c>
      <c r="AN940" s="111" t="n">
        <v>21</v>
      </c>
      <c r="AO940" s="111">
        <f>H940*0.642550133</f>
      </c>
      <c r="AP940" s="111">
        <f>H940*(1-0.642550133)</f>
      </c>
      <c r="AQ940" s="153" t="s">
        <v>173</v>
      </c>
      <c r="AV940" s="111">
        <f>AW940+AX940</f>
      </c>
      <c r="AW940" s="111">
        <f>G940*AO940</f>
      </c>
      <c r="AX940" s="111">
        <f>G940*AP940</f>
      </c>
      <c r="AY940" s="153" t="s">
        <v>1619</v>
      </c>
      <c r="AZ940" s="153" t="s">
        <v>1620</v>
      </c>
      <c r="BA940" s="132" t="s">
        <v>137</v>
      </c>
      <c r="BC940" s="111">
        <f>AW940+AX940</f>
      </c>
      <c r="BD940" s="111">
        <f>H940/(100-BE940)*100</f>
      </c>
      <c r="BE940" s="111" t="n">
        <v>0</v>
      </c>
      <c r="BF940" s="111">
        <f>940</f>
      </c>
      <c r="BH940" s="111">
        <f>G940*AO940</f>
      </c>
      <c r="BI940" s="111">
        <f>G940*AP940</f>
      </c>
      <c r="BJ940" s="111">
        <f>G940*H940</f>
      </c>
      <c r="BK940" s="111"/>
      <c r="BL940" s="111" t="n">
        <v>711</v>
      </c>
      <c r="BW940" s="111" t="n">
        <v>21</v>
      </c>
      <c r="BX940" s="14" t="s">
        <v>1633</v>
      </c>
    </row>
    <row r="941" customHeight="true" ht="13.5">
      <c r="A941" s="159"/>
      <c r="C941" s="160" t="s">
        <v>146</v>
      </c>
      <c r="D941" s="161" t="s">
        <v>1634</v>
      </c>
      <c r="E941" s="156"/>
      <c r="F941" s="156"/>
      <c r="G941" s="156"/>
      <c r="H941" s="156"/>
      <c r="I941" s="156"/>
      <c r="J941" s="156"/>
      <c r="K941" s="163"/>
    </row>
    <row r="942">
      <c r="A942" s="154"/>
      <c r="B942" s="155"/>
      <c r="C942" s="155"/>
      <c r="D942" s="156" t="s">
        <v>4</v>
      </c>
      <c r="E942" s="156" t="s">
        <v>1635</v>
      </c>
      <c r="F942" s="155"/>
      <c r="G942" s="157" t="n">
        <v>0</v>
      </c>
      <c r="H942" s="155"/>
      <c r="I942" s="155"/>
      <c r="J942" s="155"/>
      <c r="K942" s="146"/>
    </row>
    <row r="943">
      <c r="A943" s="154"/>
      <c r="B943" s="155"/>
      <c r="C943" s="155"/>
      <c r="D943" s="156" t="s">
        <v>1636</v>
      </c>
      <c r="E943" s="156" t="s">
        <v>1046</v>
      </c>
      <c r="F943" s="155"/>
      <c r="G943" s="157" t="n">
        <v>32.325</v>
      </c>
      <c r="H943" s="155"/>
      <c r="I943" s="155"/>
      <c r="J943" s="155"/>
      <c r="K943" s="146"/>
    </row>
    <row r="944">
      <c r="A944" s="154"/>
      <c r="B944" s="155"/>
      <c r="C944" s="155"/>
      <c r="D944" s="156" t="s">
        <v>1637</v>
      </c>
      <c r="E944" s="156" t="s">
        <v>1048</v>
      </c>
      <c r="F944" s="155"/>
      <c r="G944" s="157" t="n">
        <v>65.17</v>
      </c>
      <c r="H944" s="155"/>
      <c r="I944" s="155"/>
      <c r="J944" s="155"/>
      <c r="K944" s="146"/>
    </row>
    <row r="945">
      <c r="A945" s="154"/>
      <c r="B945" s="155"/>
      <c r="C945" s="155"/>
      <c r="D945" s="156" t="s">
        <v>1638</v>
      </c>
      <c r="E945" s="156" t="s">
        <v>1050</v>
      </c>
      <c r="F945" s="155"/>
      <c r="G945" s="157" t="n">
        <v>30.836</v>
      </c>
      <c r="H945" s="155"/>
      <c r="I945" s="155"/>
      <c r="J945" s="155"/>
      <c r="K945" s="146"/>
    </row>
    <row r="946">
      <c r="A946" s="154"/>
      <c r="B946" s="155"/>
      <c r="C946" s="155"/>
      <c r="D946" s="156" t="s">
        <v>1639</v>
      </c>
      <c r="E946" s="156" t="s">
        <v>1054</v>
      </c>
      <c r="F946" s="155"/>
      <c r="G946" s="157" t="n">
        <v>6.4</v>
      </c>
      <c r="H946" s="155"/>
      <c r="I946" s="155"/>
      <c r="J946" s="155"/>
      <c r="K946" s="146"/>
    </row>
    <row r="947">
      <c r="A947" s="154"/>
      <c r="B947" s="155"/>
      <c r="C947" s="155"/>
      <c r="D947" s="156" t="s">
        <v>1087</v>
      </c>
      <c r="E947" s="156" t="s">
        <v>1640</v>
      </c>
      <c r="F947" s="155"/>
      <c r="G947" s="157" t="n">
        <v>25.2</v>
      </c>
      <c r="H947" s="155"/>
      <c r="I947" s="155"/>
      <c r="J947" s="155"/>
      <c r="K947" s="146"/>
    </row>
    <row r="948">
      <c r="A948" s="154"/>
      <c r="B948" s="155"/>
      <c r="C948" s="155"/>
      <c r="D948" s="156" t="s">
        <v>1641</v>
      </c>
      <c r="E948" s="156" t="s">
        <v>1090</v>
      </c>
      <c r="F948" s="155"/>
      <c r="G948" s="157" t="n">
        <v>12.87</v>
      </c>
      <c r="H948" s="155"/>
      <c r="I948" s="155"/>
      <c r="J948" s="155"/>
      <c r="K948" s="146"/>
    </row>
    <row r="949">
      <c r="A949" s="9" t="s">
        <v>1642</v>
      </c>
      <c r="B949" s="10" t="s">
        <v>84</v>
      </c>
      <c r="C949" s="10" t="s">
        <v>1643</v>
      </c>
      <c r="D949" s="14" t="s">
        <v>1644</v>
      </c>
      <c r="E949" s="10"/>
      <c r="F949" s="10" t="s">
        <v>145</v>
      </c>
      <c r="G949" s="111">
        <f>'Stavební rozpočet'!G949</f>
      </c>
      <c r="H949" s="111">
        <f>'Stavební rozpočet'!H949</f>
      </c>
      <c r="I949" s="111">
        <f>G949*H949</f>
      </c>
      <c r="J949" s="153" t="s">
        <v>134</v>
      </c>
      <c r="K949" s="146"/>
      <c r="Z949" s="111">
        <f>IF(AQ949="5",BJ949,0)</f>
      </c>
      <c r="AB949" s="111">
        <f>IF(AQ949="1",BH949,0)</f>
      </c>
      <c r="AC949" s="111">
        <f>IF(AQ949="1",BI949,0)</f>
      </c>
      <c r="AD949" s="111">
        <f>IF(AQ949="7",BH949,0)</f>
      </c>
      <c r="AE949" s="111">
        <f>IF(AQ949="7",BI949,0)</f>
      </c>
      <c r="AF949" s="111">
        <f>IF(AQ949="2",BH949,0)</f>
      </c>
      <c r="AG949" s="111">
        <f>IF(AQ949="2",BI949,0)</f>
      </c>
      <c r="AH949" s="111">
        <f>IF(AQ949="0",BJ949,0)</f>
      </c>
      <c r="AI949" s="132" t="s">
        <v>84</v>
      </c>
      <c r="AJ949" s="111">
        <f>IF(AN949=0,I949,0)</f>
      </c>
      <c r="AK949" s="111">
        <f>IF(AN949=12,I949,0)</f>
      </c>
      <c r="AL949" s="111">
        <f>IF(AN949=21,I949,0)</f>
      </c>
      <c r="AN949" s="111" t="n">
        <v>21</v>
      </c>
      <c r="AO949" s="111">
        <f>H949*0.086389352</f>
      </c>
      <c r="AP949" s="111">
        <f>H949*(1-0.086389352)</f>
      </c>
      <c r="AQ949" s="153" t="s">
        <v>173</v>
      </c>
      <c r="AV949" s="111">
        <f>AW949+AX949</f>
      </c>
      <c r="AW949" s="111">
        <f>G949*AO949</f>
      </c>
      <c r="AX949" s="111">
        <f>G949*AP949</f>
      </c>
      <c r="AY949" s="153" t="s">
        <v>1619</v>
      </c>
      <c r="AZ949" s="153" t="s">
        <v>1620</v>
      </c>
      <c r="BA949" s="132" t="s">
        <v>137</v>
      </c>
      <c r="BC949" s="111">
        <f>AW949+AX949</f>
      </c>
      <c r="BD949" s="111">
        <f>H949/(100-BE949)*100</f>
      </c>
      <c r="BE949" s="111" t="n">
        <v>0</v>
      </c>
      <c r="BF949" s="111">
        <f>949</f>
      </c>
      <c r="BH949" s="111">
        <f>G949*AO949</f>
      </c>
      <c r="BI949" s="111">
        <f>G949*AP949</f>
      </c>
      <c r="BJ949" s="111">
        <f>G949*H949</f>
      </c>
      <c r="BK949" s="111"/>
      <c r="BL949" s="111" t="n">
        <v>711</v>
      </c>
      <c r="BW949" s="111" t="n">
        <v>21</v>
      </c>
      <c r="BX949" s="14" t="s">
        <v>1644</v>
      </c>
    </row>
    <row r="950" customHeight="true" ht="13.5">
      <c r="A950" s="159"/>
      <c r="C950" s="160" t="s">
        <v>146</v>
      </c>
      <c r="D950" s="161" t="s">
        <v>1645</v>
      </c>
      <c r="E950" s="156"/>
      <c r="F950" s="156"/>
      <c r="G950" s="156"/>
      <c r="H950" s="156"/>
      <c r="I950" s="156"/>
      <c r="J950" s="156"/>
      <c r="K950" s="163"/>
    </row>
    <row r="951">
      <c r="A951" s="154"/>
      <c r="B951" s="155"/>
      <c r="C951" s="155"/>
      <c r="D951" s="156" t="s">
        <v>4</v>
      </c>
      <c r="E951" s="156" t="s">
        <v>1635</v>
      </c>
      <c r="F951" s="155"/>
      <c r="G951" s="157" t="n">
        <v>0</v>
      </c>
      <c r="H951" s="155"/>
      <c r="I951" s="155"/>
      <c r="J951" s="155"/>
      <c r="K951" s="146"/>
    </row>
    <row r="952">
      <c r="A952" s="154"/>
      <c r="B952" s="155"/>
      <c r="C952" s="155"/>
      <c r="D952" s="156" t="s">
        <v>1636</v>
      </c>
      <c r="E952" s="156" t="s">
        <v>1046</v>
      </c>
      <c r="F952" s="155"/>
      <c r="G952" s="157" t="n">
        <v>32.325</v>
      </c>
      <c r="H952" s="155"/>
      <c r="I952" s="155"/>
      <c r="J952" s="155"/>
      <c r="K952" s="146"/>
    </row>
    <row r="953">
      <c r="A953" s="154"/>
      <c r="B953" s="155"/>
      <c r="C953" s="155"/>
      <c r="D953" s="156" t="s">
        <v>1637</v>
      </c>
      <c r="E953" s="156" t="s">
        <v>1048</v>
      </c>
      <c r="F953" s="155"/>
      <c r="G953" s="157" t="n">
        <v>65.17</v>
      </c>
      <c r="H953" s="155"/>
      <c r="I953" s="155"/>
      <c r="J953" s="155"/>
      <c r="K953" s="146"/>
    </row>
    <row r="954">
      <c r="A954" s="154"/>
      <c r="B954" s="155"/>
      <c r="C954" s="155"/>
      <c r="D954" s="156" t="s">
        <v>1638</v>
      </c>
      <c r="E954" s="156" t="s">
        <v>1050</v>
      </c>
      <c r="F954" s="155"/>
      <c r="G954" s="157" t="n">
        <v>30.836</v>
      </c>
      <c r="H954" s="155"/>
      <c r="I954" s="155"/>
      <c r="J954" s="155"/>
      <c r="K954" s="146"/>
    </row>
    <row r="955">
      <c r="A955" s="154"/>
      <c r="B955" s="155"/>
      <c r="C955" s="155"/>
      <c r="D955" s="156" t="s">
        <v>1639</v>
      </c>
      <c r="E955" s="156" t="s">
        <v>1054</v>
      </c>
      <c r="F955" s="155"/>
      <c r="G955" s="157" t="n">
        <v>6.4</v>
      </c>
      <c r="H955" s="155"/>
      <c r="I955" s="155"/>
      <c r="J955" s="155"/>
      <c r="K955" s="146"/>
    </row>
    <row r="956">
      <c r="A956" s="154"/>
      <c r="B956" s="155"/>
      <c r="C956" s="155"/>
      <c r="D956" s="156" t="s">
        <v>1087</v>
      </c>
      <c r="E956" s="156" t="s">
        <v>1640</v>
      </c>
      <c r="F956" s="155"/>
      <c r="G956" s="157" t="n">
        <v>25.2</v>
      </c>
      <c r="H956" s="155"/>
      <c r="I956" s="155"/>
      <c r="J956" s="155"/>
      <c r="K956" s="146"/>
    </row>
    <row r="957">
      <c r="A957" s="154"/>
      <c r="B957" s="155"/>
      <c r="C957" s="155"/>
      <c r="D957" s="156" t="s">
        <v>1641</v>
      </c>
      <c r="E957" s="156" t="s">
        <v>1090</v>
      </c>
      <c r="F957" s="155"/>
      <c r="G957" s="157" t="n">
        <v>12.87</v>
      </c>
      <c r="H957" s="155"/>
      <c r="I957" s="155"/>
      <c r="J957" s="155"/>
      <c r="K957" s="146"/>
    </row>
    <row r="958">
      <c r="A958" s="9" t="s">
        <v>1646</v>
      </c>
      <c r="B958" s="10" t="s">
        <v>84</v>
      </c>
      <c r="C958" s="10" t="s">
        <v>1647</v>
      </c>
      <c r="D958" s="14" t="s">
        <v>1648</v>
      </c>
      <c r="E958" s="10"/>
      <c r="F958" s="10" t="s">
        <v>145</v>
      </c>
      <c r="G958" s="111">
        <f>'Stavební rozpočet'!G958</f>
      </c>
      <c r="H958" s="111">
        <f>'Stavební rozpočet'!H958</f>
      </c>
      <c r="I958" s="111">
        <f>G958*H958</f>
      </c>
      <c r="J958" s="153" t="s">
        <v>134</v>
      </c>
      <c r="K958" s="146"/>
      <c r="Z958" s="111">
        <f>IF(AQ958="5",BJ958,0)</f>
      </c>
      <c r="AB958" s="111">
        <f>IF(AQ958="1",BH958,0)</f>
      </c>
      <c r="AC958" s="111">
        <f>IF(AQ958="1",BI958,0)</f>
      </c>
      <c r="AD958" s="111">
        <f>IF(AQ958="7",BH958,0)</f>
      </c>
      <c r="AE958" s="111">
        <f>IF(AQ958="7",BI958,0)</f>
      </c>
      <c r="AF958" s="111">
        <f>IF(AQ958="2",BH958,0)</f>
      </c>
      <c r="AG958" s="111">
        <f>IF(AQ958="2",BI958,0)</f>
      </c>
      <c r="AH958" s="111">
        <f>IF(AQ958="0",BJ958,0)</f>
      </c>
      <c r="AI958" s="132" t="s">
        <v>84</v>
      </c>
      <c r="AJ958" s="111">
        <f>IF(AN958=0,I958,0)</f>
      </c>
      <c r="AK958" s="111">
        <f>IF(AN958=12,I958,0)</f>
      </c>
      <c r="AL958" s="111">
        <f>IF(AN958=21,I958,0)</f>
      </c>
      <c r="AN958" s="111" t="n">
        <v>21</v>
      </c>
      <c r="AO958" s="111">
        <f>H958*1</f>
      </c>
      <c r="AP958" s="111">
        <f>H958*(1-1)</f>
      </c>
      <c r="AQ958" s="153" t="s">
        <v>173</v>
      </c>
      <c r="AV958" s="111">
        <f>AW958+AX958</f>
      </c>
      <c r="AW958" s="111">
        <f>G958*AO958</f>
      </c>
      <c r="AX958" s="111">
        <f>G958*AP958</f>
      </c>
      <c r="AY958" s="153" t="s">
        <v>1619</v>
      </c>
      <c r="AZ958" s="153" t="s">
        <v>1620</v>
      </c>
      <c r="BA958" s="132" t="s">
        <v>137</v>
      </c>
      <c r="BC958" s="111">
        <f>AW958+AX958</f>
      </c>
      <c r="BD958" s="111">
        <f>H958/(100-BE958)*100</f>
      </c>
      <c r="BE958" s="111" t="n">
        <v>0</v>
      </c>
      <c r="BF958" s="111">
        <f>958</f>
      </c>
      <c r="BH958" s="111">
        <f>G958*AO958</f>
      </c>
      <c r="BI958" s="111">
        <f>G958*AP958</f>
      </c>
      <c r="BJ958" s="111">
        <f>G958*H958</f>
      </c>
      <c r="BK958" s="111"/>
      <c r="BL958" s="111" t="n">
        <v>711</v>
      </c>
      <c r="BW958" s="111" t="n">
        <v>21</v>
      </c>
      <c r="BX958" s="14" t="s">
        <v>1648</v>
      </c>
    </row>
    <row r="959">
      <c r="A959" s="154"/>
      <c r="B959" s="155"/>
      <c r="C959" s="155"/>
      <c r="D959" s="156" t="s">
        <v>1649</v>
      </c>
      <c r="E959" s="156" t="s">
        <v>1635</v>
      </c>
      <c r="F959" s="155"/>
      <c r="G959" s="157" t="n">
        <v>345.6</v>
      </c>
      <c r="H959" s="155"/>
      <c r="I959" s="155"/>
      <c r="J959" s="155"/>
      <c r="K959" s="146"/>
    </row>
    <row r="960">
      <c r="A960" s="154"/>
      <c r="B960" s="155"/>
      <c r="C960" s="155"/>
      <c r="D960" s="156" t="s">
        <v>1650</v>
      </c>
      <c r="E960" s="156" t="s">
        <v>1651</v>
      </c>
      <c r="F960" s="155"/>
      <c r="G960" s="157" t="n">
        <v>69.12</v>
      </c>
      <c r="H960" s="155"/>
      <c r="I960" s="155"/>
      <c r="J960" s="155"/>
      <c r="K960" s="146"/>
    </row>
    <row r="961">
      <c r="A961" s="9" t="s">
        <v>1652</v>
      </c>
      <c r="B961" s="10" t="s">
        <v>84</v>
      </c>
      <c r="C961" s="10" t="s">
        <v>1653</v>
      </c>
      <c r="D961" s="14" t="s">
        <v>1654</v>
      </c>
      <c r="E961" s="10"/>
      <c r="F961" s="10" t="s">
        <v>145</v>
      </c>
      <c r="G961" s="111">
        <f>'Stavební rozpočet'!G961</f>
      </c>
      <c r="H961" s="111">
        <f>'Stavební rozpočet'!H961</f>
      </c>
      <c r="I961" s="111">
        <f>G961*H961</f>
      </c>
      <c r="J961" s="153" t="s">
        <v>134</v>
      </c>
      <c r="K961" s="146"/>
      <c r="Z961" s="111">
        <f>IF(AQ961="5",BJ961,0)</f>
      </c>
      <c r="AB961" s="111">
        <f>IF(AQ961="1",BH961,0)</f>
      </c>
      <c r="AC961" s="111">
        <f>IF(AQ961="1",BI961,0)</f>
      </c>
      <c r="AD961" s="111">
        <f>IF(AQ961="7",BH961,0)</f>
      </c>
      <c r="AE961" s="111">
        <f>IF(AQ961="7",BI961,0)</f>
      </c>
      <c r="AF961" s="111">
        <f>IF(AQ961="2",BH961,0)</f>
      </c>
      <c r="AG961" s="111">
        <f>IF(AQ961="2",BI961,0)</f>
      </c>
      <c r="AH961" s="111">
        <f>IF(AQ961="0",BJ961,0)</f>
      </c>
      <c r="AI961" s="132" t="s">
        <v>84</v>
      </c>
      <c r="AJ961" s="111">
        <f>IF(AN961=0,I961,0)</f>
      </c>
      <c r="AK961" s="111">
        <f>IF(AN961=12,I961,0)</f>
      </c>
      <c r="AL961" s="111">
        <f>IF(AN961=21,I961,0)</f>
      </c>
      <c r="AN961" s="111" t="n">
        <v>21</v>
      </c>
      <c r="AO961" s="111">
        <f>H961*0.241313916</f>
      </c>
      <c r="AP961" s="111">
        <f>H961*(1-0.241313916)</f>
      </c>
      <c r="AQ961" s="153" t="s">
        <v>173</v>
      </c>
      <c r="AV961" s="111">
        <f>AW961+AX961</f>
      </c>
      <c r="AW961" s="111">
        <f>G961*AO961</f>
      </c>
      <c r="AX961" s="111">
        <f>G961*AP961</f>
      </c>
      <c r="AY961" s="153" t="s">
        <v>1619</v>
      </c>
      <c r="AZ961" s="153" t="s">
        <v>1620</v>
      </c>
      <c r="BA961" s="132" t="s">
        <v>137</v>
      </c>
      <c r="BC961" s="111">
        <f>AW961+AX961</f>
      </c>
      <c r="BD961" s="111">
        <f>H961/(100-BE961)*100</f>
      </c>
      <c r="BE961" s="111" t="n">
        <v>0</v>
      </c>
      <c r="BF961" s="111">
        <f>961</f>
      </c>
      <c r="BH961" s="111">
        <f>G961*AO961</f>
      </c>
      <c r="BI961" s="111">
        <f>G961*AP961</f>
      </c>
      <c r="BJ961" s="111">
        <f>G961*H961</f>
      </c>
      <c r="BK961" s="111"/>
      <c r="BL961" s="111" t="n">
        <v>711</v>
      </c>
      <c r="BW961" s="111" t="n">
        <v>21</v>
      </c>
      <c r="BX961" s="14" t="s">
        <v>1654</v>
      </c>
    </row>
    <row r="962" customHeight="true" ht="13.5">
      <c r="A962" s="159"/>
      <c r="C962" s="160" t="s">
        <v>146</v>
      </c>
      <c r="D962" s="161" t="s">
        <v>1655</v>
      </c>
      <c r="E962" s="156"/>
      <c r="F962" s="156"/>
      <c r="G962" s="156"/>
      <c r="H962" s="156"/>
      <c r="I962" s="156"/>
      <c r="J962" s="156"/>
      <c r="K962" s="163"/>
    </row>
    <row r="963">
      <c r="A963" s="154"/>
      <c r="B963" s="155"/>
      <c r="C963" s="155"/>
      <c r="D963" s="156" t="s">
        <v>4</v>
      </c>
      <c r="E963" s="156" t="s">
        <v>1656</v>
      </c>
      <c r="F963" s="155"/>
      <c r="G963" s="157" t="n">
        <v>0</v>
      </c>
      <c r="H963" s="155"/>
      <c r="I963" s="155"/>
      <c r="J963" s="155"/>
      <c r="K963" s="146"/>
    </row>
    <row r="964">
      <c r="A964" s="154"/>
      <c r="B964" s="155"/>
      <c r="C964" s="155"/>
      <c r="D964" s="156" t="s">
        <v>1083</v>
      </c>
      <c r="E964" s="156" t="s">
        <v>1046</v>
      </c>
      <c r="F964" s="155"/>
      <c r="G964" s="157" t="n">
        <v>17.2325</v>
      </c>
      <c r="H964" s="155"/>
      <c r="I964" s="155"/>
      <c r="J964" s="155"/>
      <c r="K964" s="146"/>
    </row>
    <row r="965">
      <c r="A965" s="154"/>
      <c r="B965" s="155"/>
      <c r="C965" s="155"/>
      <c r="D965" s="156" t="s">
        <v>1084</v>
      </c>
      <c r="E965" s="156" t="s">
        <v>1048</v>
      </c>
      <c r="F965" s="155"/>
      <c r="G965" s="157" t="n">
        <v>57.19</v>
      </c>
      <c r="H965" s="155"/>
      <c r="I965" s="155"/>
      <c r="J965" s="155"/>
      <c r="K965" s="146"/>
    </row>
    <row r="966">
      <c r="A966" s="154"/>
      <c r="B966" s="155"/>
      <c r="C966" s="155"/>
      <c r="D966" s="156" t="s">
        <v>1085</v>
      </c>
      <c r="E966" s="156" t="s">
        <v>1050</v>
      </c>
      <c r="F966" s="155"/>
      <c r="G966" s="157" t="n">
        <v>23.72</v>
      </c>
      <c r="H966" s="155"/>
      <c r="I966" s="155"/>
      <c r="J966" s="155"/>
      <c r="K966" s="146"/>
    </row>
    <row r="967">
      <c r="A967" s="154"/>
      <c r="B967" s="155"/>
      <c r="C967" s="155"/>
      <c r="D967" s="156" t="s">
        <v>1086</v>
      </c>
      <c r="E967" s="156" t="s">
        <v>1054</v>
      </c>
      <c r="F967" s="155"/>
      <c r="G967" s="157" t="n">
        <v>2.56</v>
      </c>
      <c r="H967" s="155"/>
      <c r="I967" s="155"/>
      <c r="J967" s="155"/>
      <c r="K967" s="146"/>
    </row>
    <row r="968">
      <c r="A968" s="154"/>
      <c r="B968" s="155"/>
      <c r="C968" s="155"/>
      <c r="D968" s="156" t="s">
        <v>1087</v>
      </c>
      <c r="E968" s="156" t="s">
        <v>1088</v>
      </c>
      <c r="F968" s="155"/>
      <c r="G968" s="157" t="n">
        <v>25.2</v>
      </c>
      <c r="H968" s="155"/>
      <c r="I968" s="155"/>
      <c r="J968" s="155"/>
      <c r="K968" s="146"/>
    </row>
    <row r="969">
      <c r="A969" s="154"/>
      <c r="B969" s="155"/>
      <c r="C969" s="155"/>
      <c r="D969" s="156" t="s">
        <v>1089</v>
      </c>
      <c r="E969" s="156" t="s">
        <v>1090</v>
      </c>
      <c r="F969" s="155"/>
      <c r="G969" s="157" t="n">
        <v>6.435</v>
      </c>
      <c r="H969" s="155"/>
      <c r="I969" s="155"/>
      <c r="J969" s="155"/>
      <c r="K969" s="146"/>
    </row>
    <row r="970">
      <c r="A970" s="9" t="s">
        <v>1657</v>
      </c>
      <c r="B970" s="10" t="s">
        <v>84</v>
      </c>
      <c r="C970" s="10" t="s">
        <v>1658</v>
      </c>
      <c r="D970" s="14" t="s">
        <v>1659</v>
      </c>
      <c r="E970" s="10"/>
      <c r="F970" s="10" t="s">
        <v>61</v>
      </c>
      <c r="G970" s="111">
        <f>'Stavební rozpočet'!G970</f>
      </c>
      <c r="H970" s="111">
        <f>'Stavební rozpočet'!H970</f>
      </c>
      <c r="I970" s="111">
        <f>G970*H970</f>
      </c>
      <c r="J970" s="153" t="s">
        <v>134</v>
      </c>
      <c r="K970" s="146"/>
      <c r="Z970" s="111">
        <f>IF(AQ970="5",BJ970,0)</f>
      </c>
      <c r="AB970" s="111">
        <f>IF(AQ970="1",BH970,0)</f>
      </c>
      <c r="AC970" s="111">
        <f>IF(AQ970="1",BI970,0)</f>
      </c>
      <c r="AD970" s="111">
        <f>IF(AQ970="7",BH970,0)</f>
      </c>
      <c r="AE970" s="111">
        <f>IF(AQ970="7",BI970,0)</f>
      </c>
      <c r="AF970" s="111">
        <f>IF(AQ970="2",BH970,0)</f>
      </c>
      <c r="AG970" s="111">
        <f>IF(AQ970="2",BI970,0)</f>
      </c>
      <c r="AH970" s="111">
        <f>IF(AQ970="0",BJ970,0)</f>
      </c>
      <c r="AI970" s="132" t="s">
        <v>84</v>
      </c>
      <c r="AJ970" s="111">
        <f>IF(AN970=0,I970,0)</f>
      </c>
      <c r="AK970" s="111">
        <f>IF(AN970=12,I970,0)</f>
      </c>
      <c r="AL970" s="111">
        <f>IF(AN970=21,I970,0)</f>
      </c>
      <c r="AN970" s="111" t="n">
        <v>21</v>
      </c>
      <c r="AO970" s="111">
        <f>H970*0</f>
      </c>
      <c r="AP970" s="111">
        <f>H970*(1-0)</f>
      </c>
      <c r="AQ970" s="153" t="s">
        <v>156</v>
      </c>
      <c r="AV970" s="111">
        <f>AW970+AX970</f>
      </c>
      <c r="AW970" s="111">
        <f>G970*AO970</f>
      </c>
      <c r="AX970" s="111">
        <f>G970*AP970</f>
      </c>
      <c r="AY970" s="153" t="s">
        <v>1619</v>
      </c>
      <c r="AZ970" s="153" t="s">
        <v>1620</v>
      </c>
      <c r="BA970" s="132" t="s">
        <v>137</v>
      </c>
      <c r="BC970" s="111">
        <f>AW970+AX970</f>
      </c>
      <c r="BD970" s="111">
        <f>H970/(100-BE970)*100</f>
      </c>
      <c r="BE970" s="111" t="n">
        <v>0</v>
      </c>
      <c r="BF970" s="111">
        <f>970</f>
      </c>
      <c r="BH970" s="111">
        <f>G970*AO970</f>
      </c>
      <c r="BI970" s="111">
        <f>G970*AP970</f>
      </c>
      <c r="BJ970" s="111">
        <f>G970*H970</f>
      </c>
      <c r="BK970" s="111"/>
      <c r="BL970" s="111" t="n">
        <v>711</v>
      </c>
      <c r="BW970" s="111" t="n">
        <v>21</v>
      </c>
      <c r="BX970" s="14" t="s">
        <v>1659</v>
      </c>
    </row>
    <row r="971">
      <c r="A971" s="9" t="s">
        <v>1660</v>
      </c>
      <c r="B971" s="10" t="s">
        <v>84</v>
      </c>
      <c r="C971" s="10" t="s">
        <v>1661</v>
      </c>
      <c r="D971" s="14" t="s">
        <v>1662</v>
      </c>
      <c r="E971" s="10"/>
      <c r="F971" s="10" t="s">
        <v>61</v>
      </c>
      <c r="G971" s="111">
        <f>'Stavební rozpočet'!G971</f>
      </c>
      <c r="H971" s="111">
        <f>'Stavební rozpočet'!H971</f>
      </c>
      <c r="I971" s="111">
        <f>G971*H971</f>
      </c>
      <c r="J971" s="153" t="s">
        <v>134</v>
      </c>
      <c r="K971" s="146"/>
      <c r="Z971" s="111">
        <f>IF(AQ971="5",BJ971,0)</f>
      </c>
      <c r="AB971" s="111">
        <f>IF(AQ971="1",BH971,0)</f>
      </c>
      <c r="AC971" s="111">
        <f>IF(AQ971="1",BI971,0)</f>
      </c>
      <c r="AD971" s="111">
        <f>IF(AQ971="7",BH971,0)</f>
      </c>
      <c r="AE971" s="111">
        <f>IF(AQ971="7",BI971,0)</f>
      </c>
      <c r="AF971" s="111">
        <f>IF(AQ971="2",BH971,0)</f>
      </c>
      <c r="AG971" s="111">
        <f>IF(AQ971="2",BI971,0)</f>
      </c>
      <c r="AH971" s="111">
        <f>IF(AQ971="0",BJ971,0)</f>
      </c>
      <c r="AI971" s="132" t="s">
        <v>84</v>
      </c>
      <c r="AJ971" s="111">
        <f>IF(AN971=0,I971,0)</f>
      </c>
      <c r="AK971" s="111">
        <f>IF(AN971=12,I971,0)</f>
      </c>
      <c r="AL971" s="111">
        <f>IF(AN971=21,I971,0)</f>
      </c>
      <c r="AN971" s="111" t="n">
        <v>21</v>
      </c>
      <c r="AO971" s="111">
        <f>H971*0</f>
      </c>
      <c r="AP971" s="111">
        <f>H971*(1-0)</f>
      </c>
      <c r="AQ971" s="153" t="s">
        <v>156</v>
      </c>
      <c r="AV971" s="111">
        <f>AW971+AX971</f>
      </c>
      <c r="AW971" s="111">
        <f>G971*AO971</f>
      </c>
      <c r="AX971" s="111">
        <f>G971*AP971</f>
      </c>
      <c r="AY971" s="153" t="s">
        <v>1619</v>
      </c>
      <c r="AZ971" s="153" t="s">
        <v>1620</v>
      </c>
      <c r="BA971" s="132" t="s">
        <v>137</v>
      </c>
      <c r="BC971" s="111">
        <f>AW971+AX971</f>
      </c>
      <c r="BD971" s="111">
        <f>H971/(100-BE971)*100</f>
      </c>
      <c r="BE971" s="111" t="n">
        <v>0</v>
      </c>
      <c r="BF971" s="111">
        <f>971</f>
      </c>
      <c r="BH971" s="111">
        <f>G971*AO971</f>
      </c>
      <c r="BI971" s="111">
        <f>G971*AP971</f>
      </c>
      <c r="BJ971" s="111">
        <f>G971*H971</f>
      </c>
      <c r="BK971" s="111"/>
      <c r="BL971" s="111" t="n">
        <v>711</v>
      </c>
      <c r="BW971" s="111" t="n">
        <v>21</v>
      </c>
      <c r="BX971" s="14" t="s">
        <v>1662</v>
      </c>
    </row>
    <row r="972">
      <c r="A972" s="147" t="s">
        <v>4</v>
      </c>
      <c r="B972" s="148" t="s">
        <v>84</v>
      </c>
      <c r="C972" s="148" t="s">
        <v>1663</v>
      </c>
      <c r="D972" s="149" t="s">
        <v>1664</v>
      </c>
      <c r="E972" s="148"/>
      <c r="F972" s="150" t="s">
        <v>79</v>
      </c>
      <c r="G972" s="150" t="s">
        <v>79</v>
      </c>
      <c r="H972" s="150" t="s">
        <v>79</v>
      </c>
      <c r="I972" s="117">
        <f>SUM(I973:I1110)</f>
      </c>
      <c r="J972" s="132" t="s">
        <v>4</v>
      </c>
      <c r="K972" s="146"/>
      <c r="AI972" s="132" t="s">
        <v>84</v>
      </c>
      <c r="AS972" s="117">
        <f>SUM(AJ973:AJ1110)</f>
      </c>
      <c r="AT972" s="117">
        <f>SUM(AK973:AK1110)</f>
      </c>
      <c r="AU972" s="117">
        <f>SUM(AL973:AL1110)</f>
      </c>
    </row>
    <row r="973">
      <c r="A973" s="9" t="s">
        <v>1665</v>
      </c>
      <c r="B973" s="10" t="s">
        <v>84</v>
      </c>
      <c r="C973" s="10" t="s">
        <v>1666</v>
      </c>
      <c r="D973" s="14" t="s">
        <v>1667</v>
      </c>
      <c r="E973" s="10"/>
      <c r="F973" s="10" t="s">
        <v>145</v>
      </c>
      <c r="G973" s="111">
        <f>'Stavební rozpočet'!G973</f>
      </c>
      <c r="H973" s="111">
        <f>'Stavební rozpočet'!H973</f>
      </c>
      <c r="I973" s="111">
        <f>G973*H973</f>
      </c>
      <c r="J973" s="153" t="s">
        <v>134</v>
      </c>
      <c r="K973" s="146"/>
      <c r="Z973" s="111">
        <f>IF(AQ973="5",BJ973,0)</f>
      </c>
      <c r="AB973" s="111">
        <f>IF(AQ973="1",BH973,0)</f>
      </c>
      <c r="AC973" s="111">
        <f>IF(AQ973="1",BI973,0)</f>
      </c>
      <c r="AD973" s="111">
        <f>IF(AQ973="7",BH973,0)</f>
      </c>
      <c r="AE973" s="111">
        <f>IF(AQ973="7",BI973,0)</f>
      </c>
      <c r="AF973" s="111">
        <f>IF(AQ973="2",BH973,0)</f>
      </c>
      <c r="AG973" s="111">
        <f>IF(AQ973="2",BI973,0)</f>
      </c>
      <c r="AH973" s="111">
        <f>IF(AQ973="0",BJ973,0)</f>
      </c>
      <c r="AI973" s="132" t="s">
        <v>84</v>
      </c>
      <c r="AJ973" s="111">
        <f>IF(AN973=0,I973,0)</f>
      </c>
      <c r="AK973" s="111">
        <f>IF(AN973=12,I973,0)</f>
      </c>
      <c r="AL973" s="111">
        <f>IF(AN973=21,I973,0)</f>
      </c>
      <c r="AN973" s="111" t="n">
        <v>21</v>
      </c>
      <c r="AO973" s="111">
        <f>H973*0</f>
      </c>
      <c r="AP973" s="111">
        <f>H973*(1-0)</f>
      </c>
      <c r="AQ973" s="153" t="s">
        <v>173</v>
      </c>
      <c r="AV973" s="111">
        <f>AW973+AX973</f>
      </c>
      <c r="AW973" s="111">
        <f>G973*AO973</f>
      </c>
      <c r="AX973" s="111">
        <f>G973*AP973</f>
      </c>
      <c r="AY973" s="153" t="s">
        <v>1668</v>
      </c>
      <c r="AZ973" s="153" t="s">
        <v>1620</v>
      </c>
      <c r="BA973" s="132" t="s">
        <v>137</v>
      </c>
      <c r="BC973" s="111">
        <f>AW973+AX973</f>
      </c>
      <c r="BD973" s="111">
        <f>H973/(100-BE973)*100</f>
      </c>
      <c r="BE973" s="111" t="n">
        <v>0</v>
      </c>
      <c r="BF973" s="111">
        <f>973</f>
      </c>
      <c r="BH973" s="111">
        <f>G973*AO973</f>
      </c>
      <c r="BI973" s="111">
        <f>G973*AP973</f>
      </c>
      <c r="BJ973" s="111">
        <f>G973*H973</f>
      </c>
      <c r="BK973" s="111"/>
      <c r="BL973" s="111" t="n">
        <v>712</v>
      </c>
      <c r="BW973" s="111" t="n">
        <v>21</v>
      </c>
      <c r="BX973" s="14" t="s">
        <v>1667</v>
      </c>
    </row>
    <row r="974" customHeight="true" ht="13.5">
      <c r="A974" s="159"/>
      <c r="C974" s="160" t="s">
        <v>146</v>
      </c>
      <c r="D974" s="161" t="s">
        <v>1669</v>
      </c>
      <c r="E974" s="156"/>
      <c r="F974" s="156"/>
      <c r="G974" s="156"/>
      <c r="H974" s="156"/>
      <c r="I974" s="156"/>
      <c r="J974" s="156"/>
      <c r="K974" s="163"/>
    </row>
    <row r="975">
      <c r="A975" s="154"/>
      <c r="B975" s="155"/>
      <c r="C975" s="155"/>
      <c r="D975" s="156" t="s">
        <v>1670</v>
      </c>
      <c r="E975" s="156" t="s">
        <v>1671</v>
      </c>
      <c r="F975" s="155"/>
      <c r="G975" s="157" t="n">
        <v>648.3</v>
      </c>
      <c r="H975" s="155"/>
      <c r="I975" s="155"/>
      <c r="J975" s="155"/>
      <c r="K975" s="146"/>
    </row>
    <row r="976">
      <c r="A976" s="9" t="s">
        <v>1672</v>
      </c>
      <c r="B976" s="10" t="s">
        <v>84</v>
      </c>
      <c r="C976" s="10" t="s">
        <v>1673</v>
      </c>
      <c r="D976" s="14" t="s">
        <v>1674</v>
      </c>
      <c r="E976" s="10"/>
      <c r="F976" s="10" t="s">
        <v>145</v>
      </c>
      <c r="G976" s="111">
        <f>'Stavební rozpočet'!G976</f>
      </c>
      <c r="H976" s="111">
        <f>'Stavební rozpočet'!H976</f>
      </c>
      <c r="I976" s="111">
        <f>G976*H976</f>
      </c>
      <c r="J976" s="153" t="s">
        <v>134</v>
      </c>
      <c r="K976" s="146"/>
      <c r="Z976" s="111">
        <f>IF(AQ976="5",BJ976,0)</f>
      </c>
      <c r="AB976" s="111">
        <f>IF(AQ976="1",BH976,0)</f>
      </c>
      <c r="AC976" s="111">
        <f>IF(AQ976="1",BI976,0)</f>
      </c>
      <c r="AD976" s="111">
        <f>IF(AQ976="7",BH976,0)</f>
      </c>
      <c r="AE976" s="111">
        <f>IF(AQ976="7",BI976,0)</f>
      </c>
      <c r="AF976" s="111">
        <f>IF(AQ976="2",BH976,0)</f>
      </c>
      <c r="AG976" s="111">
        <f>IF(AQ976="2",BI976,0)</f>
      </c>
      <c r="AH976" s="111">
        <f>IF(AQ976="0",BJ976,0)</f>
      </c>
      <c r="AI976" s="132" t="s">
        <v>84</v>
      </c>
      <c r="AJ976" s="111">
        <f>IF(AN976=0,I976,0)</f>
      </c>
      <c r="AK976" s="111">
        <f>IF(AN976=12,I976,0)</f>
      </c>
      <c r="AL976" s="111">
        <f>IF(AN976=21,I976,0)</f>
      </c>
      <c r="AN976" s="111" t="n">
        <v>21</v>
      </c>
      <c r="AO976" s="111">
        <f>H976*0.09109589</f>
      </c>
      <c r="AP976" s="111">
        <f>H976*(1-0.09109589)</f>
      </c>
      <c r="AQ976" s="153" t="s">
        <v>173</v>
      </c>
      <c r="AV976" s="111">
        <f>AW976+AX976</f>
      </c>
      <c r="AW976" s="111">
        <f>G976*AO976</f>
      </c>
      <c r="AX976" s="111">
        <f>G976*AP976</f>
      </c>
      <c r="AY976" s="153" t="s">
        <v>1668</v>
      </c>
      <c r="AZ976" s="153" t="s">
        <v>1620</v>
      </c>
      <c r="BA976" s="132" t="s">
        <v>137</v>
      </c>
      <c r="BC976" s="111">
        <f>AW976+AX976</f>
      </c>
      <c r="BD976" s="111">
        <f>H976/(100-BE976)*100</f>
      </c>
      <c r="BE976" s="111" t="n">
        <v>0</v>
      </c>
      <c r="BF976" s="111">
        <f>976</f>
      </c>
      <c r="BH976" s="111">
        <f>G976*AO976</f>
      </c>
      <c r="BI976" s="111">
        <f>G976*AP976</f>
      </c>
      <c r="BJ976" s="111">
        <f>G976*H976</f>
      </c>
      <c r="BK976" s="111"/>
      <c r="BL976" s="111" t="n">
        <v>712</v>
      </c>
      <c r="BW976" s="111" t="n">
        <v>21</v>
      </c>
      <c r="BX976" s="14" t="s">
        <v>1674</v>
      </c>
    </row>
    <row r="977" customHeight="true" ht="13.5">
      <c r="A977" s="159"/>
      <c r="C977" s="160" t="s">
        <v>146</v>
      </c>
      <c r="D977" s="161" t="s">
        <v>1669</v>
      </c>
      <c r="E977" s="156"/>
      <c r="F977" s="156"/>
      <c r="G977" s="156"/>
      <c r="H977" s="156"/>
      <c r="I977" s="156"/>
      <c r="J977" s="156"/>
      <c r="K977" s="163"/>
    </row>
    <row r="978">
      <c r="A978" s="154"/>
      <c r="B978" s="155"/>
      <c r="C978" s="155"/>
      <c r="D978" s="156" t="s">
        <v>1670</v>
      </c>
      <c r="E978" s="156" t="s">
        <v>1671</v>
      </c>
      <c r="F978" s="155"/>
      <c r="G978" s="157" t="n">
        <v>648.3</v>
      </c>
      <c r="H978" s="155"/>
      <c r="I978" s="155"/>
      <c r="J978" s="155"/>
      <c r="K978" s="146"/>
    </row>
    <row r="979">
      <c r="A979" s="9" t="s">
        <v>1675</v>
      </c>
      <c r="B979" s="10" t="s">
        <v>84</v>
      </c>
      <c r="C979" s="10" t="s">
        <v>1676</v>
      </c>
      <c r="D979" s="14" t="s">
        <v>1677</v>
      </c>
      <c r="E979" s="10"/>
      <c r="F979" s="10" t="s">
        <v>145</v>
      </c>
      <c r="G979" s="111">
        <f>'Stavební rozpočet'!G979</f>
      </c>
      <c r="H979" s="111">
        <f>'Stavební rozpočet'!H979</f>
      </c>
      <c r="I979" s="111">
        <f>G979*H979</f>
      </c>
      <c r="J979" s="153" t="s">
        <v>134</v>
      </c>
      <c r="K979" s="146"/>
      <c r="Z979" s="111">
        <f>IF(AQ979="5",BJ979,0)</f>
      </c>
      <c r="AB979" s="111">
        <f>IF(AQ979="1",BH979,0)</f>
      </c>
      <c r="AC979" s="111">
        <f>IF(AQ979="1",BI979,0)</f>
      </c>
      <c r="AD979" s="111">
        <f>IF(AQ979="7",BH979,0)</f>
      </c>
      <c r="AE979" s="111">
        <f>IF(AQ979="7",BI979,0)</f>
      </c>
      <c r="AF979" s="111">
        <f>IF(AQ979="2",BH979,0)</f>
      </c>
      <c r="AG979" s="111">
        <f>IF(AQ979="2",BI979,0)</f>
      </c>
      <c r="AH979" s="111">
        <f>IF(AQ979="0",BJ979,0)</f>
      </c>
      <c r="AI979" s="132" t="s">
        <v>84</v>
      </c>
      <c r="AJ979" s="111">
        <f>IF(AN979=0,I979,0)</f>
      </c>
      <c r="AK979" s="111">
        <f>IF(AN979=12,I979,0)</f>
      </c>
      <c r="AL979" s="111">
        <f>IF(AN979=21,I979,0)</f>
      </c>
      <c r="AN979" s="111" t="n">
        <v>21</v>
      </c>
      <c r="AO979" s="111">
        <f>H979*1</f>
      </c>
      <c r="AP979" s="111">
        <f>H979*(1-1)</f>
      </c>
      <c r="AQ979" s="153" t="s">
        <v>173</v>
      </c>
      <c r="AV979" s="111">
        <f>AW979+AX979</f>
      </c>
      <c r="AW979" s="111">
        <f>G979*AO979</f>
      </c>
      <c r="AX979" s="111">
        <f>G979*AP979</f>
      </c>
      <c r="AY979" s="153" t="s">
        <v>1668</v>
      </c>
      <c r="AZ979" s="153" t="s">
        <v>1620</v>
      </c>
      <c r="BA979" s="132" t="s">
        <v>137</v>
      </c>
      <c r="BC979" s="111">
        <f>AW979+AX979</f>
      </c>
      <c r="BD979" s="111">
        <f>H979/(100-BE979)*100</f>
      </c>
      <c r="BE979" s="111" t="n">
        <v>0</v>
      </c>
      <c r="BF979" s="111">
        <f>979</f>
      </c>
      <c r="BH979" s="111">
        <f>G979*AO979</f>
      </c>
      <c r="BI979" s="111">
        <f>G979*AP979</f>
      </c>
      <c r="BJ979" s="111">
        <f>G979*H979</f>
      </c>
      <c r="BK979" s="111"/>
      <c r="BL979" s="111" t="n">
        <v>712</v>
      </c>
      <c r="BW979" s="111" t="n">
        <v>21</v>
      </c>
      <c r="BX979" s="14" t="s">
        <v>1677</v>
      </c>
    </row>
    <row r="980">
      <c r="A980" s="154"/>
      <c r="B980" s="155"/>
      <c r="C980" s="155"/>
      <c r="D980" s="156" t="s">
        <v>1670</v>
      </c>
      <c r="E980" s="156" t="s">
        <v>1671</v>
      </c>
      <c r="F980" s="155"/>
      <c r="G980" s="157" t="n">
        <v>648.3</v>
      </c>
      <c r="H980" s="155"/>
      <c r="I980" s="155"/>
      <c r="J980" s="155"/>
      <c r="K980" s="146"/>
    </row>
    <row r="981">
      <c r="A981" s="154"/>
      <c r="B981" s="155"/>
      <c r="C981" s="155"/>
      <c r="D981" s="156" t="s">
        <v>1678</v>
      </c>
      <c r="E981" s="156" t="s">
        <v>1679</v>
      </c>
      <c r="F981" s="155"/>
      <c r="G981" s="157" t="n">
        <v>32.415</v>
      </c>
      <c r="H981" s="155"/>
      <c r="I981" s="155"/>
      <c r="J981" s="155"/>
      <c r="K981" s="146"/>
    </row>
    <row r="982">
      <c r="A982" s="9" t="s">
        <v>1680</v>
      </c>
      <c r="B982" s="10" t="s">
        <v>84</v>
      </c>
      <c r="C982" s="10" t="s">
        <v>1681</v>
      </c>
      <c r="D982" s="14" t="s">
        <v>1682</v>
      </c>
      <c r="E982" s="10"/>
      <c r="F982" s="10" t="s">
        <v>145</v>
      </c>
      <c r="G982" s="111">
        <f>'Stavební rozpočet'!G982</f>
      </c>
      <c r="H982" s="111">
        <f>'Stavební rozpočet'!H982</f>
      </c>
      <c r="I982" s="111">
        <f>G982*H982</f>
      </c>
      <c r="J982" s="153" t="s">
        <v>134</v>
      </c>
      <c r="K982" s="146"/>
      <c r="Z982" s="111">
        <f>IF(AQ982="5",BJ982,0)</f>
      </c>
      <c r="AB982" s="111">
        <f>IF(AQ982="1",BH982,0)</f>
      </c>
      <c r="AC982" s="111">
        <f>IF(AQ982="1",BI982,0)</f>
      </c>
      <c r="AD982" s="111">
        <f>IF(AQ982="7",BH982,0)</f>
      </c>
      <c r="AE982" s="111">
        <f>IF(AQ982="7",BI982,0)</f>
      </c>
      <c r="AF982" s="111">
        <f>IF(AQ982="2",BH982,0)</f>
      </c>
      <c r="AG982" s="111">
        <f>IF(AQ982="2",BI982,0)</f>
      </c>
      <c r="AH982" s="111">
        <f>IF(AQ982="0",BJ982,0)</f>
      </c>
      <c r="AI982" s="132" t="s">
        <v>84</v>
      </c>
      <c r="AJ982" s="111">
        <f>IF(AN982=0,I982,0)</f>
      </c>
      <c r="AK982" s="111">
        <f>IF(AN982=12,I982,0)</f>
      </c>
      <c r="AL982" s="111">
        <f>IF(AN982=21,I982,0)</f>
      </c>
      <c r="AN982" s="111" t="n">
        <v>21</v>
      </c>
      <c r="AO982" s="111">
        <f>H982*0.218081571</f>
      </c>
      <c r="AP982" s="111">
        <f>H982*(1-0.218081571)</f>
      </c>
      <c r="AQ982" s="153" t="s">
        <v>173</v>
      </c>
      <c r="AV982" s="111">
        <f>AW982+AX982</f>
      </c>
      <c r="AW982" s="111">
        <f>G982*AO982</f>
      </c>
      <c r="AX982" s="111">
        <f>G982*AP982</f>
      </c>
      <c r="AY982" s="153" t="s">
        <v>1668</v>
      </c>
      <c r="AZ982" s="153" t="s">
        <v>1620</v>
      </c>
      <c r="BA982" s="132" t="s">
        <v>137</v>
      </c>
      <c r="BC982" s="111">
        <f>AW982+AX982</f>
      </c>
      <c r="BD982" s="111">
        <f>H982/(100-BE982)*100</f>
      </c>
      <c r="BE982" s="111" t="n">
        <v>0</v>
      </c>
      <c r="BF982" s="111">
        <f>982</f>
      </c>
      <c r="BH982" s="111">
        <f>G982*AO982</f>
      </c>
      <c r="BI982" s="111">
        <f>G982*AP982</f>
      </c>
      <c r="BJ982" s="111">
        <f>G982*H982</f>
      </c>
      <c r="BK982" s="111"/>
      <c r="BL982" s="111" t="n">
        <v>712</v>
      </c>
      <c r="BW982" s="111" t="n">
        <v>21</v>
      </c>
      <c r="BX982" s="14" t="s">
        <v>1682</v>
      </c>
    </row>
    <row r="983" customHeight="true" ht="13.5">
      <c r="A983" s="159"/>
      <c r="C983" s="160" t="s">
        <v>146</v>
      </c>
      <c r="D983" s="161" t="s">
        <v>1683</v>
      </c>
      <c r="E983" s="156"/>
      <c r="F983" s="156"/>
      <c r="G983" s="156"/>
      <c r="H983" s="156"/>
      <c r="I983" s="156"/>
      <c r="J983" s="156"/>
      <c r="K983" s="163"/>
    </row>
    <row r="984">
      <c r="A984" s="154"/>
      <c r="B984" s="155"/>
      <c r="C984" s="155"/>
      <c r="D984" s="156" t="s">
        <v>1684</v>
      </c>
      <c r="E984" s="156" t="s">
        <v>1685</v>
      </c>
      <c r="F984" s="155"/>
      <c r="G984" s="157" t="n">
        <v>267.2286</v>
      </c>
      <c r="H984" s="155"/>
      <c r="I984" s="155"/>
      <c r="J984" s="155"/>
      <c r="K984" s="146"/>
    </row>
    <row r="985">
      <c r="A985" s="154"/>
      <c r="B985" s="155"/>
      <c r="C985" s="155"/>
      <c r="D985" s="156" t="s">
        <v>1686</v>
      </c>
      <c r="E985" s="156" t="s">
        <v>1687</v>
      </c>
      <c r="F985" s="155"/>
      <c r="G985" s="157" t="n">
        <v>38.904</v>
      </c>
      <c r="H985" s="155"/>
      <c r="I985" s="155"/>
      <c r="J985" s="155"/>
      <c r="K985" s="146"/>
    </row>
    <row r="986">
      <c r="A986" s="154"/>
      <c r="B986" s="155"/>
      <c r="C986" s="155"/>
      <c r="D986" s="156" t="s">
        <v>1688</v>
      </c>
      <c r="E986" s="156" t="s">
        <v>1689</v>
      </c>
      <c r="F986" s="155"/>
      <c r="G986" s="157" t="n">
        <v>28.896</v>
      </c>
      <c r="H986" s="155"/>
      <c r="I986" s="155"/>
      <c r="J986" s="155"/>
      <c r="K986" s="146"/>
    </row>
    <row r="987">
      <c r="A987" s="154"/>
      <c r="B987" s="155"/>
      <c r="C987" s="155"/>
      <c r="D987" s="156" t="s">
        <v>1690</v>
      </c>
      <c r="E987" s="156" t="s">
        <v>1691</v>
      </c>
      <c r="F987" s="155"/>
      <c r="G987" s="157" t="n">
        <v>29.4748</v>
      </c>
      <c r="H987" s="155"/>
      <c r="I987" s="155"/>
      <c r="J987" s="155"/>
      <c r="K987" s="146"/>
    </row>
    <row r="988">
      <c r="A988" s="154"/>
      <c r="B988" s="155"/>
      <c r="C988" s="155"/>
      <c r="D988" s="156" t="s">
        <v>1692</v>
      </c>
      <c r="E988" s="156" t="s">
        <v>1693</v>
      </c>
      <c r="F988" s="155"/>
      <c r="G988" s="157" t="n">
        <v>9.92</v>
      </c>
      <c r="H988" s="155"/>
      <c r="I988" s="155"/>
      <c r="J988" s="155"/>
      <c r="K988" s="146"/>
    </row>
    <row r="989">
      <c r="A989" s="154"/>
      <c r="B989" s="155"/>
      <c r="C989" s="155"/>
      <c r="D989" s="156" t="s">
        <v>1694</v>
      </c>
      <c r="E989" s="156" t="s">
        <v>1695</v>
      </c>
      <c r="F989" s="155"/>
      <c r="G989" s="157" t="n">
        <v>7.78</v>
      </c>
      <c r="H989" s="155"/>
      <c r="I989" s="155"/>
      <c r="J989" s="155"/>
      <c r="K989" s="146"/>
    </row>
    <row r="990">
      <c r="A990" s="154"/>
      <c r="B990" s="155"/>
      <c r="C990" s="155"/>
      <c r="D990" s="156" t="s">
        <v>1696</v>
      </c>
      <c r="E990" s="156" t="s">
        <v>1697</v>
      </c>
      <c r="F990" s="155"/>
      <c r="G990" s="157" t="n">
        <v>144.6</v>
      </c>
      <c r="H990" s="155"/>
      <c r="I990" s="155"/>
      <c r="J990" s="155"/>
      <c r="K990" s="146"/>
    </row>
    <row r="991">
      <c r="A991" s="154"/>
      <c r="B991" s="155"/>
      <c r="C991" s="155"/>
      <c r="D991" s="156" t="s">
        <v>1698</v>
      </c>
      <c r="E991" s="156" t="s">
        <v>1699</v>
      </c>
      <c r="F991" s="155"/>
      <c r="G991" s="157" t="n">
        <v>121.5</v>
      </c>
      <c r="H991" s="155"/>
      <c r="I991" s="155"/>
      <c r="J991" s="155"/>
      <c r="K991" s="146"/>
    </row>
    <row r="992">
      <c r="A992" s="9" t="s">
        <v>1700</v>
      </c>
      <c r="B992" s="10" t="s">
        <v>84</v>
      </c>
      <c r="C992" s="10" t="s">
        <v>1701</v>
      </c>
      <c r="D992" s="14" t="s">
        <v>1702</v>
      </c>
      <c r="E992" s="10"/>
      <c r="F992" s="10" t="s">
        <v>145</v>
      </c>
      <c r="G992" s="111">
        <f>'Stavební rozpočet'!G992</f>
      </c>
      <c r="H992" s="111">
        <f>'Stavební rozpočet'!H992</f>
      </c>
      <c r="I992" s="111">
        <f>G992*H992</f>
      </c>
      <c r="J992" s="153" t="s">
        <v>134</v>
      </c>
      <c r="K992" s="146"/>
      <c r="Z992" s="111">
        <f>IF(AQ992="5",BJ992,0)</f>
      </c>
      <c r="AB992" s="111">
        <f>IF(AQ992="1",BH992,0)</f>
      </c>
      <c r="AC992" s="111">
        <f>IF(AQ992="1",BI992,0)</f>
      </c>
      <c r="AD992" s="111">
        <f>IF(AQ992="7",BH992,0)</f>
      </c>
      <c r="AE992" s="111">
        <f>IF(AQ992="7",BI992,0)</f>
      </c>
      <c r="AF992" s="111">
        <f>IF(AQ992="2",BH992,0)</f>
      </c>
      <c r="AG992" s="111">
        <f>IF(AQ992="2",BI992,0)</f>
      </c>
      <c r="AH992" s="111">
        <f>IF(AQ992="0",BJ992,0)</f>
      </c>
      <c r="AI992" s="132" t="s">
        <v>84</v>
      </c>
      <c r="AJ992" s="111">
        <f>IF(AN992=0,I992,0)</f>
      </c>
      <c r="AK992" s="111">
        <f>IF(AN992=12,I992,0)</f>
      </c>
      <c r="AL992" s="111">
        <f>IF(AN992=21,I992,0)</f>
      </c>
      <c r="AN992" s="111" t="n">
        <v>21</v>
      </c>
      <c r="AO992" s="111">
        <f>H992*1</f>
      </c>
      <c r="AP992" s="111">
        <f>H992*(1-1)</f>
      </c>
      <c r="AQ992" s="153" t="s">
        <v>173</v>
      </c>
      <c r="AV992" s="111">
        <f>AW992+AX992</f>
      </c>
      <c r="AW992" s="111">
        <f>G992*AO992</f>
      </c>
      <c r="AX992" s="111">
        <f>G992*AP992</f>
      </c>
      <c r="AY992" s="153" t="s">
        <v>1668</v>
      </c>
      <c r="AZ992" s="153" t="s">
        <v>1620</v>
      </c>
      <c r="BA992" s="132" t="s">
        <v>137</v>
      </c>
      <c r="BC992" s="111">
        <f>AW992+AX992</f>
      </c>
      <c r="BD992" s="111">
        <f>H992/(100-BE992)*100</f>
      </c>
      <c r="BE992" s="111" t="n">
        <v>0</v>
      </c>
      <c r="BF992" s="111">
        <f>992</f>
      </c>
      <c r="BH992" s="111">
        <f>G992*AO992</f>
      </c>
      <c r="BI992" s="111">
        <f>G992*AP992</f>
      </c>
      <c r="BJ992" s="111">
        <f>G992*H992</f>
      </c>
      <c r="BK992" s="111"/>
      <c r="BL992" s="111" t="n">
        <v>712</v>
      </c>
      <c r="BW992" s="111" t="n">
        <v>21</v>
      </c>
      <c r="BX992" s="14" t="s">
        <v>1702</v>
      </c>
    </row>
    <row r="993">
      <c r="A993" s="154"/>
      <c r="B993" s="155"/>
      <c r="C993" s="155"/>
      <c r="D993" s="156" t="s">
        <v>1684</v>
      </c>
      <c r="E993" s="156" t="s">
        <v>1685</v>
      </c>
      <c r="F993" s="155"/>
      <c r="G993" s="157" t="n">
        <v>267.2286</v>
      </c>
      <c r="H993" s="155"/>
      <c r="I993" s="155"/>
      <c r="J993" s="155"/>
      <c r="K993" s="146"/>
    </row>
    <row r="994">
      <c r="A994" s="154"/>
      <c r="B994" s="155"/>
      <c r="C994" s="155"/>
      <c r="D994" s="156" t="s">
        <v>1686</v>
      </c>
      <c r="E994" s="156" t="s">
        <v>1687</v>
      </c>
      <c r="F994" s="155"/>
      <c r="G994" s="157" t="n">
        <v>38.904</v>
      </c>
      <c r="H994" s="155"/>
      <c r="I994" s="155"/>
      <c r="J994" s="155"/>
      <c r="K994" s="146"/>
    </row>
    <row r="995">
      <c r="A995" s="154"/>
      <c r="B995" s="155"/>
      <c r="C995" s="155"/>
      <c r="D995" s="156" t="s">
        <v>1688</v>
      </c>
      <c r="E995" s="156" t="s">
        <v>1689</v>
      </c>
      <c r="F995" s="155"/>
      <c r="G995" s="157" t="n">
        <v>28.896</v>
      </c>
      <c r="H995" s="155"/>
      <c r="I995" s="155"/>
      <c r="J995" s="155"/>
      <c r="K995" s="146"/>
    </row>
    <row r="996">
      <c r="A996" s="154"/>
      <c r="B996" s="155"/>
      <c r="C996" s="155"/>
      <c r="D996" s="156" t="s">
        <v>1694</v>
      </c>
      <c r="E996" s="156" t="s">
        <v>1695</v>
      </c>
      <c r="F996" s="155"/>
      <c r="G996" s="157" t="n">
        <v>7.78</v>
      </c>
      <c r="H996" s="155"/>
      <c r="I996" s="155"/>
      <c r="J996" s="155"/>
      <c r="K996" s="146"/>
    </row>
    <row r="997">
      <c r="A997" s="154"/>
      <c r="B997" s="155"/>
      <c r="C997" s="155"/>
      <c r="D997" s="156" t="s">
        <v>1696</v>
      </c>
      <c r="E997" s="156" t="s">
        <v>1697</v>
      </c>
      <c r="F997" s="155"/>
      <c r="G997" s="157" t="n">
        <v>144.6</v>
      </c>
      <c r="H997" s="155"/>
      <c r="I997" s="155"/>
      <c r="J997" s="155"/>
      <c r="K997" s="146"/>
    </row>
    <row r="998">
      <c r="A998" s="154"/>
      <c r="B998" s="155"/>
      <c r="C998" s="155"/>
      <c r="D998" s="156" t="s">
        <v>1698</v>
      </c>
      <c r="E998" s="156" t="s">
        <v>1699</v>
      </c>
      <c r="F998" s="155"/>
      <c r="G998" s="157" t="n">
        <v>121.5</v>
      </c>
      <c r="H998" s="155"/>
      <c r="I998" s="155"/>
      <c r="J998" s="155"/>
      <c r="K998" s="146"/>
    </row>
    <row r="999">
      <c r="A999" s="154"/>
      <c r="B999" s="155"/>
      <c r="C999" s="155"/>
      <c r="D999" s="156" t="s">
        <v>1690</v>
      </c>
      <c r="E999" s="156" t="s">
        <v>1691</v>
      </c>
      <c r="F999" s="155"/>
      <c r="G999" s="157" t="n">
        <v>29.4748</v>
      </c>
      <c r="H999" s="155"/>
      <c r="I999" s="155"/>
      <c r="J999" s="155"/>
      <c r="K999" s="146"/>
    </row>
    <row r="1000">
      <c r="A1000" s="154"/>
      <c r="B1000" s="155"/>
      <c r="C1000" s="155"/>
      <c r="D1000" s="156" t="s">
        <v>1692</v>
      </c>
      <c r="E1000" s="156" t="s">
        <v>1693</v>
      </c>
      <c r="F1000" s="155"/>
      <c r="G1000" s="157" t="n">
        <v>9.92</v>
      </c>
      <c r="H1000" s="155"/>
      <c r="I1000" s="155"/>
      <c r="J1000" s="155"/>
      <c r="K1000" s="146"/>
    </row>
    <row r="1001">
      <c r="A1001" s="154"/>
      <c r="B1001" s="155"/>
      <c r="C1001" s="155"/>
      <c r="D1001" s="156" t="s">
        <v>1703</v>
      </c>
      <c r="E1001" s="156" t="s">
        <v>1704</v>
      </c>
      <c r="F1001" s="155"/>
      <c r="G1001" s="157" t="n">
        <v>77.796</v>
      </c>
      <c r="H1001" s="155"/>
      <c r="I1001" s="155"/>
      <c r="J1001" s="155"/>
      <c r="K1001" s="146"/>
    </row>
    <row r="1002">
      <c r="A1002" s="9" t="s">
        <v>1705</v>
      </c>
      <c r="B1002" s="10" t="s">
        <v>84</v>
      </c>
      <c r="C1002" s="10" t="s">
        <v>1706</v>
      </c>
      <c r="D1002" s="14" t="s">
        <v>1707</v>
      </c>
      <c r="E1002" s="10"/>
      <c r="F1002" s="10" t="s">
        <v>145</v>
      </c>
      <c r="G1002" s="111">
        <f>'Stavební rozpočet'!G1002</f>
      </c>
      <c r="H1002" s="111">
        <f>'Stavební rozpočet'!H1002</f>
      </c>
      <c r="I1002" s="111">
        <f>G1002*H1002</f>
      </c>
      <c r="J1002" s="153" t="s">
        <v>134</v>
      </c>
      <c r="K1002" s="146"/>
      <c r="Z1002" s="111">
        <f>IF(AQ1002="5",BJ1002,0)</f>
      </c>
      <c r="AB1002" s="111">
        <f>IF(AQ1002="1",BH1002,0)</f>
      </c>
      <c r="AC1002" s="111">
        <f>IF(AQ1002="1",BI1002,0)</f>
      </c>
      <c r="AD1002" s="111">
        <f>IF(AQ1002="7",BH1002,0)</f>
      </c>
      <c r="AE1002" s="111">
        <f>IF(AQ1002="7",BI1002,0)</f>
      </c>
      <c r="AF1002" s="111">
        <f>IF(AQ1002="2",BH1002,0)</f>
      </c>
      <c r="AG1002" s="111">
        <f>IF(AQ1002="2",BI1002,0)</f>
      </c>
      <c r="AH1002" s="111">
        <f>IF(AQ1002="0",BJ1002,0)</f>
      </c>
      <c r="AI1002" s="132" t="s">
        <v>84</v>
      </c>
      <c r="AJ1002" s="111">
        <f>IF(AN1002=0,I1002,0)</f>
      </c>
      <c r="AK1002" s="111">
        <f>IF(AN1002=12,I1002,0)</f>
      </c>
      <c r="AL1002" s="111">
        <f>IF(AN1002=21,I1002,0)</f>
      </c>
      <c r="AN1002" s="111" t="n">
        <v>21</v>
      </c>
      <c r="AO1002" s="111">
        <f>H1002*0</f>
      </c>
      <c r="AP1002" s="111">
        <f>H1002*(1-0)</f>
      </c>
      <c r="AQ1002" s="153" t="s">
        <v>173</v>
      </c>
      <c r="AV1002" s="111">
        <f>AW1002+AX1002</f>
      </c>
      <c r="AW1002" s="111">
        <f>G1002*AO1002</f>
      </c>
      <c r="AX1002" s="111">
        <f>G1002*AP1002</f>
      </c>
      <c r="AY1002" s="153" t="s">
        <v>1668</v>
      </c>
      <c r="AZ1002" s="153" t="s">
        <v>1620</v>
      </c>
      <c r="BA1002" s="132" t="s">
        <v>137</v>
      </c>
      <c r="BC1002" s="111">
        <f>AW1002+AX1002</f>
      </c>
      <c r="BD1002" s="111">
        <f>H1002/(100-BE1002)*100</f>
      </c>
      <c r="BE1002" s="111" t="n">
        <v>0</v>
      </c>
      <c r="BF1002" s="111">
        <f>1002</f>
      </c>
      <c r="BH1002" s="111">
        <f>G1002*AO1002</f>
      </c>
      <c r="BI1002" s="111">
        <f>G1002*AP1002</f>
      </c>
      <c r="BJ1002" s="111">
        <f>G1002*H1002</f>
      </c>
      <c r="BK1002" s="111"/>
      <c r="BL1002" s="111" t="n">
        <v>712</v>
      </c>
      <c r="BW1002" s="111" t="n">
        <v>21</v>
      </c>
      <c r="BX1002" s="14" t="s">
        <v>1707</v>
      </c>
    </row>
    <row r="1003" customHeight="true" ht="13.5">
      <c r="A1003" s="159"/>
      <c r="C1003" s="160" t="s">
        <v>146</v>
      </c>
      <c r="D1003" s="161" t="s">
        <v>1708</v>
      </c>
      <c r="E1003" s="156"/>
      <c r="F1003" s="156"/>
      <c r="G1003" s="156"/>
      <c r="H1003" s="156"/>
      <c r="I1003" s="156"/>
      <c r="J1003" s="156"/>
      <c r="K1003" s="163"/>
    </row>
    <row r="1004">
      <c r="A1004" s="154"/>
      <c r="B1004" s="155"/>
      <c r="C1004" s="155"/>
      <c r="D1004" s="156" t="s">
        <v>1709</v>
      </c>
      <c r="E1004" s="156" t="s">
        <v>1710</v>
      </c>
      <c r="F1004" s="155"/>
      <c r="G1004" s="157" t="n">
        <v>524.17</v>
      </c>
      <c r="H1004" s="155"/>
      <c r="I1004" s="155"/>
      <c r="J1004" s="155"/>
      <c r="K1004" s="146"/>
    </row>
    <row r="1005">
      <c r="A1005" s="9" t="s">
        <v>1711</v>
      </c>
      <c r="B1005" s="10" t="s">
        <v>84</v>
      </c>
      <c r="C1005" s="10" t="s">
        <v>1712</v>
      </c>
      <c r="D1005" s="14" t="s">
        <v>1713</v>
      </c>
      <c r="E1005" s="10"/>
      <c r="F1005" s="10" t="s">
        <v>145</v>
      </c>
      <c r="G1005" s="111">
        <f>'Stavební rozpočet'!G1005</f>
      </c>
      <c r="H1005" s="111">
        <f>'Stavební rozpočet'!H1005</f>
      </c>
      <c r="I1005" s="111">
        <f>G1005*H1005</f>
      </c>
      <c r="J1005" s="153" t="s">
        <v>134</v>
      </c>
      <c r="K1005" s="146"/>
      <c r="Z1005" s="111">
        <f>IF(AQ1005="5",BJ1005,0)</f>
      </c>
      <c r="AB1005" s="111">
        <f>IF(AQ1005="1",BH1005,0)</f>
      </c>
      <c r="AC1005" s="111">
        <f>IF(AQ1005="1",BI1005,0)</f>
      </c>
      <c r="AD1005" s="111">
        <f>IF(AQ1005="7",BH1005,0)</f>
      </c>
      <c r="AE1005" s="111">
        <f>IF(AQ1005="7",BI1005,0)</f>
      </c>
      <c r="AF1005" s="111">
        <f>IF(AQ1005="2",BH1005,0)</f>
      </c>
      <c r="AG1005" s="111">
        <f>IF(AQ1005="2",BI1005,0)</f>
      </c>
      <c r="AH1005" s="111">
        <f>IF(AQ1005="0",BJ1005,0)</f>
      </c>
      <c r="AI1005" s="132" t="s">
        <v>84</v>
      </c>
      <c r="AJ1005" s="111">
        <f>IF(AN1005=0,I1005,0)</f>
      </c>
      <c r="AK1005" s="111">
        <f>IF(AN1005=12,I1005,0)</f>
      </c>
      <c r="AL1005" s="111">
        <f>IF(AN1005=21,I1005,0)</f>
      </c>
      <c r="AN1005" s="111" t="n">
        <v>21</v>
      </c>
      <c r="AO1005" s="111">
        <f>H1005*1</f>
      </c>
      <c r="AP1005" s="111">
        <f>H1005*(1-1)</f>
      </c>
      <c r="AQ1005" s="153" t="s">
        <v>173</v>
      </c>
      <c r="AV1005" s="111">
        <f>AW1005+AX1005</f>
      </c>
      <c r="AW1005" s="111">
        <f>G1005*AO1005</f>
      </c>
      <c r="AX1005" s="111">
        <f>G1005*AP1005</f>
      </c>
      <c r="AY1005" s="153" t="s">
        <v>1668</v>
      </c>
      <c r="AZ1005" s="153" t="s">
        <v>1620</v>
      </c>
      <c r="BA1005" s="132" t="s">
        <v>137</v>
      </c>
      <c r="BC1005" s="111">
        <f>AW1005+AX1005</f>
      </c>
      <c r="BD1005" s="111">
        <f>H1005/(100-BE1005)*100</f>
      </c>
      <c r="BE1005" s="111" t="n">
        <v>0</v>
      </c>
      <c r="BF1005" s="111">
        <f>1005</f>
      </c>
      <c r="BH1005" s="111">
        <f>G1005*AO1005</f>
      </c>
      <c r="BI1005" s="111">
        <f>G1005*AP1005</f>
      </c>
      <c r="BJ1005" s="111">
        <f>G1005*H1005</f>
      </c>
      <c r="BK1005" s="111"/>
      <c r="BL1005" s="111" t="n">
        <v>712</v>
      </c>
      <c r="BW1005" s="111" t="n">
        <v>21</v>
      </c>
      <c r="BX1005" s="14" t="s">
        <v>1713</v>
      </c>
    </row>
    <row r="1006">
      <c r="A1006" s="154"/>
      <c r="B1006" s="155"/>
      <c r="C1006" s="155"/>
      <c r="D1006" s="156" t="s">
        <v>1714</v>
      </c>
      <c r="E1006" s="156" t="s">
        <v>1710</v>
      </c>
      <c r="F1006" s="155"/>
      <c r="G1006" s="157" t="n">
        <v>524.17</v>
      </c>
      <c r="H1006" s="155"/>
      <c r="I1006" s="155"/>
      <c r="J1006" s="155"/>
      <c r="K1006" s="146"/>
    </row>
    <row r="1007">
      <c r="A1007" s="154"/>
      <c r="B1007" s="155"/>
      <c r="C1007" s="155"/>
      <c r="D1007" s="156" t="s">
        <v>1715</v>
      </c>
      <c r="E1007" s="156" t="s">
        <v>1716</v>
      </c>
      <c r="F1007" s="155"/>
      <c r="G1007" s="157" t="n">
        <v>41.9336</v>
      </c>
      <c r="H1007" s="155"/>
      <c r="I1007" s="155"/>
      <c r="J1007" s="155"/>
      <c r="K1007" s="146"/>
    </row>
    <row r="1008">
      <c r="A1008" s="9" t="s">
        <v>1717</v>
      </c>
      <c r="B1008" s="10" t="s">
        <v>84</v>
      </c>
      <c r="C1008" s="10" t="s">
        <v>1718</v>
      </c>
      <c r="D1008" s="14" t="s">
        <v>1719</v>
      </c>
      <c r="E1008" s="10"/>
      <c r="F1008" s="10" t="s">
        <v>145</v>
      </c>
      <c r="G1008" s="111">
        <f>'Stavební rozpočet'!G1008</f>
      </c>
      <c r="H1008" s="111">
        <f>'Stavební rozpočet'!H1008</f>
      </c>
      <c r="I1008" s="111">
        <f>G1008*H1008</f>
      </c>
      <c r="J1008" s="153" t="s">
        <v>134</v>
      </c>
      <c r="K1008" s="146"/>
      <c r="Z1008" s="111">
        <f>IF(AQ1008="5",BJ1008,0)</f>
      </c>
      <c r="AB1008" s="111">
        <f>IF(AQ1008="1",BH1008,0)</f>
      </c>
      <c r="AC1008" s="111">
        <f>IF(AQ1008="1",BI1008,0)</f>
      </c>
      <c r="AD1008" s="111">
        <f>IF(AQ1008="7",BH1008,0)</f>
      </c>
      <c r="AE1008" s="111">
        <f>IF(AQ1008="7",BI1008,0)</f>
      </c>
      <c r="AF1008" s="111">
        <f>IF(AQ1008="2",BH1008,0)</f>
      </c>
      <c r="AG1008" s="111">
        <f>IF(AQ1008="2",BI1008,0)</f>
      </c>
      <c r="AH1008" s="111">
        <f>IF(AQ1008="0",BJ1008,0)</f>
      </c>
      <c r="AI1008" s="132" t="s">
        <v>84</v>
      </c>
      <c r="AJ1008" s="111">
        <f>IF(AN1008=0,I1008,0)</f>
      </c>
      <c r="AK1008" s="111">
        <f>IF(AN1008=12,I1008,0)</f>
      </c>
      <c r="AL1008" s="111">
        <f>IF(AN1008=21,I1008,0)</f>
      </c>
      <c r="AN1008" s="111" t="n">
        <v>21</v>
      </c>
      <c r="AO1008" s="111">
        <f>H1008*0</f>
      </c>
      <c r="AP1008" s="111">
        <f>H1008*(1-0)</f>
      </c>
      <c r="AQ1008" s="153" t="s">
        <v>173</v>
      </c>
      <c r="AV1008" s="111">
        <f>AW1008+AX1008</f>
      </c>
      <c r="AW1008" s="111">
        <f>G1008*AO1008</f>
      </c>
      <c r="AX1008" s="111">
        <f>G1008*AP1008</f>
      </c>
      <c r="AY1008" s="153" t="s">
        <v>1668</v>
      </c>
      <c r="AZ1008" s="153" t="s">
        <v>1620</v>
      </c>
      <c r="BA1008" s="132" t="s">
        <v>137</v>
      </c>
      <c r="BC1008" s="111">
        <f>AW1008+AX1008</f>
      </c>
      <c r="BD1008" s="111">
        <f>H1008/(100-BE1008)*100</f>
      </c>
      <c r="BE1008" s="111" t="n">
        <v>0</v>
      </c>
      <c r="BF1008" s="111">
        <f>1008</f>
      </c>
      <c r="BH1008" s="111">
        <f>G1008*AO1008</f>
      </c>
      <c r="BI1008" s="111">
        <f>G1008*AP1008</f>
      </c>
      <c r="BJ1008" s="111">
        <f>G1008*H1008</f>
      </c>
      <c r="BK1008" s="111"/>
      <c r="BL1008" s="111" t="n">
        <v>712</v>
      </c>
      <c r="BW1008" s="111" t="n">
        <v>21</v>
      </c>
      <c r="BX1008" s="14" t="s">
        <v>1719</v>
      </c>
    </row>
    <row r="1009" customHeight="true" ht="13.5">
      <c r="A1009" s="159"/>
      <c r="C1009" s="160" t="s">
        <v>146</v>
      </c>
      <c r="D1009" s="161" t="s">
        <v>1720</v>
      </c>
      <c r="E1009" s="156"/>
      <c r="F1009" s="156"/>
      <c r="G1009" s="156"/>
      <c r="H1009" s="156"/>
      <c r="I1009" s="156"/>
      <c r="J1009" s="156"/>
      <c r="K1009" s="163"/>
    </row>
    <row r="1010">
      <c r="A1010" s="154"/>
      <c r="B1010" s="155"/>
      <c r="C1010" s="155"/>
      <c r="D1010" s="156" t="s">
        <v>1714</v>
      </c>
      <c r="E1010" s="156" t="s">
        <v>1721</v>
      </c>
      <c r="F1010" s="155"/>
      <c r="G1010" s="157" t="n">
        <v>524.17</v>
      </c>
      <c r="H1010" s="155"/>
      <c r="I1010" s="155"/>
      <c r="J1010" s="155"/>
      <c r="K1010" s="146"/>
    </row>
    <row r="1011">
      <c r="A1011" s="154"/>
      <c r="B1011" s="155"/>
      <c r="C1011" s="155"/>
      <c r="D1011" s="156" t="s">
        <v>1722</v>
      </c>
      <c r="E1011" s="156" t="s">
        <v>1723</v>
      </c>
      <c r="F1011" s="155"/>
      <c r="G1011" s="157" t="n">
        <v>-41.63</v>
      </c>
      <c r="H1011" s="155"/>
      <c r="I1011" s="155"/>
      <c r="J1011" s="155"/>
      <c r="K1011" s="146"/>
    </row>
    <row r="1012">
      <c r="A1012" s="9" t="s">
        <v>1724</v>
      </c>
      <c r="B1012" s="10" t="s">
        <v>84</v>
      </c>
      <c r="C1012" s="10" t="s">
        <v>1725</v>
      </c>
      <c r="D1012" s="14" t="s">
        <v>1726</v>
      </c>
      <c r="E1012" s="10"/>
      <c r="F1012" s="10" t="s">
        <v>159</v>
      </c>
      <c r="G1012" s="111">
        <f>'Stavební rozpočet'!G1012</f>
      </c>
      <c r="H1012" s="111">
        <f>'Stavební rozpočet'!H1012</f>
      </c>
      <c r="I1012" s="111">
        <f>G1012*H1012</f>
      </c>
      <c r="J1012" s="153" t="s">
        <v>134</v>
      </c>
      <c r="K1012" s="146"/>
      <c r="Z1012" s="111">
        <f>IF(AQ1012="5",BJ1012,0)</f>
      </c>
      <c r="AB1012" s="111">
        <f>IF(AQ1012="1",BH1012,0)</f>
      </c>
      <c r="AC1012" s="111">
        <f>IF(AQ1012="1",BI1012,0)</f>
      </c>
      <c r="AD1012" s="111">
        <f>IF(AQ1012="7",BH1012,0)</f>
      </c>
      <c r="AE1012" s="111">
        <f>IF(AQ1012="7",BI1012,0)</f>
      </c>
      <c r="AF1012" s="111">
        <f>IF(AQ1012="2",BH1012,0)</f>
      </c>
      <c r="AG1012" s="111">
        <f>IF(AQ1012="2",BI1012,0)</f>
      </c>
      <c r="AH1012" s="111">
        <f>IF(AQ1012="0",BJ1012,0)</f>
      </c>
      <c r="AI1012" s="132" t="s">
        <v>84</v>
      </c>
      <c r="AJ1012" s="111">
        <f>IF(AN1012=0,I1012,0)</f>
      </c>
      <c r="AK1012" s="111">
        <f>IF(AN1012=12,I1012,0)</f>
      </c>
      <c r="AL1012" s="111">
        <f>IF(AN1012=21,I1012,0)</f>
      </c>
      <c r="AN1012" s="111" t="n">
        <v>21</v>
      </c>
      <c r="AO1012" s="111">
        <f>H1012*1</f>
      </c>
      <c r="AP1012" s="111">
        <f>H1012*(1-1)</f>
      </c>
      <c r="AQ1012" s="153" t="s">
        <v>173</v>
      </c>
      <c r="AV1012" s="111">
        <f>AW1012+AX1012</f>
      </c>
      <c r="AW1012" s="111">
        <f>G1012*AO1012</f>
      </c>
      <c r="AX1012" s="111">
        <f>G1012*AP1012</f>
      </c>
      <c r="AY1012" s="153" t="s">
        <v>1668</v>
      </c>
      <c r="AZ1012" s="153" t="s">
        <v>1620</v>
      </c>
      <c r="BA1012" s="132" t="s">
        <v>137</v>
      </c>
      <c r="BC1012" s="111">
        <f>AW1012+AX1012</f>
      </c>
      <c r="BD1012" s="111">
        <f>H1012/(100-BE1012)*100</f>
      </c>
      <c r="BE1012" s="111" t="n">
        <v>0</v>
      </c>
      <c r="BF1012" s="111">
        <f>1012</f>
      </c>
      <c r="BH1012" s="111">
        <f>G1012*AO1012</f>
      </c>
      <c r="BI1012" s="111">
        <f>G1012*AP1012</f>
      </c>
      <c r="BJ1012" s="111">
        <f>G1012*H1012</f>
      </c>
      <c r="BK1012" s="111"/>
      <c r="BL1012" s="111" t="n">
        <v>712</v>
      </c>
      <c r="BW1012" s="111" t="n">
        <v>21</v>
      </c>
      <c r="BX1012" s="14" t="s">
        <v>1726</v>
      </c>
    </row>
    <row r="1013">
      <c r="A1013" s="154"/>
      <c r="B1013" s="155"/>
      <c r="C1013" s="155"/>
      <c r="D1013" s="156" t="s">
        <v>1727</v>
      </c>
      <c r="E1013" s="156" t="s">
        <v>1710</v>
      </c>
      <c r="F1013" s="155"/>
      <c r="G1013" s="157" t="n">
        <v>26.2085</v>
      </c>
      <c r="H1013" s="155"/>
      <c r="I1013" s="155"/>
      <c r="J1013" s="155"/>
      <c r="K1013" s="146"/>
    </row>
    <row r="1014">
      <c r="A1014" s="154"/>
      <c r="B1014" s="155"/>
      <c r="C1014" s="155"/>
      <c r="D1014" s="156" t="s">
        <v>1728</v>
      </c>
      <c r="E1014" s="156" t="s">
        <v>1723</v>
      </c>
      <c r="F1014" s="155"/>
      <c r="G1014" s="157" t="n">
        <v>-2.0815</v>
      </c>
      <c r="H1014" s="155"/>
      <c r="I1014" s="155"/>
      <c r="J1014" s="155"/>
      <c r="K1014" s="146"/>
    </row>
    <row r="1015">
      <c r="A1015" s="154"/>
      <c r="B1015" s="155"/>
      <c r="C1015" s="155"/>
      <c r="D1015" s="156" t="s">
        <v>1729</v>
      </c>
      <c r="E1015" s="156" t="s">
        <v>1730</v>
      </c>
      <c r="F1015" s="155"/>
      <c r="G1015" s="157" t="n">
        <v>2.4127</v>
      </c>
      <c r="H1015" s="155"/>
      <c r="I1015" s="155"/>
      <c r="J1015" s="155"/>
      <c r="K1015" s="146"/>
    </row>
    <row r="1016">
      <c r="A1016" s="9" t="s">
        <v>1731</v>
      </c>
      <c r="B1016" s="10" t="s">
        <v>84</v>
      </c>
      <c r="C1016" s="10" t="s">
        <v>1732</v>
      </c>
      <c r="D1016" s="14" t="s">
        <v>1733</v>
      </c>
      <c r="E1016" s="10"/>
      <c r="F1016" s="10" t="s">
        <v>145</v>
      </c>
      <c r="G1016" s="111">
        <f>'Stavební rozpočet'!G1016</f>
      </c>
      <c r="H1016" s="111">
        <f>'Stavební rozpočet'!H1016</f>
      </c>
      <c r="I1016" s="111">
        <f>G1016*H1016</f>
      </c>
      <c r="J1016" s="153" t="s">
        <v>134</v>
      </c>
      <c r="K1016" s="146"/>
      <c r="Z1016" s="111">
        <f>IF(AQ1016="5",BJ1016,0)</f>
      </c>
      <c r="AB1016" s="111">
        <f>IF(AQ1016="1",BH1016,0)</f>
      </c>
      <c r="AC1016" s="111">
        <f>IF(AQ1016="1",BI1016,0)</f>
      </c>
      <c r="AD1016" s="111">
        <f>IF(AQ1016="7",BH1016,0)</f>
      </c>
      <c r="AE1016" s="111">
        <f>IF(AQ1016="7",BI1016,0)</f>
      </c>
      <c r="AF1016" s="111">
        <f>IF(AQ1016="2",BH1016,0)</f>
      </c>
      <c r="AG1016" s="111">
        <f>IF(AQ1016="2",BI1016,0)</f>
      </c>
      <c r="AH1016" s="111">
        <f>IF(AQ1016="0",BJ1016,0)</f>
      </c>
      <c r="AI1016" s="132" t="s">
        <v>84</v>
      </c>
      <c r="AJ1016" s="111">
        <f>IF(AN1016=0,I1016,0)</f>
      </c>
      <c r="AK1016" s="111">
        <f>IF(AN1016=12,I1016,0)</f>
      </c>
      <c r="AL1016" s="111">
        <f>IF(AN1016=21,I1016,0)</f>
      </c>
      <c r="AN1016" s="111" t="n">
        <v>21</v>
      </c>
      <c r="AO1016" s="111">
        <f>H1016*0.532518815</f>
      </c>
      <c r="AP1016" s="111">
        <f>H1016*(1-0.532518815)</f>
      </c>
      <c r="AQ1016" s="153" t="s">
        <v>173</v>
      </c>
      <c r="AV1016" s="111">
        <f>AW1016+AX1016</f>
      </c>
      <c r="AW1016" s="111">
        <f>G1016*AO1016</f>
      </c>
      <c r="AX1016" s="111">
        <f>G1016*AP1016</f>
      </c>
      <c r="AY1016" s="153" t="s">
        <v>1668</v>
      </c>
      <c r="AZ1016" s="153" t="s">
        <v>1620</v>
      </c>
      <c r="BA1016" s="132" t="s">
        <v>137</v>
      </c>
      <c r="BC1016" s="111">
        <f>AW1016+AX1016</f>
      </c>
      <c r="BD1016" s="111">
        <f>H1016/(100-BE1016)*100</f>
      </c>
      <c r="BE1016" s="111" t="n">
        <v>0</v>
      </c>
      <c r="BF1016" s="111">
        <f>1016</f>
      </c>
      <c r="BH1016" s="111">
        <f>G1016*AO1016</f>
      </c>
      <c r="BI1016" s="111">
        <f>G1016*AP1016</f>
      </c>
      <c r="BJ1016" s="111">
        <f>G1016*H1016</f>
      </c>
      <c r="BK1016" s="111"/>
      <c r="BL1016" s="111" t="n">
        <v>712</v>
      </c>
      <c r="BW1016" s="111" t="n">
        <v>21</v>
      </c>
      <c r="BX1016" s="14" t="s">
        <v>1733</v>
      </c>
    </row>
    <row r="1017" customHeight="true" ht="13.5">
      <c r="A1017" s="159"/>
      <c r="C1017" s="160" t="s">
        <v>146</v>
      </c>
      <c r="D1017" s="161" t="s">
        <v>1734</v>
      </c>
      <c r="E1017" s="156"/>
      <c r="F1017" s="156"/>
      <c r="G1017" s="156"/>
      <c r="H1017" s="156"/>
      <c r="I1017" s="156"/>
      <c r="J1017" s="156"/>
      <c r="K1017" s="163"/>
    </row>
    <row r="1018">
      <c r="A1018" s="154"/>
      <c r="B1018" s="155"/>
      <c r="C1018" s="155"/>
      <c r="D1018" s="156" t="s">
        <v>1714</v>
      </c>
      <c r="E1018" s="156" t="s">
        <v>1721</v>
      </c>
      <c r="F1018" s="155"/>
      <c r="G1018" s="157" t="n">
        <v>524.17</v>
      </c>
      <c r="H1018" s="155"/>
      <c r="I1018" s="155"/>
      <c r="J1018" s="155"/>
      <c r="K1018" s="146"/>
    </row>
    <row r="1019">
      <c r="A1019" s="9" t="s">
        <v>1735</v>
      </c>
      <c r="B1019" s="10" t="s">
        <v>84</v>
      </c>
      <c r="C1019" s="10" t="s">
        <v>1736</v>
      </c>
      <c r="D1019" s="14" t="s">
        <v>1737</v>
      </c>
      <c r="E1019" s="10"/>
      <c r="F1019" s="10" t="s">
        <v>145</v>
      </c>
      <c r="G1019" s="111">
        <f>'Stavební rozpočet'!G1019</f>
      </c>
      <c r="H1019" s="111">
        <f>'Stavební rozpočet'!H1019</f>
      </c>
      <c r="I1019" s="111">
        <f>G1019*H1019</f>
      </c>
      <c r="J1019" s="153" t="s">
        <v>134</v>
      </c>
      <c r="K1019" s="146"/>
      <c r="Z1019" s="111">
        <f>IF(AQ1019="5",BJ1019,0)</f>
      </c>
      <c r="AB1019" s="111">
        <f>IF(AQ1019="1",BH1019,0)</f>
      </c>
      <c r="AC1019" s="111">
        <f>IF(AQ1019="1",BI1019,0)</f>
      </c>
      <c r="AD1019" s="111">
        <f>IF(AQ1019="7",BH1019,0)</f>
      </c>
      <c r="AE1019" s="111">
        <f>IF(AQ1019="7",BI1019,0)</f>
      </c>
      <c r="AF1019" s="111">
        <f>IF(AQ1019="2",BH1019,0)</f>
      </c>
      <c r="AG1019" s="111">
        <f>IF(AQ1019="2",BI1019,0)</f>
      </c>
      <c r="AH1019" s="111">
        <f>IF(AQ1019="0",BJ1019,0)</f>
      </c>
      <c r="AI1019" s="132" t="s">
        <v>84</v>
      </c>
      <c r="AJ1019" s="111">
        <f>IF(AN1019=0,I1019,0)</f>
      </c>
      <c r="AK1019" s="111">
        <f>IF(AN1019=12,I1019,0)</f>
      </c>
      <c r="AL1019" s="111">
        <f>IF(AN1019=21,I1019,0)</f>
      </c>
      <c r="AN1019" s="111" t="n">
        <v>21</v>
      </c>
      <c r="AO1019" s="111">
        <f>H1019*0.909324026</f>
      </c>
      <c r="AP1019" s="111">
        <f>H1019*(1-0.909324026)</f>
      </c>
      <c r="AQ1019" s="153" t="s">
        <v>173</v>
      </c>
      <c r="AV1019" s="111">
        <f>AW1019+AX1019</f>
      </c>
      <c r="AW1019" s="111">
        <f>G1019*AO1019</f>
      </c>
      <c r="AX1019" s="111">
        <f>G1019*AP1019</f>
      </c>
      <c r="AY1019" s="153" t="s">
        <v>1668</v>
      </c>
      <c r="AZ1019" s="153" t="s">
        <v>1620</v>
      </c>
      <c r="BA1019" s="132" t="s">
        <v>137</v>
      </c>
      <c r="BC1019" s="111">
        <f>AW1019+AX1019</f>
      </c>
      <c r="BD1019" s="111">
        <f>H1019/(100-BE1019)*100</f>
      </c>
      <c r="BE1019" s="111" t="n">
        <v>0</v>
      </c>
      <c r="BF1019" s="111">
        <f>1019</f>
      </c>
      <c r="BH1019" s="111">
        <f>G1019*AO1019</f>
      </c>
      <c r="BI1019" s="111">
        <f>G1019*AP1019</f>
      </c>
      <c r="BJ1019" s="111">
        <f>G1019*H1019</f>
      </c>
      <c r="BK1019" s="111"/>
      <c r="BL1019" s="111" t="n">
        <v>712</v>
      </c>
      <c r="BW1019" s="111" t="n">
        <v>21</v>
      </c>
      <c r="BX1019" s="14" t="s">
        <v>1737</v>
      </c>
    </row>
    <row r="1020" customHeight="true" ht="13.5">
      <c r="A1020" s="159"/>
      <c r="C1020" s="160" t="s">
        <v>146</v>
      </c>
      <c r="D1020" s="161" t="s">
        <v>1738</v>
      </c>
      <c r="E1020" s="156"/>
      <c r="F1020" s="156"/>
      <c r="G1020" s="156"/>
      <c r="H1020" s="156"/>
      <c r="I1020" s="156"/>
      <c r="J1020" s="156"/>
      <c r="K1020" s="163"/>
    </row>
    <row r="1021">
      <c r="A1021" s="154"/>
      <c r="B1021" s="155"/>
      <c r="C1021" s="155"/>
      <c r="D1021" s="156" t="s">
        <v>1714</v>
      </c>
      <c r="E1021" s="156" t="s">
        <v>1721</v>
      </c>
      <c r="F1021" s="155"/>
      <c r="G1021" s="157" t="n">
        <v>524.17</v>
      </c>
      <c r="H1021" s="155"/>
      <c r="I1021" s="155"/>
      <c r="J1021" s="155"/>
      <c r="K1021" s="146"/>
    </row>
    <row r="1022">
      <c r="A1022" s="9" t="s">
        <v>1739</v>
      </c>
      <c r="B1022" s="10" t="s">
        <v>84</v>
      </c>
      <c r="C1022" s="10" t="s">
        <v>1740</v>
      </c>
      <c r="D1022" s="14" t="s">
        <v>1741</v>
      </c>
      <c r="E1022" s="10"/>
      <c r="F1022" s="10" t="s">
        <v>133</v>
      </c>
      <c r="G1022" s="111">
        <f>'Stavební rozpočet'!G1022</f>
      </c>
      <c r="H1022" s="111">
        <f>'Stavební rozpočet'!H1022</f>
      </c>
      <c r="I1022" s="111">
        <f>G1022*H1022</f>
      </c>
      <c r="J1022" s="153" t="s">
        <v>134</v>
      </c>
      <c r="K1022" s="146"/>
      <c r="Z1022" s="111">
        <f>IF(AQ1022="5",BJ1022,0)</f>
      </c>
      <c r="AB1022" s="111">
        <f>IF(AQ1022="1",BH1022,0)</f>
      </c>
      <c r="AC1022" s="111">
        <f>IF(AQ1022="1",BI1022,0)</f>
      </c>
      <c r="AD1022" s="111">
        <f>IF(AQ1022="7",BH1022,0)</f>
      </c>
      <c r="AE1022" s="111">
        <f>IF(AQ1022="7",BI1022,0)</f>
      </c>
      <c r="AF1022" s="111">
        <f>IF(AQ1022="2",BH1022,0)</f>
      </c>
      <c r="AG1022" s="111">
        <f>IF(AQ1022="2",BI1022,0)</f>
      </c>
      <c r="AH1022" s="111">
        <f>IF(AQ1022="0",BJ1022,0)</f>
      </c>
      <c r="AI1022" s="132" t="s">
        <v>84</v>
      </c>
      <c r="AJ1022" s="111">
        <f>IF(AN1022=0,I1022,0)</f>
      </c>
      <c r="AK1022" s="111">
        <f>IF(AN1022=12,I1022,0)</f>
      </c>
      <c r="AL1022" s="111">
        <f>IF(AN1022=21,I1022,0)</f>
      </c>
      <c r="AN1022" s="111" t="n">
        <v>21</v>
      </c>
      <c r="AO1022" s="111">
        <f>H1022*0.771839135</f>
      </c>
      <c r="AP1022" s="111">
        <f>H1022*(1-0.771839135)</f>
      </c>
      <c r="AQ1022" s="153" t="s">
        <v>173</v>
      </c>
      <c r="AV1022" s="111">
        <f>AW1022+AX1022</f>
      </c>
      <c r="AW1022" s="111">
        <f>G1022*AO1022</f>
      </c>
      <c r="AX1022" s="111">
        <f>G1022*AP1022</f>
      </c>
      <c r="AY1022" s="153" t="s">
        <v>1668</v>
      </c>
      <c r="AZ1022" s="153" t="s">
        <v>1620</v>
      </c>
      <c r="BA1022" s="132" t="s">
        <v>137</v>
      </c>
      <c r="BC1022" s="111">
        <f>AW1022+AX1022</f>
      </c>
      <c r="BD1022" s="111">
        <f>H1022/(100-BE1022)*100</f>
      </c>
      <c r="BE1022" s="111" t="n">
        <v>0</v>
      </c>
      <c r="BF1022" s="111">
        <f>1022</f>
      </c>
      <c r="BH1022" s="111">
        <f>G1022*AO1022</f>
      </c>
      <c r="BI1022" s="111">
        <f>G1022*AP1022</f>
      </c>
      <c r="BJ1022" s="111">
        <f>G1022*H1022</f>
      </c>
      <c r="BK1022" s="111"/>
      <c r="BL1022" s="111" t="n">
        <v>712</v>
      </c>
      <c r="BW1022" s="111" t="n">
        <v>21</v>
      </c>
      <c r="BX1022" s="14" t="s">
        <v>1741</v>
      </c>
    </row>
    <row r="1023" customHeight="true" ht="13.5">
      <c r="A1023" s="159"/>
      <c r="C1023" s="160" t="s">
        <v>146</v>
      </c>
      <c r="D1023" s="161" t="s">
        <v>1742</v>
      </c>
      <c r="E1023" s="156"/>
      <c r="F1023" s="156"/>
      <c r="G1023" s="156"/>
      <c r="H1023" s="156"/>
      <c r="I1023" s="156"/>
      <c r="J1023" s="156"/>
      <c r="K1023" s="163"/>
    </row>
    <row r="1024">
      <c r="A1024" s="154"/>
      <c r="B1024" s="155"/>
      <c r="C1024" s="155"/>
      <c r="D1024" s="156" t="s">
        <v>130</v>
      </c>
      <c r="E1024" s="156" t="s">
        <v>1743</v>
      </c>
      <c r="F1024" s="155"/>
      <c r="G1024" s="157" t="n">
        <v>1</v>
      </c>
      <c r="H1024" s="155"/>
      <c r="I1024" s="155"/>
      <c r="J1024" s="155"/>
      <c r="K1024" s="146"/>
    </row>
    <row r="1025">
      <c r="A1025" s="9" t="s">
        <v>1744</v>
      </c>
      <c r="B1025" s="10" t="s">
        <v>84</v>
      </c>
      <c r="C1025" s="10" t="s">
        <v>1745</v>
      </c>
      <c r="D1025" s="14" t="s">
        <v>1746</v>
      </c>
      <c r="E1025" s="10"/>
      <c r="F1025" s="10" t="s">
        <v>133</v>
      </c>
      <c r="G1025" s="111">
        <f>'Stavební rozpočet'!G1025</f>
      </c>
      <c r="H1025" s="111">
        <f>'Stavební rozpočet'!H1025</f>
      </c>
      <c r="I1025" s="111">
        <f>G1025*H1025</f>
      </c>
      <c r="J1025" s="153" t="s">
        <v>134</v>
      </c>
      <c r="K1025" s="146"/>
      <c r="Z1025" s="111">
        <f>IF(AQ1025="5",BJ1025,0)</f>
      </c>
      <c r="AB1025" s="111">
        <f>IF(AQ1025="1",BH1025,0)</f>
      </c>
      <c r="AC1025" s="111">
        <f>IF(AQ1025="1",BI1025,0)</f>
      </c>
      <c r="AD1025" s="111">
        <f>IF(AQ1025="7",BH1025,0)</f>
      </c>
      <c r="AE1025" s="111">
        <f>IF(AQ1025="7",BI1025,0)</f>
      </c>
      <c r="AF1025" s="111">
        <f>IF(AQ1025="2",BH1025,0)</f>
      </c>
      <c r="AG1025" s="111">
        <f>IF(AQ1025="2",BI1025,0)</f>
      </c>
      <c r="AH1025" s="111">
        <f>IF(AQ1025="0",BJ1025,0)</f>
      </c>
      <c r="AI1025" s="132" t="s">
        <v>84</v>
      </c>
      <c r="AJ1025" s="111">
        <f>IF(AN1025=0,I1025,0)</f>
      </c>
      <c r="AK1025" s="111">
        <f>IF(AN1025=12,I1025,0)</f>
      </c>
      <c r="AL1025" s="111">
        <f>IF(AN1025=21,I1025,0)</f>
      </c>
      <c r="AN1025" s="111" t="n">
        <v>21</v>
      </c>
      <c r="AO1025" s="111">
        <f>H1025*0.777559066</f>
      </c>
      <c r="AP1025" s="111">
        <f>H1025*(1-0.777559066)</f>
      </c>
      <c r="AQ1025" s="153" t="s">
        <v>173</v>
      </c>
      <c r="AV1025" s="111">
        <f>AW1025+AX1025</f>
      </c>
      <c r="AW1025" s="111">
        <f>G1025*AO1025</f>
      </c>
      <c r="AX1025" s="111">
        <f>G1025*AP1025</f>
      </c>
      <c r="AY1025" s="153" t="s">
        <v>1668</v>
      </c>
      <c r="AZ1025" s="153" t="s">
        <v>1620</v>
      </c>
      <c r="BA1025" s="132" t="s">
        <v>137</v>
      </c>
      <c r="BC1025" s="111">
        <f>AW1025+AX1025</f>
      </c>
      <c r="BD1025" s="111">
        <f>H1025/(100-BE1025)*100</f>
      </c>
      <c r="BE1025" s="111" t="n">
        <v>0</v>
      </c>
      <c r="BF1025" s="111">
        <f>1025</f>
      </c>
      <c r="BH1025" s="111">
        <f>G1025*AO1025</f>
      </c>
      <c r="BI1025" s="111">
        <f>G1025*AP1025</f>
      </c>
      <c r="BJ1025" s="111">
        <f>G1025*H1025</f>
      </c>
      <c r="BK1025" s="111"/>
      <c r="BL1025" s="111" t="n">
        <v>712</v>
      </c>
      <c r="BW1025" s="111" t="n">
        <v>21</v>
      </c>
      <c r="BX1025" s="14" t="s">
        <v>1746</v>
      </c>
    </row>
    <row r="1026" customHeight="true" ht="13.5">
      <c r="A1026" s="159"/>
      <c r="C1026" s="160" t="s">
        <v>146</v>
      </c>
      <c r="D1026" s="161" t="s">
        <v>1747</v>
      </c>
      <c r="E1026" s="156"/>
      <c r="F1026" s="156"/>
      <c r="G1026" s="156"/>
      <c r="H1026" s="156"/>
      <c r="I1026" s="156"/>
      <c r="J1026" s="156"/>
      <c r="K1026" s="163"/>
    </row>
    <row r="1027">
      <c r="A1027" s="154"/>
      <c r="B1027" s="155"/>
      <c r="C1027" s="155"/>
      <c r="D1027" s="156" t="s">
        <v>130</v>
      </c>
      <c r="E1027" s="156" t="s">
        <v>1748</v>
      </c>
      <c r="F1027" s="155"/>
      <c r="G1027" s="157" t="n">
        <v>1</v>
      </c>
      <c r="H1027" s="155"/>
      <c r="I1027" s="155"/>
      <c r="J1027" s="155"/>
      <c r="K1027" s="146"/>
    </row>
    <row r="1028">
      <c r="A1028" s="154"/>
      <c r="B1028" s="155"/>
      <c r="C1028" s="155"/>
      <c r="D1028" s="156" t="s">
        <v>130</v>
      </c>
      <c r="E1028" s="156" t="s">
        <v>1749</v>
      </c>
      <c r="F1028" s="155"/>
      <c r="G1028" s="157" t="n">
        <v>1</v>
      </c>
      <c r="H1028" s="155"/>
      <c r="I1028" s="155"/>
      <c r="J1028" s="155"/>
      <c r="K1028" s="146"/>
    </row>
    <row r="1029">
      <c r="A1029" s="9" t="s">
        <v>1750</v>
      </c>
      <c r="B1029" s="10" t="s">
        <v>84</v>
      </c>
      <c r="C1029" s="10" t="s">
        <v>1751</v>
      </c>
      <c r="D1029" s="14" t="s">
        <v>1752</v>
      </c>
      <c r="E1029" s="10"/>
      <c r="F1029" s="10" t="s">
        <v>133</v>
      </c>
      <c r="G1029" s="111">
        <f>'Stavební rozpočet'!G1029</f>
      </c>
      <c r="H1029" s="111">
        <f>'Stavební rozpočet'!H1029</f>
      </c>
      <c r="I1029" s="111">
        <f>G1029*H1029</f>
      </c>
      <c r="J1029" s="153" t="s">
        <v>134</v>
      </c>
      <c r="K1029" s="146"/>
      <c r="Z1029" s="111">
        <f>IF(AQ1029="5",BJ1029,0)</f>
      </c>
      <c r="AB1029" s="111">
        <f>IF(AQ1029="1",BH1029,0)</f>
      </c>
      <c r="AC1029" s="111">
        <f>IF(AQ1029="1",BI1029,0)</f>
      </c>
      <c r="AD1029" s="111">
        <f>IF(AQ1029="7",BH1029,0)</f>
      </c>
      <c r="AE1029" s="111">
        <f>IF(AQ1029="7",BI1029,0)</f>
      </c>
      <c r="AF1029" s="111">
        <f>IF(AQ1029="2",BH1029,0)</f>
      </c>
      <c r="AG1029" s="111">
        <f>IF(AQ1029="2",BI1029,0)</f>
      </c>
      <c r="AH1029" s="111">
        <f>IF(AQ1029="0",BJ1029,0)</f>
      </c>
      <c r="AI1029" s="132" t="s">
        <v>84</v>
      </c>
      <c r="AJ1029" s="111">
        <f>IF(AN1029=0,I1029,0)</f>
      </c>
      <c r="AK1029" s="111">
        <f>IF(AN1029=12,I1029,0)</f>
      </c>
      <c r="AL1029" s="111">
        <f>IF(AN1029=21,I1029,0)</f>
      </c>
      <c r="AN1029" s="111" t="n">
        <v>21</v>
      </c>
      <c r="AO1029" s="111">
        <f>H1029*0.810367965</f>
      </c>
      <c r="AP1029" s="111">
        <f>H1029*(1-0.810367965)</f>
      </c>
      <c r="AQ1029" s="153" t="s">
        <v>173</v>
      </c>
      <c r="AV1029" s="111">
        <f>AW1029+AX1029</f>
      </c>
      <c r="AW1029" s="111">
        <f>G1029*AO1029</f>
      </c>
      <c r="AX1029" s="111">
        <f>G1029*AP1029</f>
      </c>
      <c r="AY1029" s="153" t="s">
        <v>1668</v>
      </c>
      <c r="AZ1029" s="153" t="s">
        <v>1620</v>
      </c>
      <c r="BA1029" s="132" t="s">
        <v>137</v>
      </c>
      <c r="BC1029" s="111">
        <f>AW1029+AX1029</f>
      </c>
      <c r="BD1029" s="111">
        <f>H1029/(100-BE1029)*100</f>
      </c>
      <c r="BE1029" s="111" t="n">
        <v>0</v>
      </c>
      <c r="BF1029" s="111">
        <f>1029</f>
      </c>
      <c r="BH1029" s="111">
        <f>G1029*AO1029</f>
      </c>
      <c r="BI1029" s="111">
        <f>G1029*AP1029</f>
      </c>
      <c r="BJ1029" s="111">
        <f>G1029*H1029</f>
      </c>
      <c r="BK1029" s="111"/>
      <c r="BL1029" s="111" t="n">
        <v>712</v>
      </c>
      <c r="BW1029" s="111" t="n">
        <v>21</v>
      </c>
      <c r="BX1029" s="14" t="s">
        <v>1752</v>
      </c>
    </row>
    <row r="1030" customHeight="true" ht="13.5">
      <c r="A1030" s="159"/>
      <c r="C1030" s="160" t="s">
        <v>146</v>
      </c>
      <c r="D1030" s="161" t="s">
        <v>1753</v>
      </c>
      <c r="E1030" s="156"/>
      <c r="F1030" s="156"/>
      <c r="G1030" s="156"/>
      <c r="H1030" s="156"/>
      <c r="I1030" s="156"/>
      <c r="J1030" s="156"/>
      <c r="K1030" s="163"/>
    </row>
    <row r="1031">
      <c r="A1031" s="154"/>
      <c r="B1031" s="155"/>
      <c r="C1031" s="155"/>
      <c r="D1031" s="156" t="s">
        <v>130</v>
      </c>
      <c r="E1031" s="156" t="s">
        <v>1754</v>
      </c>
      <c r="F1031" s="155"/>
      <c r="G1031" s="157" t="n">
        <v>1</v>
      </c>
      <c r="H1031" s="155"/>
      <c r="I1031" s="155"/>
      <c r="J1031" s="155"/>
      <c r="K1031" s="146"/>
    </row>
    <row r="1032">
      <c r="A1032" s="9" t="s">
        <v>1755</v>
      </c>
      <c r="B1032" s="10" t="s">
        <v>84</v>
      </c>
      <c r="C1032" s="10" t="s">
        <v>1756</v>
      </c>
      <c r="D1032" s="14" t="s">
        <v>1757</v>
      </c>
      <c r="E1032" s="10"/>
      <c r="F1032" s="10" t="s">
        <v>133</v>
      </c>
      <c r="G1032" s="111">
        <f>'Stavební rozpočet'!G1032</f>
      </c>
      <c r="H1032" s="111">
        <f>'Stavební rozpočet'!H1032</f>
      </c>
      <c r="I1032" s="111">
        <f>G1032*H1032</f>
      </c>
      <c r="J1032" s="153" t="s">
        <v>134</v>
      </c>
      <c r="K1032" s="146"/>
      <c r="Z1032" s="111">
        <f>IF(AQ1032="5",BJ1032,0)</f>
      </c>
      <c r="AB1032" s="111">
        <f>IF(AQ1032="1",BH1032,0)</f>
      </c>
      <c r="AC1032" s="111">
        <f>IF(AQ1032="1",BI1032,0)</f>
      </c>
      <c r="AD1032" s="111">
        <f>IF(AQ1032="7",BH1032,0)</f>
      </c>
      <c r="AE1032" s="111">
        <f>IF(AQ1032="7",BI1032,0)</f>
      </c>
      <c r="AF1032" s="111">
        <f>IF(AQ1032="2",BH1032,0)</f>
      </c>
      <c r="AG1032" s="111">
        <f>IF(AQ1032="2",BI1032,0)</f>
      </c>
      <c r="AH1032" s="111">
        <f>IF(AQ1032="0",BJ1032,0)</f>
      </c>
      <c r="AI1032" s="132" t="s">
        <v>84</v>
      </c>
      <c r="AJ1032" s="111">
        <f>IF(AN1032=0,I1032,0)</f>
      </c>
      <c r="AK1032" s="111">
        <f>IF(AN1032=12,I1032,0)</f>
      </c>
      <c r="AL1032" s="111">
        <f>IF(AN1032=21,I1032,0)</f>
      </c>
      <c r="AN1032" s="111" t="n">
        <v>21</v>
      </c>
      <c r="AO1032" s="111">
        <f>H1032*0.664599119</f>
      </c>
      <c r="AP1032" s="111">
        <f>H1032*(1-0.664599119)</f>
      </c>
      <c r="AQ1032" s="153" t="s">
        <v>173</v>
      </c>
      <c r="AV1032" s="111">
        <f>AW1032+AX1032</f>
      </c>
      <c r="AW1032" s="111">
        <f>G1032*AO1032</f>
      </c>
      <c r="AX1032" s="111">
        <f>G1032*AP1032</f>
      </c>
      <c r="AY1032" s="153" t="s">
        <v>1668</v>
      </c>
      <c r="AZ1032" s="153" t="s">
        <v>1620</v>
      </c>
      <c r="BA1032" s="132" t="s">
        <v>137</v>
      </c>
      <c r="BC1032" s="111">
        <f>AW1032+AX1032</f>
      </c>
      <c r="BD1032" s="111">
        <f>H1032/(100-BE1032)*100</f>
      </c>
      <c r="BE1032" s="111" t="n">
        <v>0</v>
      </c>
      <c r="BF1032" s="111">
        <f>1032</f>
      </c>
      <c r="BH1032" s="111">
        <f>G1032*AO1032</f>
      </c>
      <c r="BI1032" s="111">
        <f>G1032*AP1032</f>
      </c>
      <c r="BJ1032" s="111">
        <f>G1032*H1032</f>
      </c>
      <c r="BK1032" s="111"/>
      <c r="BL1032" s="111" t="n">
        <v>712</v>
      </c>
      <c r="BW1032" s="111" t="n">
        <v>21</v>
      </c>
      <c r="BX1032" s="14" t="s">
        <v>1757</v>
      </c>
    </row>
    <row r="1033">
      <c r="A1033" s="154"/>
      <c r="B1033" s="155"/>
      <c r="C1033" s="155"/>
      <c r="D1033" s="156" t="s">
        <v>498</v>
      </c>
      <c r="E1033" s="156" t="s">
        <v>1758</v>
      </c>
      <c r="F1033" s="155"/>
      <c r="G1033" s="157" t="n">
        <v>55</v>
      </c>
      <c r="H1033" s="155"/>
      <c r="I1033" s="155"/>
      <c r="J1033" s="155"/>
      <c r="K1033" s="146"/>
    </row>
    <row r="1034">
      <c r="A1034" s="9" t="s">
        <v>1759</v>
      </c>
      <c r="B1034" s="10" t="s">
        <v>84</v>
      </c>
      <c r="C1034" s="10" t="s">
        <v>1760</v>
      </c>
      <c r="D1034" s="14" t="s">
        <v>1761</v>
      </c>
      <c r="E1034" s="10"/>
      <c r="F1034" s="10" t="s">
        <v>133</v>
      </c>
      <c r="G1034" s="111">
        <f>'Stavební rozpočet'!G1034</f>
      </c>
      <c r="H1034" s="111">
        <f>'Stavební rozpočet'!H1034</f>
      </c>
      <c r="I1034" s="111">
        <f>G1034*H1034</f>
      </c>
      <c r="J1034" s="153" t="s">
        <v>134</v>
      </c>
      <c r="K1034" s="146"/>
      <c r="Z1034" s="111">
        <f>IF(AQ1034="5",BJ1034,0)</f>
      </c>
      <c r="AB1034" s="111">
        <f>IF(AQ1034="1",BH1034,0)</f>
      </c>
      <c r="AC1034" s="111">
        <f>IF(AQ1034="1",BI1034,0)</f>
      </c>
      <c r="AD1034" s="111">
        <f>IF(AQ1034="7",BH1034,0)</f>
      </c>
      <c r="AE1034" s="111">
        <f>IF(AQ1034="7",BI1034,0)</f>
      </c>
      <c r="AF1034" s="111">
        <f>IF(AQ1034="2",BH1034,0)</f>
      </c>
      <c r="AG1034" s="111">
        <f>IF(AQ1034="2",BI1034,0)</f>
      </c>
      <c r="AH1034" s="111">
        <f>IF(AQ1034="0",BJ1034,0)</f>
      </c>
      <c r="AI1034" s="132" t="s">
        <v>84</v>
      </c>
      <c r="AJ1034" s="111">
        <f>IF(AN1034=0,I1034,0)</f>
      </c>
      <c r="AK1034" s="111">
        <f>IF(AN1034=12,I1034,0)</f>
      </c>
      <c r="AL1034" s="111">
        <f>IF(AN1034=21,I1034,0)</f>
      </c>
      <c r="AN1034" s="111" t="n">
        <v>21</v>
      </c>
      <c r="AO1034" s="111">
        <f>H1034*0.757856465</f>
      </c>
      <c r="AP1034" s="111">
        <f>H1034*(1-0.757856465)</f>
      </c>
      <c r="AQ1034" s="153" t="s">
        <v>173</v>
      </c>
      <c r="AV1034" s="111">
        <f>AW1034+AX1034</f>
      </c>
      <c r="AW1034" s="111">
        <f>G1034*AO1034</f>
      </c>
      <c r="AX1034" s="111">
        <f>G1034*AP1034</f>
      </c>
      <c r="AY1034" s="153" t="s">
        <v>1668</v>
      </c>
      <c r="AZ1034" s="153" t="s">
        <v>1620</v>
      </c>
      <c r="BA1034" s="132" t="s">
        <v>137</v>
      </c>
      <c r="BC1034" s="111">
        <f>AW1034+AX1034</f>
      </c>
      <c r="BD1034" s="111">
        <f>H1034/(100-BE1034)*100</f>
      </c>
      <c r="BE1034" s="111" t="n">
        <v>0</v>
      </c>
      <c r="BF1034" s="111">
        <f>1034</f>
      </c>
      <c r="BH1034" s="111">
        <f>G1034*AO1034</f>
      </c>
      <c r="BI1034" s="111">
        <f>G1034*AP1034</f>
      </c>
      <c r="BJ1034" s="111">
        <f>G1034*H1034</f>
      </c>
      <c r="BK1034" s="111"/>
      <c r="BL1034" s="111" t="n">
        <v>712</v>
      </c>
      <c r="BW1034" s="111" t="n">
        <v>21</v>
      </c>
      <c r="BX1034" s="14" t="s">
        <v>1761</v>
      </c>
    </row>
    <row r="1035" customHeight="true" ht="13.5">
      <c r="A1035" s="159"/>
      <c r="C1035" s="160" t="s">
        <v>146</v>
      </c>
      <c r="D1035" s="161" t="s">
        <v>1762</v>
      </c>
      <c r="E1035" s="156"/>
      <c r="F1035" s="156"/>
      <c r="G1035" s="156"/>
      <c r="H1035" s="156"/>
      <c r="I1035" s="156"/>
      <c r="J1035" s="156"/>
      <c r="K1035" s="163"/>
    </row>
    <row r="1036">
      <c r="A1036" s="154"/>
      <c r="B1036" s="155"/>
      <c r="C1036" s="155"/>
      <c r="D1036" s="156" t="s">
        <v>212</v>
      </c>
      <c r="E1036" s="156" t="s">
        <v>1763</v>
      </c>
      <c r="F1036" s="155"/>
      <c r="G1036" s="157" t="n">
        <v>14</v>
      </c>
      <c r="H1036" s="155"/>
      <c r="I1036" s="155"/>
      <c r="J1036" s="155"/>
      <c r="K1036" s="146"/>
    </row>
    <row r="1037">
      <c r="A1037" s="9" t="s">
        <v>1764</v>
      </c>
      <c r="B1037" s="10" t="s">
        <v>84</v>
      </c>
      <c r="C1037" s="10" t="s">
        <v>1765</v>
      </c>
      <c r="D1037" s="14" t="s">
        <v>1761</v>
      </c>
      <c r="E1037" s="10"/>
      <c r="F1037" s="10" t="s">
        <v>133</v>
      </c>
      <c r="G1037" s="111">
        <f>'Stavební rozpočet'!G1037</f>
      </c>
      <c r="H1037" s="111">
        <f>'Stavební rozpočet'!H1037</f>
      </c>
      <c r="I1037" s="111">
        <f>G1037*H1037</f>
      </c>
      <c r="J1037" s="153" t="s">
        <v>134</v>
      </c>
      <c r="K1037" s="146"/>
      <c r="Z1037" s="111">
        <f>IF(AQ1037="5",BJ1037,0)</f>
      </c>
      <c r="AB1037" s="111">
        <f>IF(AQ1037="1",BH1037,0)</f>
      </c>
      <c r="AC1037" s="111">
        <f>IF(AQ1037="1",BI1037,0)</f>
      </c>
      <c r="AD1037" s="111">
        <f>IF(AQ1037="7",BH1037,0)</f>
      </c>
      <c r="AE1037" s="111">
        <f>IF(AQ1037="7",BI1037,0)</f>
      </c>
      <c r="AF1037" s="111">
        <f>IF(AQ1037="2",BH1037,0)</f>
      </c>
      <c r="AG1037" s="111">
        <f>IF(AQ1037="2",BI1037,0)</f>
      </c>
      <c r="AH1037" s="111">
        <f>IF(AQ1037="0",BJ1037,0)</f>
      </c>
      <c r="AI1037" s="132" t="s">
        <v>84</v>
      </c>
      <c r="AJ1037" s="111">
        <f>IF(AN1037=0,I1037,0)</f>
      </c>
      <c r="AK1037" s="111">
        <f>IF(AN1037=12,I1037,0)</f>
      </c>
      <c r="AL1037" s="111">
        <f>IF(AN1037=21,I1037,0)</f>
      </c>
      <c r="AN1037" s="111" t="n">
        <v>21</v>
      </c>
      <c r="AO1037" s="111">
        <f>H1037*0.787749064</f>
      </c>
      <c r="AP1037" s="111">
        <f>H1037*(1-0.787749064)</f>
      </c>
      <c r="AQ1037" s="153" t="s">
        <v>173</v>
      </c>
      <c r="AV1037" s="111">
        <f>AW1037+AX1037</f>
      </c>
      <c r="AW1037" s="111">
        <f>G1037*AO1037</f>
      </c>
      <c r="AX1037" s="111">
        <f>G1037*AP1037</f>
      </c>
      <c r="AY1037" s="153" t="s">
        <v>1668</v>
      </c>
      <c r="AZ1037" s="153" t="s">
        <v>1620</v>
      </c>
      <c r="BA1037" s="132" t="s">
        <v>137</v>
      </c>
      <c r="BC1037" s="111">
        <f>AW1037+AX1037</f>
      </c>
      <c r="BD1037" s="111">
        <f>H1037/(100-BE1037)*100</f>
      </c>
      <c r="BE1037" s="111" t="n">
        <v>0</v>
      </c>
      <c r="BF1037" s="111">
        <f>1037</f>
      </c>
      <c r="BH1037" s="111">
        <f>G1037*AO1037</f>
      </c>
      <c r="BI1037" s="111">
        <f>G1037*AP1037</f>
      </c>
      <c r="BJ1037" s="111">
        <f>G1037*H1037</f>
      </c>
      <c r="BK1037" s="111"/>
      <c r="BL1037" s="111" t="n">
        <v>712</v>
      </c>
      <c r="BW1037" s="111" t="n">
        <v>21</v>
      </c>
      <c r="BX1037" s="14" t="s">
        <v>1761</v>
      </c>
    </row>
    <row r="1038" customHeight="true" ht="13.5">
      <c r="A1038" s="159"/>
      <c r="C1038" s="160" t="s">
        <v>146</v>
      </c>
      <c r="D1038" s="161" t="s">
        <v>1766</v>
      </c>
      <c r="E1038" s="156"/>
      <c r="F1038" s="156"/>
      <c r="G1038" s="156"/>
      <c r="H1038" s="156"/>
      <c r="I1038" s="156"/>
      <c r="J1038" s="156"/>
      <c r="K1038" s="163"/>
    </row>
    <row r="1039">
      <c r="A1039" s="154"/>
      <c r="B1039" s="155"/>
      <c r="C1039" s="155"/>
      <c r="D1039" s="156" t="s">
        <v>1767</v>
      </c>
      <c r="E1039" s="156" t="s">
        <v>1768</v>
      </c>
      <c r="F1039" s="155"/>
      <c r="G1039" s="157" t="n">
        <v>22</v>
      </c>
      <c r="H1039" s="155"/>
      <c r="I1039" s="155"/>
      <c r="J1039" s="155"/>
      <c r="K1039" s="146"/>
    </row>
    <row r="1040">
      <c r="A1040" s="9" t="s">
        <v>1769</v>
      </c>
      <c r="B1040" s="10" t="s">
        <v>84</v>
      </c>
      <c r="C1040" s="10" t="s">
        <v>1770</v>
      </c>
      <c r="D1040" s="14" t="s">
        <v>1761</v>
      </c>
      <c r="E1040" s="10"/>
      <c r="F1040" s="10" t="s">
        <v>133</v>
      </c>
      <c r="G1040" s="111">
        <f>'Stavební rozpočet'!G1040</f>
      </c>
      <c r="H1040" s="111">
        <f>'Stavební rozpočet'!H1040</f>
      </c>
      <c r="I1040" s="111">
        <f>G1040*H1040</f>
      </c>
      <c r="J1040" s="153" t="s">
        <v>134</v>
      </c>
      <c r="K1040" s="146"/>
      <c r="Z1040" s="111">
        <f>IF(AQ1040="5",BJ1040,0)</f>
      </c>
      <c r="AB1040" s="111">
        <f>IF(AQ1040="1",BH1040,0)</f>
      </c>
      <c r="AC1040" s="111">
        <f>IF(AQ1040="1",BI1040,0)</f>
      </c>
      <c r="AD1040" s="111">
        <f>IF(AQ1040="7",BH1040,0)</f>
      </c>
      <c r="AE1040" s="111">
        <f>IF(AQ1040="7",BI1040,0)</f>
      </c>
      <c r="AF1040" s="111">
        <f>IF(AQ1040="2",BH1040,0)</f>
      </c>
      <c r="AG1040" s="111">
        <f>IF(AQ1040="2",BI1040,0)</f>
      </c>
      <c r="AH1040" s="111">
        <f>IF(AQ1040="0",BJ1040,0)</f>
      </c>
      <c r="AI1040" s="132" t="s">
        <v>84</v>
      </c>
      <c r="AJ1040" s="111">
        <f>IF(AN1040=0,I1040,0)</f>
      </c>
      <c r="AK1040" s="111">
        <f>IF(AN1040=12,I1040,0)</f>
      </c>
      <c r="AL1040" s="111">
        <f>IF(AN1040=21,I1040,0)</f>
      </c>
      <c r="AN1040" s="111" t="n">
        <v>21</v>
      </c>
      <c r="AO1040" s="111">
        <f>H1040*0.787748404</f>
      </c>
      <c r="AP1040" s="111">
        <f>H1040*(1-0.787748404)</f>
      </c>
      <c r="AQ1040" s="153" t="s">
        <v>173</v>
      </c>
      <c r="AV1040" s="111">
        <f>AW1040+AX1040</f>
      </c>
      <c r="AW1040" s="111">
        <f>G1040*AO1040</f>
      </c>
      <c r="AX1040" s="111">
        <f>G1040*AP1040</f>
      </c>
      <c r="AY1040" s="153" t="s">
        <v>1668</v>
      </c>
      <c r="AZ1040" s="153" t="s">
        <v>1620</v>
      </c>
      <c r="BA1040" s="132" t="s">
        <v>137</v>
      </c>
      <c r="BC1040" s="111">
        <f>AW1040+AX1040</f>
      </c>
      <c r="BD1040" s="111">
        <f>H1040/(100-BE1040)*100</f>
      </c>
      <c r="BE1040" s="111" t="n">
        <v>0</v>
      </c>
      <c r="BF1040" s="111">
        <f>1040</f>
      </c>
      <c r="BH1040" s="111">
        <f>G1040*AO1040</f>
      </c>
      <c r="BI1040" s="111">
        <f>G1040*AP1040</f>
      </c>
      <c r="BJ1040" s="111">
        <f>G1040*H1040</f>
      </c>
      <c r="BK1040" s="111"/>
      <c r="BL1040" s="111" t="n">
        <v>712</v>
      </c>
      <c r="BW1040" s="111" t="n">
        <v>21</v>
      </c>
      <c r="BX1040" s="14" t="s">
        <v>1761</v>
      </c>
    </row>
    <row r="1041" customHeight="true" ht="13.5">
      <c r="A1041" s="159"/>
      <c r="C1041" s="160" t="s">
        <v>146</v>
      </c>
      <c r="D1041" s="161" t="s">
        <v>1771</v>
      </c>
      <c r="E1041" s="156"/>
      <c r="F1041" s="156"/>
      <c r="G1041" s="156"/>
      <c r="H1041" s="156"/>
      <c r="I1041" s="156"/>
      <c r="J1041" s="156"/>
      <c r="K1041" s="163"/>
    </row>
    <row r="1042">
      <c r="A1042" s="154"/>
      <c r="B1042" s="155"/>
      <c r="C1042" s="155"/>
      <c r="D1042" s="156" t="s">
        <v>140</v>
      </c>
      <c r="E1042" s="156" t="s">
        <v>1772</v>
      </c>
      <c r="F1042" s="155"/>
      <c r="G1042" s="157" t="n">
        <v>2</v>
      </c>
      <c r="H1042" s="155"/>
      <c r="I1042" s="155"/>
      <c r="J1042" s="155"/>
      <c r="K1042" s="146"/>
    </row>
    <row r="1043">
      <c r="A1043" s="9" t="s">
        <v>1773</v>
      </c>
      <c r="B1043" s="10" t="s">
        <v>84</v>
      </c>
      <c r="C1043" s="10" t="s">
        <v>1774</v>
      </c>
      <c r="D1043" s="14" t="s">
        <v>1761</v>
      </c>
      <c r="E1043" s="10"/>
      <c r="F1043" s="10" t="s">
        <v>133</v>
      </c>
      <c r="G1043" s="111">
        <f>'Stavební rozpočet'!G1043</f>
      </c>
      <c r="H1043" s="111">
        <f>'Stavební rozpočet'!H1043</f>
      </c>
      <c r="I1043" s="111">
        <f>G1043*H1043</f>
      </c>
      <c r="J1043" s="153" t="s">
        <v>134</v>
      </c>
      <c r="K1043" s="146"/>
      <c r="Z1043" s="111">
        <f>IF(AQ1043="5",BJ1043,0)</f>
      </c>
      <c r="AB1043" s="111">
        <f>IF(AQ1043="1",BH1043,0)</f>
      </c>
      <c r="AC1043" s="111">
        <f>IF(AQ1043="1",BI1043,0)</f>
      </c>
      <c r="AD1043" s="111">
        <f>IF(AQ1043="7",BH1043,0)</f>
      </c>
      <c r="AE1043" s="111">
        <f>IF(AQ1043="7",BI1043,0)</f>
      </c>
      <c r="AF1043" s="111">
        <f>IF(AQ1043="2",BH1043,0)</f>
      </c>
      <c r="AG1043" s="111">
        <f>IF(AQ1043="2",BI1043,0)</f>
      </c>
      <c r="AH1043" s="111">
        <f>IF(AQ1043="0",BJ1043,0)</f>
      </c>
      <c r="AI1043" s="132" t="s">
        <v>84</v>
      </c>
      <c r="AJ1043" s="111">
        <f>IF(AN1043=0,I1043,0)</f>
      </c>
      <c r="AK1043" s="111">
        <f>IF(AN1043=12,I1043,0)</f>
      </c>
      <c r="AL1043" s="111">
        <f>IF(AN1043=21,I1043,0)</f>
      </c>
      <c r="AN1043" s="111" t="n">
        <v>21</v>
      </c>
      <c r="AO1043" s="111">
        <f>H1043*0.787749224</f>
      </c>
      <c r="AP1043" s="111">
        <f>H1043*(1-0.787749224)</f>
      </c>
      <c r="AQ1043" s="153" t="s">
        <v>173</v>
      </c>
      <c r="AV1043" s="111">
        <f>AW1043+AX1043</f>
      </c>
      <c r="AW1043" s="111">
        <f>G1043*AO1043</f>
      </c>
      <c r="AX1043" s="111">
        <f>G1043*AP1043</f>
      </c>
      <c r="AY1043" s="153" t="s">
        <v>1668</v>
      </c>
      <c r="AZ1043" s="153" t="s">
        <v>1620</v>
      </c>
      <c r="BA1043" s="132" t="s">
        <v>137</v>
      </c>
      <c r="BC1043" s="111">
        <f>AW1043+AX1043</f>
      </c>
      <c r="BD1043" s="111">
        <f>H1043/(100-BE1043)*100</f>
      </c>
      <c r="BE1043" s="111" t="n">
        <v>0</v>
      </c>
      <c r="BF1043" s="111">
        <f>1043</f>
      </c>
      <c r="BH1043" s="111">
        <f>G1043*AO1043</f>
      </c>
      <c r="BI1043" s="111">
        <f>G1043*AP1043</f>
      </c>
      <c r="BJ1043" s="111">
        <f>G1043*H1043</f>
      </c>
      <c r="BK1043" s="111"/>
      <c r="BL1043" s="111" t="n">
        <v>712</v>
      </c>
      <c r="BW1043" s="111" t="n">
        <v>21</v>
      </c>
      <c r="BX1043" s="14" t="s">
        <v>1761</v>
      </c>
    </row>
    <row r="1044" customHeight="true" ht="13.5">
      <c r="A1044" s="159"/>
      <c r="C1044" s="160" t="s">
        <v>146</v>
      </c>
      <c r="D1044" s="161" t="s">
        <v>1775</v>
      </c>
      <c r="E1044" s="156"/>
      <c r="F1044" s="156"/>
      <c r="G1044" s="156"/>
      <c r="H1044" s="156"/>
      <c r="I1044" s="156"/>
      <c r="J1044" s="156"/>
      <c r="K1044" s="163"/>
    </row>
    <row r="1045">
      <c r="A1045" s="154"/>
      <c r="B1045" s="155"/>
      <c r="C1045" s="155"/>
      <c r="D1045" s="156" t="s">
        <v>138</v>
      </c>
      <c r="E1045" s="156" t="s">
        <v>1776</v>
      </c>
      <c r="F1045" s="155"/>
      <c r="G1045" s="157" t="n">
        <v>3</v>
      </c>
      <c r="H1045" s="155"/>
      <c r="I1045" s="155"/>
      <c r="J1045" s="155"/>
      <c r="K1045" s="146"/>
    </row>
    <row r="1046">
      <c r="A1046" s="9" t="s">
        <v>1777</v>
      </c>
      <c r="B1046" s="10" t="s">
        <v>84</v>
      </c>
      <c r="C1046" s="10" t="s">
        <v>1778</v>
      </c>
      <c r="D1046" s="14" t="s">
        <v>1761</v>
      </c>
      <c r="E1046" s="10"/>
      <c r="F1046" s="10" t="s">
        <v>133</v>
      </c>
      <c r="G1046" s="111">
        <f>'Stavební rozpočet'!G1046</f>
      </c>
      <c r="H1046" s="111">
        <f>'Stavební rozpočet'!H1046</f>
      </c>
      <c r="I1046" s="111">
        <f>G1046*H1046</f>
      </c>
      <c r="J1046" s="153" t="s">
        <v>134</v>
      </c>
      <c r="K1046" s="146"/>
      <c r="Z1046" s="111">
        <f>IF(AQ1046="5",BJ1046,0)</f>
      </c>
      <c r="AB1046" s="111">
        <f>IF(AQ1046="1",BH1046,0)</f>
      </c>
      <c r="AC1046" s="111">
        <f>IF(AQ1046="1",BI1046,0)</f>
      </c>
      <c r="AD1046" s="111">
        <f>IF(AQ1046="7",BH1046,0)</f>
      </c>
      <c r="AE1046" s="111">
        <f>IF(AQ1046="7",BI1046,0)</f>
      </c>
      <c r="AF1046" s="111">
        <f>IF(AQ1046="2",BH1046,0)</f>
      </c>
      <c r="AG1046" s="111">
        <f>IF(AQ1046="2",BI1046,0)</f>
      </c>
      <c r="AH1046" s="111">
        <f>IF(AQ1046="0",BJ1046,0)</f>
      </c>
      <c r="AI1046" s="132" t="s">
        <v>84</v>
      </c>
      <c r="AJ1046" s="111">
        <f>IF(AN1046=0,I1046,0)</f>
      </c>
      <c r="AK1046" s="111">
        <f>IF(AN1046=12,I1046,0)</f>
      </c>
      <c r="AL1046" s="111">
        <f>IF(AN1046=21,I1046,0)</f>
      </c>
      <c r="AN1046" s="111" t="n">
        <v>21</v>
      </c>
      <c r="AO1046" s="111">
        <f>H1046*0.78774903</f>
      </c>
      <c r="AP1046" s="111">
        <f>H1046*(1-0.78774903)</f>
      </c>
      <c r="AQ1046" s="153" t="s">
        <v>173</v>
      </c>
      <c r="AV1046" s="111">
        <f>AW1046+AX1046</f>
      </c>
      <c r="AW1046" s="111">
        <f>G1046*AO1046</f>
      </c>
      <c r="AX1046" s="111">
        <f>G1046*AP1046</f>
      </c>
      <c r="AY1046" s="153" t="s">
        <v>1668</v>
      </c>
      <c r="AZ1046" s="153" t="s">
        <v>1620</v>
      </c>
      <c r="BA1046" s="132" t="s">
        <v>137</v>
      </c>
      <c r="BC1046" s="111">
        <f>AW1046+AX1046</f>
      </c>
      <c r="BD1046" s="111">
        <f>H1046/(100-BE1046)*100</f>
      </c>
      <c r="BE1046" s="111" t="n">
        <v>0</v>
      </c>
      <c r="BF1046" s="111">
        <f>1046</f>
      </c>
      <c r="BH1046" s="111">
        <f>G1046*AO1046</f>
      </c>
      <c r="BI1046" s="111">
        <f>G1046*AP1046</f>
      </c>
      <c r="BJ1046" s="111">
        <f>G1046*H1046</f>
      </c>
      <c r="BK1046" s="111"/>
      <c r="BL1046" s="111" t="n">
        <v>712</v>
      </c>
      <c r="BW1046" s="111" t="n">
        <v>21</v>
      </c>
      <c r="BX1046" s="14" t="s">
        <v>1761</v>
      </c>
    </row>
    <row r="1047" customHeight="true" ht="13.5">
      <c r="A1047" s="159"/>
      <c r="C1047" s="160" t="s">
        <v>146</v>
      </c>
      <c r="D1047" s="161" t="s">
        <v>1779</v>
      </c>
      <c r="E1047" s="156"/>
      <c r="F1047" s="156"/>
      <c r="G1047" s="156"/>
      <c r="H1047" s="156"/>
      <c r="I1047" s="156"/>
      <c r="J1047" s="156"/>
      <c r="K1047" s="163"/>
    </row>
    <row r="1048">
      <c r="A1048" s="154"/>
      <c r="B1048" s="155"/>
      <c r="C1048" s="155"/>
      <c r="D1048" s="156" t="s">
        <v>140</v>
      </c>
      <c r="E1048" s="156" t="s">
        <v>1780</v>
      </c>
      <c r="F1048" s="155"/>
      <c r="G1048" s="157" t="n">
        <v>2</v>
      </c>
      <c r="H1048" s="155"/>
      <c r="I1048" s="155"/>
      <c r="J1048" s="155"/>
      <c r="K1048" s="146"/>
    </row>
    <row r="1049">
      <c r="A1049" s="9" t="s">
        <v>1781</v>
      </c>
      <c r="B1049" s="10" t="s">
        <v>84</v>
      </c>
      <c r="C1049" s="10" t="s">
        <v>1782</v>
      </c>
      <c r="D1049" s="14" t="s">
        <v>1783</v>
      </c>
      <c r="E1049" s="10"/>
      <c r="F1049" s="10" t="s">
        <v>133</v>
      </c>
      <c r="G1049" s="111">
        <f>'Stavební rozpočet'!G1049</f>
      </c>
      <c r="H1049" s="111">
        <f>'Stavební rozpočet'!H1049</f>
      </c>
      <c r="I1049" s="111">
        <f>G1049*H1049</f>
      </c>
      <c r="J1049" s="153" t="s">
        <v>134</v>
      </c>
      <c r="K1049" s="146"/>
      <c r="Z1049" s="111">
        <f>IF(AQ1049="5",BJ1049,0)</f>
      </c>
      <c r="AB1049" s="111">
        <f>IF(AQ1049="1",BH1049,0)</f>
      </c>
      <c r="AC1049" s="111">
        <f>IF(AQ1049="1",BI1049,0)</f>
      </c>
      <c r="AD1049" s="111">
        <f>IF(AQ1049="7",BH1049,0)</f>
      </c>
      <c r="AE1049" s="111">
        <f>IF(AQ1049="7",BI1049,0)</f>
      </c>
      <c r="AF1049" s="111">
        <f>IF(AQ1049="2",BH1049,0)</f>
      </c>
      <c r="AG1049" s="111">
        <f>IF(AQ1049="2",BI1049,0)</f>
      </c>
      <c r="AH1049" s="111">
        <f>IF(AQ1049="0",BJ1049,0)</f>
      </c>
      <c r="AI1049" s="132" t="s">
        <v>84</v>
      </c>
      <c r="AJ1049" s="111">
        <f>IF(AN1049=0,I1049,0)</f>
      </c>
      <c r="AK1049" s="111">
        <f>IF(AN1049=12,I1049,0)</f>
      </c>
      <c r="AL1049" s="111">
        <f>IF(AN1049=21,I1049,0)</f>
      </c>
      <c r="AN1049" s="111" t="n">
        <v>21</v>
      </c>
      <c r="AO1049" s="111">
        <f>H1049*0.769498717</f>
      </c>
      <c r="AP1049" s="111">
        <f>H1049*(1-0.769498717)</f>
      </c>
      <c r="AQ1049" s="153" t="s">
        <v>173</v>
      </c>
      <c r="AV1049" s="111">
        <f>AW1049+AX1049</f>
      </c>
      <c r="AW1049" s="111">
        <f>G1049*AO1049</f>
      </c>
      <c r="AX1049" s="111">
        <f>G1049*AP1049</f>
      </c>
      <c r="AY1049" s="153" t="s">
        <v>1668</v>
      </c>
      <c r="AZ1049" s="153" t="s">
        <v>1620</v>
      </c>
      <c r="BA1049" s="132" t="s">
        <v>137</v>
      </c>
      <c r="BC1049" s="111">
        <f>AW1049+AX1049</f>
      </c>
      <c r="BD1049" s="111">
        <f>H1049/(100-BE1049)*100</f>
      </c>
      <c r="BE1049" s="111" t="n">
        <v>0</v>
      </c>
      <c r="BF1049" s="111">
        <f>1049</f>
      </c>
      <c r="BH1049" s="111">
        <f>G1049*AO1049</f>
      </c>
      <c r="BI1049" s="111">
        <f>G1049*AP1049</f>
      </c>
      <c r="BJ1049" s="111">
        <f>G1049*H1049</f>
      </c>
      <c r="BK1049" s="111"/>
      <c r="BL1049" s="111" t="n">
        <v>712</v>
      </c>
      <c r="BW1049" s="111" t="n">
        <v>21</v>
      </c>
      <c r="BX1049" s="14" t="s">
        <v>1783</v>
      </c>
    </row>
    <row r="1050" customHeight="true" ht="13.5">
      <c r="A1050" s="159"/>
      <c r="C1050" s="160" t="s">
        <v>146</v>
      </c>
      <c r="D1050" s="161" t="s">
        <v>1784</v>
      </c>
      <c r="E1050" s="156"/>
      <c r="F1050" s="156"/>
      <c r="G1050" s="156"/>
      <c r="H1050" s="156"/>
      <c r="I1050" s="156"/>
      <c r="J1050" s="156"/>
      <c r="K1050" s="163"/>
    </row>
    <row r="1051">
      <c r="A1051" s="154"/>
      <c r="B1051" s="155"/>
      <c r="C1051" s="155"/>
      <c r="D1051" s="156" t="s">
        <v>498</v>
      </c>
      <c r="E1051" s="156" t="s">
        <v>1758</v>
      </c>
      <c r="F1051" s="155"/>
      <c r="G1051" s="157" t="n">
        <v>55</v>
      </c>
      <c r="H1051" s="155"/>
      <c r="I1051" s="155"/>
      <c r="J1051" s="155"/>
      <c r="K1051" s="146"/>
    </row>
    <row r="1052">
      <c r="A1052" s="9" t="s">
        <v>1785</v>
      </c>
      <c r="B1052" s="10" t="s">
        <v>84</v>
      </c>
      <c r="C1052" s="10" t="s">
        <v>1786</v>
      </c>
      <c r="D1052" s="14" t="s">
        <v>1787</v>
      </c>
      <c r="E1052" s="10"/>
      <c r="F1052" s="10" t="s">
        <v>133</v>
      </c>
      <c r="G1052" s="111">
        <f>'Stavební rozpočet'!G1052</f>
      </c>
      <c r="H1052" s="111">
        <f>'Stavební rozpočet'!H1052</f>
      </c>
      <c r="I1052" s="111">
        <f>G1052*H1052</f>
      </c>
      <c r="J1052" s="153" t="s">
        <v>134</v>
      </c>
      <c r="K1052" s="146"/>
      <c r="Z1052" s="111">
        <f>IF(AQ1052="5",BJ1052,0)</f>
      </c>
      <c r="AB1052" s="111">
        <f>IF(AQ1052="1",BH1052,0)</f>
      </c>
      <c r="AC1052" s="111">
        <f>IF(AQ1052="1",BI1052,0)</f>
      </c>
      <c r="AD1052" s="111">
        <f>IF(AQ1052="7",BH1052,0)</f>
      </c>
      <c r="AE1052" s="111">
        <f>IF(AQ1052="7",BI1052,0)</f>
      </c>
      <c r="AF1052" s="111">
        <f>IF(AQ1052="2",BH1052,0)</f>
      </c>
      <c r="AG1052" s="111">
        <f>IF(AQ1052="2",BI1052,0)</f>
      </c>
      <c r="AH1052" s="111">
        <f>IF(AQ1052="0",BJ1052,0)</f>
      </c>
      <c r="AI1052" s="132" t="s">
        <v>84</v>
      </c>
      <c r="AJ1052" s="111">
        <f>IF(AN1052=0,I1052,0)</f>
      </c>
      <c r="AK1052" s="111">
        <f>IF(AN1052=12,I1052,0)</f>
      </c>
      <c r="AL1052" s="111">
        <f>IF(AN1052=21,I1052,0)</f>
      </c>
      <c r="AN1052" s="111" t="n">
        <v>21</v>
      </c>
      <c r="AO1052" s="111">
        <f>H1052*0.773600611</f>
      </c>
      <c r="AP1052" s="111">
        <f>H1052*(1-0.773600611)</f>
      </c>
      <c r="AQ1052" s="153" t="s">
        <v>173</v>
      </c>
      <c r="AV1052" s="111">
        <f>AW1052+AX1052</f>
      </c>
      <c r="AW1052" s="111">
        <f>G1052*AO1052</f>
      </c>
      <c r="AX1052" s="111">
        <f>G1052*AP1052</f>
      </c>
      <c r="AY1052" s="153" t="s">
        <v>1668</v>
      </c>
      <c r="AZ1052" s="153" t="s">
        <v>1620</v>
      </c>
      <c r="BA1052" s="132" t="s">
        <v>137</v>
      </c>
      <c r="BC1052" s="111">
        <f>AW1052+AX1052</f>
      </c>
      <c r="BD1052" s="111">
        <f>H1052/(100-BE1052)*100</f>
      </c>
      <c r="BE1052" s="111" t="n">
        <v>0</v>
      </c>
      <c r="BF1052" s="111">
        <f>1052</f>
      </c>
      <c r="BH1052" s="111">
        <f>G1052*AO1052</f>
      </c>
      <c r="BI1052" s="111">
        <f>G1052*AP1052</f>
      </c>
      <c r="BJ1052" s="111">
        <f>G1052*H1052</f>
      </c>
      <c r="BK1052" s="111"/>
      <c r="BL1052" s="111" t="n">
        <v>712</v>
      </c>
      <c r="BW1052" s="111" t="n">
        <v>21</v>
      </c>
      <c r="BX1052" s="14" t="s">
        <v>1787</v>
      </c>
    </row>
    <row r="1053" customHeight="true" ht="13.5">
      <c r="A1053" s="159"/>
      <c r="C1053" s="160" t="s">
        <v>146</v>
      </c>
      <c r="D1053" s="161" t="s">
        <v>1762</v>
      </c>
      <c r="E1053" s="156"/>
      <c r="F1053" s="156"/>
      <c r="G1053" s="156"/>
      <c r="H1053" s="156"/>
      <c r="I1053" s="156"/>
      <c r="J1053" s="156"/>
      <c r="K1053" s="163"/>
    </row>
    <row r="1054">
      <c r="A1054" s="154"/>
      <c r="B1054" s="155"/>
      <c r="C1054" s="155"/>
      <c r="D1054" s="156" t="s">
        <v>212</v>
      </c>
      <c r="E1054" s="156" t="s">
        <v>1763</v>
      </c>
      <c r="F1054" s="155"/>
      <c r="G1054" s="157" t="n">
        <v>14</v>
      </c>
      <c r="H1054" s="155"/>
      <c r="I1054" s="155"/>
      <c r="J1054" s="155"/>
      <c r="K1054" s="146"/>
    </row>
    <row r="1055">
      <c r="A1055" s="9" t="s">
        <v>1788</v>
      </c>
      <c r="B1055" s="10" t="s">
        <v>84</v>
      </c>
      <c r="C1055" s="10" t="s">
        <v>1789</v>
      </c>
      <c r="D1055" s="14" t="s">
        <v>1790</v>
      </c>
      <c r="E1055" s="10"/>
      <c r="F1055" s="10" t="s">
        <v>133</v>
      </c>
      <c r="G1055" s="111">
        <f>'Stavební rozpočet'!G1055</f>
      </c>
      <c r="H1055" s="111">
        <f>'Stavební rozpočet'!H1055</f>
      </c>
      <c r="I1055" s="111">
        <f>G1055*H1055</f>
      </c>
      <c r="J1055" s="153" t="s">
        <v>134</v>
      </c>
      <c r="K1055" s="146"/>
      <c r="Z1055" s="111">
        <f>IF(AQ1055="5",BJ1055,0)</f>
      </c>
      <c r="AB1055" s="111">
        <f>IF(AQ1055="1",BH1055,0)</f>
      </c>
      <c r="AC1055" s="111">
        <f>IF(AQ1055="1",BI1055,0)</f>
      </c>
      <c r="AD1055" s="111">
        <f>IF(AQ1055="7",BH1055,0)</f>
      </c>
      <c r="AE1055" s="111">
        <f>IF(AQ1055="7",BI1055,0)</f>
      </c>
      <c r="AF1055" s="111">
        <f>IF(AQ1055="2",BH1055,0)</f>
      </c>
      <c r="AG1055" s="111">
        <f>IF(AQ1055="2",BI1055,0)</f>
      </c>
      <c r="AH1055" s="111">
        <f>IF(AQ1055="0",BJ1055,0)</f>
      </c>
      <c r="AI1055" s="132" t="s">
        <v>84</v>
      </c>
      <c r="AJ1055" s="111">
        <f>IF(AN1055=0,I1055,0)</f>
      </c>
      <c r="AK1055" s="111">
        <f>IF(AN1055=12,I1055,0)</f>
      </c>
      <c r="AL1055" s="111">
        <f>IF(AN1055=21,I1055,0)</f>
      </c>
      <c r="AN1055" s="111" t="n">
        <v>21</v>
      </c>
      <c r="AO1055" s="111">
        <f>H1055*0.804273957</f>
      </c>
      <c r="AP1055" s="111">
        <f>H1055*(1-0.804273957)</f>
      </c>
      <c r="AQ1055" s="153" t="s">
        <v>173</v>
      </c>
      <c r="AV1055" s="111">
        <f>AW1055+AX1055</f>
      </c>
      <c r="AW1055" s="111">
        <f>G1055*AO1055</f>
      </c>
      <c r="AX1055" s="111">
        <f>G1055*AP1055</f>
      </c>
      <c r="AY1055" s="153" t="s">
        <v>1668</v>
      </c>
      <c r="AZ1055" s="153" t="s">
        <v>1620</v>
      </c>
      <c r="BA1055" s="132" t="s">
        <v>137</v>
      </c>
      <c r="BC1055" s="111">
        <f>AW1055+AX1055</f>
      </c>
      <c r="BD1055" s="111">
        <f>H1055/(100-BE1055)*100</f>
      </c>
      <c r="BE1055" s="111" t="n">
        <v>0</v>
      </c>
      <c r="BF1055" s="111">
        <f>1055</f>
      </c>
      <c r="BH1055" s="111">
        <f>G1055*AO1055</f>
      </c>
      <c r="BI1055" s="111">
        <f>G1055*AP1055</f>
      </c>
      <c r="BJ1055" s="111">
        <f>G1055*H1055</f>
      </c>
      <c r="BK1055" s="111"/>
      <c r="BL1055" s="111" t="n">
        <v>712</v>
      </c>
      <c r="BW1055" s="111" t="n">
        <v>21</v>
      </c>
      <c r="BX1055" s="14" t="s">
        <v>1790</v>
      </c>
    </row>
    <row r="1056" customHeight="true" ht="13.5">
      <c r="A1056" s="159"/>
      <c r="C1056" s="160" t="s">
        <v>146</v>
      </c>
      <c r="D1056" s="161" t="s">
        <v>1766</v>
      </c>
      <c r="E1056" s="156"/>
      <c r="F1056" s="156"/>
      <c r="G1056" s="156"/>
      <c r="H1056" s="156"/>
      <c r="I1056" s="156"/>
      <c r="J1056" s="156"/>
      <c r="K1056" s="163"/>
    </row>
    <row r="1057">
      <c r="A1057" s="154"/>
      <c r="B1057" s="155"/>
      <c r="C1057" s="155"/>
      <c r="D1057" s="156" t="s">
        <v>1767</v>
      </c>
      <c r="E1057" s="156" t="s">
        <v>1768</v>
      </c>
      <c r="F1057" s="155"/>
      <c r="G1057" s="157" t="n">
        <v>22</v>
      </c>
      <c r="H1057" s="155"/>
      <c r="I1057" s="155"/>
      <c r="J1057" s="155"/>
      <c r="K1057" s="146"/>
    </row>
    <row r="1058">
      <c r="A1058" s="9" t="s">
        <v>1791</v>
      </c>
      <c r="B1058" s="10" t="s">
        <v>84</v>
      </c>
      <c r="C1058" s="10" t="s">
        <v>1792</v>
      </c>
      <c r="D1058" s="14" t="s">
        <v>1790</v>
      </c>
      <c r="E1058" s="10"/>
      <c r="F1058" s="10" t="s">
        <v>133</v>
      </c>
      <c r="G1058" s="111">
        <f>'Stavební rozpočet'!G1058</f>
      </c>
      <c r="H1058" s="111">
        <f>'Stavební rozpočet'!H1058</f>
      </c>
      <c r="I1058" s="111">
        <f>G1058*H1058</f>
      </c>
      <c r="J1058" s="153" t="s">
        <v>134</v>
      </c>
      <c r="K1058" s="146"/>
      <c r="Z1058" s="111">
        <f>IF(AQ1058="5",BJ1058,0)</f>
      </c>
      <c r="AB1058" s="111">
        <f>IF(AQ1058="1",BH1058,0)</f>
      </c>
      <c r="AC1058" s="111">
        <f>IF(AQ1058="1",BI1058,0)</f>
      </c>
      <c r="AD1058" s="111">
        <f>IF(AQ1058="7",BH1058,0)</f>
      </c>
      <c r="AE1058" s="111">
        <f>IF(AQ1058="7",BI1058,0)</f>
      </c>
      <c r="AF1058" s="111">
        <f>IF(AQ1058="2",BH1058,0)</f>
      </c>
      <c r="AG1058" s="111">
        <f>IF(AQ1058="2",BI1058,0)</f>
      </c>
      <c r="AH1058" s="111">
        <f>IF(AQ1058="0",BJ1058,0)</f>
      </c>
      <c r="AI1058" s="132" t="s">
        <v>84</v>
      </c>
      <c r="AJ1058" s="111">
        <f>IF(AN1058=0,I1058,0)</f>
      </c>
      <c r="AK1058" s="111">
        <f>IF(AN1058=12,I1058,0)</f>
      </c>
      <c r="AL1058" s="111">
        <f>IF(AN1058=21,I1058,0)</f>
      </c>
      <c r="AN1058" s="111" t="n">
        <v>21</v>
      </c>
      <c r="AO1058" s="111">
        <f>H1058*0.80427331</f>
      </c>
      <c r="AP1058" s="111">
        <f>H1058*(1-0.80427331)</f>
      </c>
      <c r="AQ1058" s="153" t="s">
        <v>173</v>
      </c>
      <c r="AV1058" s="111">
        <f>AW1058+AX1058</f>
      </c>
      <c r="AW1058" s="111">
        <f>G1058*AO1058</f>
      </c>
      <c r="AX1058" s="111">
        <f>G1058*AP1058</f>
      </c>
      <c r="AY1058" s="153" t="s">
        <v>1668</v>
      </c>
      <c r="AZ1058" s="153" t="s">
        <v>1620</v>
      </c>
      <c r="BA1058" s="132" t="s">
        <v>137</v>
      </c>
      <c r="BC1058" s="111">
        <f>AW1058+AX1058</f>
      </c>
      <c r="BD1058" s="111">
        <f>H1058/(100-BE1058)*100</f>
      </c>
      <c r="BE1058" s="111" t="n">
        <v>0</v>
      </c>
      <c r="BF1058" s="111">
        <f>1058</f>
      </c>
      <c r="BH1058" s="111">
        <f>G1058*AO1058</f>
      </c>
      <c r="BI1058" s="111">
        <f>G1058*AP1058</f>
      </c>
      <c r="BJ1058" s="111">
        <f>G1058*H1058</f>
      </c>
      <c r="BK1058" s="111"/>
      <c r="BL1058" s="111" t="n">
        <v>712</v>
      </c>
      <c r="BW1058" s="111" t="n">
        <v>21</v>
      </c>
      <c r="BX1058" s="14" t="s">
        <v>1790</v>
      </c>
    </row>
    <row r="1059" customHeight="true" ht="13.5">
      <c r="A1059" s="159"/>
      <c r="C1059" s="160" t="s">
        <v>146</v>
      </c>
      <c r="D1059" s="161" t="s">
        <v>1771</v>
      </c>
      <c r="E1059" s="156"/>
      <c r="F1059" s="156"/>
      <c r="G1059" s="156"/>
      <c r="H1059" s="156"/>
      <c r="I1059" s="156"/>
      <c r="J1059" s="156"/>
      <c r="K1059" s="163"/>
    </row>
    <row r="1060">
      <c r="A1060" s="154"/>
      <c r="B1060" s="155"/>
      <c r="C1060" s="155"/>
      <c r="D1060" s="156" t="s">
        <v>140</v>
      </c>
      <c r="E1060" s="156" t="s">
        <v>1772</v>
      </c>
      <c r="F1060" s="155"/>
      <c r="G1060" s="157" t="n">
        <v>2</v>
      </c>
      <c r="H1060" s="155"/>
      <c r="I1060" s="155"/>
      <c r="J1060" s="155"/>
      <c r="K1060" s="146"/>
    </row>
    <row r="1061">
      <c r="A1061" s="9" t="s">
        <v>1793</v>
      </c>
      <c r="B1061" s="10" t="s">
        <v>84</v>
      </c>
      <c r="C1061" s="10" t="s">
        <v>1794</v>
      </c>
      <c r="D1061" s="14" t="s">
        <v>1790</v>
      </c>
      <c r="E1061" s="10"/>
      <c r="F1061" s="10" t="s">
        <v>133</v>
      </c>
      <c r="G1061" s="111">
        <f>'Stavební rozpočet'!G1061</f>
      </c>
      <c r="H1061" s="111">
        <f>'Stavební rozpočet'!H1061</f>
      </c>
      <c r="I1061" s="111">
        <f>G1061*H1061</f>
      </c>
      <c r="J1061" s="153" t="s">
        <v>134</v>
      </c>
      <c r="K1061" s="146"/>
      <c r="Z1061" s="111">
        <f>IF(AQ1061="5",BJ1061,0)</f>
      </c>
      <c r="AB1061" s="111">
        <f>IF(AQ1061="1",BH1061,0)</f>
      </c>
      <c r="AC1061" s="111">
        <f>IF(AQ1061="1",BI1061,0)</f>
      </c>
      <c r="AD1061" s="111">
        <f>IF(AQ1061="7",BH1061,0)</f>
      </c>
      <c r="AE1061" s="111">
        <f>IF(AQ1061="7",BI1061,0)</f>
      </c>
      <c r="AF1061" s="111">
        <f>IF(AQ1061="2",BH1061,0)</f>
      </c>
      <c r="AG1061" s="111">
        <f>IF(AQ1061="2",BI1061,0)</f>
      </c>
      <c r="AH1061" s="111">
        <f>IF(AQ1061="0",BJ1061,0)</f>
      </c>
      <c r="AI1061" s="132" t="s">
        <v>84</v>
      </c>
      <c r="AJ1061" s="111">
        <f>IF(AN1061=0,I1061,0)</f>
      </c>
      <c r="AK1061" s="111">
        <f>IF(AN1061=12,I1061,0)</f>
      </c>
      <c r="AL1061" s="111">
        <f>IF(AN1061=21,I1061,0)</f>
      </c>
      <c r="AN1061" s="111" t="n">
        <v>21</v>
      </c>
      <c r="AO1061" s="111">
        <f>H1061*0.804274114</f>
      </c>
      <c r="AP1061" s="111">
        <f>H1061*(1-0.804274114)</f>
      </c>
      <c r="AQ1061" s="153" t="s">
        <v>173</v>
      </c>
      <c r="AV1061" s="111">
        <f>AW1061+AX1061</f>
      </c>
      <c r="AW1061" s="111">
        <f>G1061*AO1061</f>
      </c>
      <c r="AX1061" s="111">
        <f>G1061*AP1061</f>
      </c>
      <c r="AY1061" s="153" t="s">
        <v>1668</v>
      </c>
      <c r="AZ1061" s="153" t="s">
        <v>1620</v>
      </c>
      <c r="BA1061" s="132" t="s">
        <v>137</v>
      </c>
      <c r="BC1061" s="111">
        <f>AW1061+AX1061</f>
      </c>
      <c r="BD1061" s="111">
        <f>H1061/(100-BE1061)*100</f>
      </c>
      <c r="BE1061" s="111" t="n">
        <v>0</v>
      </c>
      <c r="BF1061" s="111">
        <f>1061</f>
      </c>
      <c r="BH1061" s="111">
        <f>G1061*AO1061</f>
      </c>
      <c r="BI1061" s="111">
        <f>G1061*AP1061</f>
      </c>
      <c r="BJ1061" s="111">
        <f>G1061*H1061</f>
      </c>
      <c r="BK1061" s="111"/>
      <c r="BL1061" s="111" t="n">
        <v>712</v>
      </c>
      <c r="BW1061" s="111" t="n">
        <v>21</v>
      </c>
      <c r="BX1061" s="14" t="s">
        <v>1790</v>
      </c>
    </row>
    <row r="1062" customHeight="true" ht="13.5">
      <c r="A1062" s="159"/>
      <c r="C1062" s="160" t="s">
        <v>146</v>
      </c>
      <c r="D1062" s="161" t="s">
        <v>1775</v>
      </c>
      <c r="E1062" s="156"/>
      <c r="F1062" s="156"/>
      <c r="G1062" s="156"/>
      <c r="H1062" s="156"/>
      <c r="I1062" s="156"/>
      <c r="J1062" s="156"/>
      <c r="K1062" s="163"/>
    </row>
    <row r="1063">
      <c r="A1063" s="154"/>
      <c r="B1063" s="155"/>
      <c r="C1063" s="155"/>
      <c r="D1063" s="156" t="s">
        <v>138</v>
      </c>
      <c r="E1063" s="156" t="s">
        <v>1776</v>
      </c>
      <c r="F1063" s="155"/>
      <c r="G1063" s="157" t="n">
        <v>3</v>
      </c>
      <c r="H1063" s="155"/>
      <c r="I1063" s="155"/>
      <c r="J1063" s="155"/>
      <c r="K1063" s="146"/>
    </row>
    <row r="1064">
      <c r="A1064" s="9" t="s">
        <v>1795</v>
      </c>
      <c r="B1064" s="10" t="s">
        <v>84</v>
      </c>
      <c r="C1064" s="10" t="s">
        <v>1796</v>
      </c>
      <c r="D1064" s="14" t="s">
        <v>1790</v>
      </c>
      <c r="E1064" s="10"/>
      <c r="F1064" s="10" t="s">
        <v>133</v>
      </c>
      <c r="G1064" s="111">
        <f>'Stavební rozpočet'!G1064</f>
      </c>
      <c r="H1064" s="111">
        <f>'Stavební rozpočet'!H1064</f>
      </c>
      <c r="I1064" s="111">
        <f>G1064*H1064</f>
      </c>
      <c r="J1064" s="153" t="s">
        <v>134</v>
      </c>
      <c r="K1064" s="146"/>
      <c r="Z1064" s="111">
        <f>IF(AQ1064="5",BJ1064,0)</f>
      </c>
      <c r="AB1064" s="111">
        <f>IF(AQ1064="1",BH1064,0)</f>
      </c>
      <c r="AC1064" s="111">
        <f>IF(AQ1064="1",BI1064,0)</f>
      </c>
      <c r="AD1064" s="111">
        <f>IF(AQ1064="7",BH1064,0)</f>
      </c>
      <c r="AE1064" s="111">
        <f>IF(AQ1064="7",BI1064,0)</f>
      </c>
      <c r="AF1064" s="111">
        <f>IF(AQ1064="2",BH1064,0)</f>
      </c>
      <c r="AG1064" s="111">
        <f>IF(AQ1064="2",BI1064,0)</f>
      </c>
      <c r="AH1064" s="111">
        <f>IF(AQ1064="0",BJ1064,0)</f>
      </c>
      <c r="AI1064" s="132" t="s">
        <v>84</v>
      </c>
      <c r="AJ1064" s="111">
        <f>IF(AN1064=0,I1064,0)</f>
      </c>
      <c r="AK1064" s="111">
        <f>IF(AN1064=12,I1064,0)</f>
      </c>
      <c r="AL1064" s="111">
        <f>IF(AN1064=21,I1064,0)</f>
      </c>
      <c r="AN1064" s="111" t="n">
        <v>21</v>
      </c>
      <c r="AO1064" s="111">
        <f>H1064*0.804273924</f>
      </c>
      <c r="AP1064" s="111">
        <f>H1064*(1-0.804273924)</f>
      </c>
      <c r="AQ1064" s="153" t="s">
        <v>173</v>
      </c>
      <c r="AV1064" s="111">
        <f>AW1064+AX1064</f>
      </c>
      <c r="AW1064" s="111">
        <f>G1064*AO1064</f>
      </c>
      <c r="AX1064" s="111">
        <f>G1064*AP1064</f>
      </c>
      <c r="AY1064" s="153" t="s">
        <v>1668</v>
      </c>
      <c r="AZ1064" s="153" t="s">
        <v>1620</v>
      </c>
      <c r="BA1064" s="132" t="s">
        <v>137</v>
      </c>
      <c r="BC1064" s="111">
        <f>AW1064+AX1064</f>
      </c>
      <c r="BD1064" s="111">
        <f>H1064/(100-BE1064)*100</f>
      </c>
      <c r="BE1064" s="111" t="n">
        <v>0</v>
      </c>
      <c r="BF1064" s="111">
        <f>1064</f>
      </c>
      <c r="BH1064" s="111">
        <f>G1064*AO1064</f>
      </c>
      <c r="BI1064" s="111">
        <f>G1064*AP1064</f>
      </c>
      <c r="BJ1064" s="111">
        <f>G1064*H1064</f>
      </c>
      <c r="BK1064" s="111"/>
      <c r="BL1064" s="111" t="n">
        <v>712</v>
      </c>
      <c r="BW1064" s="111" t="n">
        <v>21</v>
      </c>
      <c r="BX1064" s="14" t="s">
        <v>1790</v>
      </c>
    </row>
    <row r="1065" customHeight="true" ht="13.5">
      <c r="A1065" s="159"/>
      <c r="C1065" s="160" t="s">
        <v>146</v>
      </c>
      <c r="D1065" s="161" t="s">
        <v>1779</v>
      </c>
      <c r="E1065" s="156"/>
      <c r="F1065" s="156"/>
      <c r="G1065" s="156"/>
      <c r="H1065" s="156"/>
      <c r="I1065" s="156"/>
      <c r="J1065" s="156"/>
      <c r="K1065" s="163"/>
    </row>
    <row r="1066">
      <c r="A1066" s="154"/>
      <c r="B1066" s="155"/>
      <c r="C1066" s="155"/>
      <c r="D1066" s="156" t="s">
        <v>140</v>
      </c>
      <c r="E1066" s="156" t="s">
        <v>1780</v>
      </c>
      <c r="F1066" s="155"/>
      <c r="G1066" s="157" t="n">
        <v>2</v>
      </c>
      <c r="H1066" s="155"/>
      <c r="I1066" s="155"/>
      <c r="J1066" s="155"/>
      <c r="K1066" s="146"/>
    </row>
    <row r="1067">
      <c r="A1067" s="9" t="s">
        <v>1797</v>
      </c>
      <c r="B1067" s="10" t="s">
        <v>84</v>
      </c>
      <c r="C1067" s="10" t="s">
        <v>1798</v>
      </c>
      <c r="D1067" s="14" t="s">
        <v>1799</v>
      </c>
      <c r="E1067" s="10"/>
      <c r="F1067" s="10" t="s">
        <v>133</v>
      </c>
      <c r="G1067" s="111">
        <f>'Stavební rozpočet'!G1067</f>
      </c>
      <c r="H1067" s="111">
        <f>'Stavební rozpočet'!H1067</f>
      </c>
      <c r="I1067" s="111">
        <f>G1067*H1067</f>
      </c>
      <c r="J1067" s="153" t="s">
        <v>134</v>
      </c>
      <c r="K1067" s="146"/>
      <c r="Z1067" s="111">
        <f>IF(AQ1067="5",BJ1067,0)</f>
      </c>
      <c r="AB1067" s="111">
        <f>IF(AQ1067="1",BH1067,0)</f>
      </c>
      <c r="AC1067" s="111">
        <f>IF(AQ1067="1",BI1067,0)</f>
      </c>
      <c r="AD1067" s="111">
        <f>IF(AQ1067="7",BH1067,0)</f>
      </c>
      <c r="AE1067" s="111">
        <f>IF(AQ1067="7",BI1067,0)</f>
      </c>
      <c r="AF1067" s="111">
        <f>IF(AQ1067="2",BH1067,0)</f>
      </c>
      <c r="AG1067" s="111">
        <f>IF(AQ1067="2",BI1067,0)</f>
      </c>
      <c r="AH1067" s="111">
        <f>IF(AQ1067="0",BJ1067,0)</f>
      </c>
      <c r="AI1067" s="132" t="s">
        <v>84</v>
      </c>
      <c r="AJ1067" s="111">
        <f>IF(AN1067=0,I1067,0)</f>
      </c>
      <c r="AK1067" s="111">
        <f>IF(AN1067=12,I1067,0)</f>
      </c>
      <c r="AL1067" s="111">
        <f>IF(AN1067=21,I1067,0)</f>
      </c>
      <c r="AN1067" s="111" t="n">
        <v>21</v>
      </c>
      <c r="AO1067" s="111">
        <f>H1067*0.646420323</f>
      </c>
      <c r="AP1067" s="111">
        <f>H1067*(1-0.646420323)</f>
      </c>
      <c r="AQ1067" s="153" t="s">
        <v>173</v>
      </c>
      <c r="AV1067" s="111">
        <f>AW1067+AX1067</f>
      </c>
      <c r="AW1067" s="111">
        <f>G1067*AO1067</f>
      </c>
      <c r="AX1067" s="111">
        <f>G1067*AP1067</f>
      </c>
      <c r="AY1067" s="153" t="s">
        <v>1668</v>
      </c>
      <c r="AZ1067" s="153" t="s">
        <v>1620</v>
      </c>
      <c r="BA1067" s="132" t="s">
        <v>137</v>
      </c>
      <c r="BC1067" s="111">
        <f>AW1067+AX1067</f>
      </c>
      <c r="BD1067" s="111">
        <f>H1067/(100-BE1067)*100</f>
      </c>
      <c r="BE1067" s="111" t="n">
        <v>0</v>
      </c>
      <c r="BF1067" s="111">
        <f>1067</f>
      </c>
      <c r="BH1067" s="111">
        <f>G1067*AO1067</f>
      </c>
      <c r="BI1067" s="111">
        <f>G1067*AP1067</f>
      </c>
      <c r="BJ1067" s="111">
        <f>G1067*H1067</f>
      </c>
      <c r="BK1067" s="111"/>
      <c r="BL1067" s="111" t="n">
        <v>712</v>
      </c>
      <c r="BW1067" s="111" t="n">
        <v>21</v>
      </c>
      <c r="BX1067" s="14" t="s">
        <v>1799</v>
      </c>
    </row>
    <row r="1068" customHeight="true" ht="13.5">
      <c r="A1068" s="159"/>
      <c r="C1068" s="160" t="s">
        <v>146</v>
      </c>
      <c r="D1068" s="161" t="s">
        <v>1800</v>
      </c>
      <c r="E1068" s="156"/>
      <c r="F1068" s="156"/>
      <c r="G1068" s="156"/>
      <c r="H1068" s="156"/>
      <c r="I1068" s="156"/>
      <c r="J1068" s="156"/>
      <c r="K1068" s="163"/>
    </row>
    <row r="1069">
      <c r="A1069" s="154"/>
      <c r="B1069" s="155"/>
      <c r="C1069" s="155"/>
      <c r="D1069" s="156" t="s">
        <v>1801</v>
      </c>
      <c r="E1069" s="156" t="s">
        <v>1802</v>
      </c>
      <c r="F1069" s="155"/>
      <c r="G1069" s="157" t="n">
        <v>32</v>
      </c>
      <c r="H1069" s="155"/>
      <c r="I1069" s="155"/>
      <c r="J1069" s="155"/>
      <c r="K1069" s="146"/>
    </row>
    <row r="1070">
      <c r="A1070" s="154"/>
      <c r="B1070" s="155"/>
      <c r="C1070" s="155"/>
      <c r="D1070" s="156" t="s">
        <v>186</v>
      </c>
      <c r="E1070" s="156" t="s">
        <v>1803</v>
      </c>
      <c r="F1070" s="155"/>
      <c r="G1070" s="157" t="n">
        <v>10</v>
      </c>
      <c r="H1070" s="155"/>
      <c r="I1070" s="155"/>
      <c r="J1070" s="155"/>
      <c r="K1070" s="146"/>
    </row>
    <row r="1071">
      <c r="A1071" s="9" t="s">
        <v>1804</v>
      </c>
      <c r="B1071" s="10" t="s">
        <v>84</v>
      </c>
      <c r="C1071" s="10" t="s">
        <v>1805</v>
      </c>
      <c r="D1071" s="14" t="s">
        <v>1806</v>
      </c>
      <c r="E1071" s="10"/>
      <c r="F1071" s="10" t="s">
        <v>133</v>
      </c>
      <c r="G1071" s="111">
        <f>'Stavební rozpočet'!G1071</f>
      </c>
      <c r="H1071" s="111">
        <f>'Stavební rozpočet'!H1071</f>
      </c>
      <c r="I1071" s="111">
        <f>G1071*H1071</f>
      </c>
      <c r="J1071" s="153" t="s">
        <v>134</v>
      </c>
      <c r="K1071" s="146"/>
      <c r="Z1071" s="111">
        <f>IF(AQ1071="5",BJ1071,0)</f>
      </c>
      <c r="AB1071" s="111">
        <f>IF(AQ1071="1",BH1071,0)</f>
      </c>
      <c r="AC1071" s="111">
        <f>IF(AQ1071="1",BI1071,0)</f>
      </c>
      <c r="AD1071" s="111">
        <f>IF(AQ1071="7",BH1071,0)</f>
      </c>
      <c r="AE1071" s="111">
        <f>IF(AQ1071="7",BI1071,0)</f>
      </c>
      <c r="AF1071" s="111">
        <f>IF(AQ1071="2",BH1071,0)</f>
      </c>
      <c r="AG1071" s="111">
        <f>IF(AQ1071="2",BI1071,0)</f>
      </c>
      <c r="AH1071" s="111">
        <f>IF(AQ1071="0",BJ1071,0)</f>
      </c>
      <c r="AI1071" s="132" t="s">
        <v>84</v>
      </c>
      <c r="AJ1071" s="111">
        <f>IF(AN1071=0,I1071,0)</f>
      </c>
      <c r="AK1071" s="111">
        <f>IF(AN1071=12,I1071,0)</f>
      </c>
      <c r="AL1071" s="111">
        <f>IF(AN1071=21,I1071,0)</f>
      </c>
      <c r="AN1071" s="111" t="n">
        <v>21</v>
      </c>
      <c r="AO1071" s="111">
        <f>H1071*0.622906404</f>
      </c>
      <c r="AP1071" s="111">
        <f>H1071*(1-0.622906404)</f>
      </c>
      <c r="AQ1071" s="153" t="s">
        <v>173</v>
      </c>
      <c r="AV1071" s="111">
        <f>AW1071+AX1071</f>
      </c>
      <c r="AW1071" s="111">
        <f>G1071*AO1071</f>
      </c>
      <c r="AX1071" s="111">
        <f>G1071*AP1071</f>
      </c>
      <c r="AY1071" s="153" t="s">
        <v>1668</v>
      </c>
      <c r="AZ1071" s="153" t="s">
        <v>1620</v>
      </c>
      <c r="BA1071" s="132" t="s">
        <v>137</v>
      </c>
      <c r="BC1071" s="111">
        <f>AW1071+AX1071</f>
      </c>
      <c r="BD1071" s="111">
        <f>H1071/(100-BE1071)*100</f>
      </c>
      <c r="BE1071" s="111" t="n">
        <v>0</v>
      </c>
      <c r="BF1071" s="111">
        <f>1071</f>
      </c>
      <c r="BH1071" s="111">
        <f>G1071*AO1071</f>
      </c>
      <c r="BI1071" s="111">
        <f>G1071*AP1071</f>
      </c>
      <c r="BJ1071" s="111">
        <f>G1071*H1071</f>
      </c>
      <c r="BK1071" s="111"/>
      <c r="BL1071" s="111" t="n">
        <v>712</v>
      </c>
      <c r="BW1071" s="111" t="n">
        <v>21</v>
      </c>
      <c r="BX1071" s="14" t="s">
        <v>1806</v>
      </c>
    </row>
    <row r="1072" customHeight="true" ht="13.5">
      <c r="A1072" s="159"/>
      <c r="C1072" s="160" t="s">
        <v>146</v>
      </c>
      <c r="D1072" s="161" t="s">
        <v>1800</v>
      </c>
      <c r="E1072" s="156"/>
      <c r="F1072" s="156"/>
      <c r="G1072" s="156"/>
      <c r="H1072" s="156"/>
      <c r="I1072" s="156"/>
      <c r="J1072" s="156"/>
      <c r="K1072" s="163"/>
    </row>
    <row r="1073">
      <c r="A1073" s="154"/>
      <c r="B1073" s="155"/>
      <c r="C1073" s="155"/>
      <c r="D1073" s="156" t="s">
        <v>149</v>
      </c>
      <c r="E1073" s="156" t="s">
        <v>1417</v>
      </c>
      <c r="F1073" s="155"/>
      <c r="G1073" s="157" t="n">
        <v>4</v>
      </c>
      <c r="H1073" s="155"/>
      <c r="I1073" s="155"/>
      <c r="J1073" s="155"/>
      <c r="K1073" s="146"/>
    </row>
    <row r="1074">
      <c r="A1074" s="154"/>
      <c r="B1074" s="155"/>
      <c r="C1074" s="155"/>
      <c r="D1074" s="156" t="s">
        <v>266</v>
      </c>
      <c r="E1074" s="156" t="s">
        <v>1288</v>
      </c>
      <c r="F1074" s="155"/>
      <c r="G1074" s="157" t="n">
        <v>22</v>
      </c>
      <c r="H1074" s="155"/>
      <c r="I1074" s="155"/>
      <c r="J1074" s="155"/>
      <c r="K1074" s="146"/>
    </row>
    <row r="1075">
      <c r="A1075" s="9" t="s">
        <v>1807</v>
      </c>
      <c r="B1075" s="10" t="s">
        <v>84</v>
      </c>
      <c r="C1075" s="10" t="s">
        <v>1808</v>
      </c>
      <c r="D1075" s="14" t="s">
        <v>1809</v>
      </c>
      <c r="E1075" s="10"/>
      <c r="F1075" s="10" t="s">
        <v>282</v>
      </c>
      <c r="G1075" s="111">
        <f>'Stavební rozpočet'!G1075</f>
      </c>
      <c r="H1075" s="111">
        <f>'Stavební rozpočet'!H1075</f>
      </c>
      <c r="I1075" s="111">
        <f>G1075*H1075</f>
      </c>
      <c r="J1075" s="153" t="s">
        <v>134</v>
      </c>
      <c r="K1075" s="146"/>
      <c r="Z1075" s="111">
        <f>IF(AQ1075="5",BJ1075,0)</f>
      </c>
      <c r="AB1075" s="111">
        <f>IF(AQ1075="1",BH1075,0)</f>
      </c>
      <c r="AC1075" s="111">
        <f>IF(AQ1075="1",BI1075,0)</f>
      </c>
      <c r="AD1075" s="111">
        <f>IF(AQ1075="7",BH1075,0)</f>
      </c>
      <c r="AE1075" s="111">
        <f>IF(AQ1075="7",BI1075,0)</f>
      </c>
      <c r="AF1075" s="111">
        <f>IF(AQ1075="2",BH1075,0)</f>
      </c>
      <c r="AG1075" s="111">
        <f>IF(AQ1075="2",BI1075,0)</f>
      </c>
      <c r="AH1075" s="111">
        <f>IF(AQ1075="0",BJ1075,0)</f>
      </c>
      <c r="AI1075" s="132" t="s">
        <v>84</v>
      </c>
      <c r="AJ1075" s="111">
        <f>IF(AN1075=0,I1075,0)</f>
      </c>
      <c r="AK1075" s="111">
        <f>IF(AN1075=12,I1075,0)</f>
      </c>
      <c r="AL1075" s="111">
        <f>IF(AN1075=21,I1075,0)</f>
      </c>
      <c r="AN1075" s="111" t="n">
        <v>21</v>
      </c>
      <c r="AO1075" s="111">
        <f>H1075*0.464948011</f>
      </c>
      <c r="AP1075" s="111">
        <f>H1075*(1-0.464948011)</f>
      </c>
      <c r="AQ1075" s="153" t="s">
        <v>173</v>
      </c>
      <c r="AV1075" s="111">
        <f>AW1075+AX1075</f>
      </c>
      <c r="AW1075" s="111">
        <f>G1075*AO1075</f>
      </c>
      <c r="AX1075" s="111">
        <f>G1075*AP1075</f>
      </c>
      <c r="AY1075" s="153" t="s">
        <v>1668</v>
      </c>
      <c r="AZ1075" s="153" t="s">
        <v>1620</v>
      </c>
      <c r="BA1075" s="132" t="s">
        <v>137</v>
      </c>
      <c r="BC1075" s="111">
        <f>AW1075+AX1075</f>
      </c>
      <c r="BD1075" s="111">
        <f>H1075/(100-BE1075)*100</f>
      </c>
      <c r="BE1075" s="111" t="n">
        <v>0</v>
      </c>
      <c r="BF1075" s="111">
        <f>1075</f>
      </c>
      <c r="BH1075" s="111">
        <f>G1075*AO1075</f>
      </c>
      <c r="BI1075" s="111">
        <f>G1075*AP1075</f>
      </c>
      <c r="BJ1075" s="111">
        <f>G1075*H1075</f>
      </c>
      <c r="BK1075" s="111"/>
      <c r="BL1075" s="111" t="n">
        <v>712</v>
      </c>
      <c r="BW1075" s="111" t="n">
        <v>21</v>
      </c>
      <c r="BX1075" s="14" t="s">
        <v>1809</v>
      </c>
    </row>
    <row r="1076" customHeight="true" ht="13.5">
      <c r="A1076" s="159"/>
      <c r="C1076" s="160" t="s">
        <v>146</v>
      </c>
      <c r="D1076" s="161" t="s">
        <v>1800</v>
      </c>
      <c r="E1076" s="156"/>
      <c r="F1076" s="156"/>
      <c r="G1076" s="156"/>
      <c r="H1076" s="156"/>
      <c r="I1076" s="156"/>
      <c r="J1076" s="156"/>
      <c r="K1076" s="163"/>
    </row>
    <row r="1077">
      <c r="A1077" s="154"/>
      <c r="B1077" s="155"/>
      <c r="C1077" s="155"/>
      <c r="D1077" s="156" t="s">
        <v>1810</v>
      </c>
      <c r="E1077" s="156" t="s">
        <v>1802</v>
      </c>
      <c r="F1077" s="155"/>
      <c r="G1077" s="157" t="n">
        <v>49.6</v>
      </c>
      <c r="H1077" s="155"/>
      <c r="I1077" s="155"/>
      <c r="J1077" s="155"/>
      <c r="K1077" s="146"/>
    </row>
    <row r="1078">
      <c r="A1078" s="154"/>
      <c r="B1078" s="155"/>
      <c r="C1078" s="155"/>
      <c r="D1078" s="156" t="s">
        <v>1811</v>
      </c>
      <c r="E1078" s="156" t="s">
        <v>1812</v>
      </c>
      <c r="F1078" s="155"/>
      <c r="G1078" s="157" t="n">
        <v>64.84</v>
      </c>
      <c r="H1078" s="155"/>
      <c r="I1078" s="155"/>
      <c r="J1078" s="155"/>
      <c r="K1078" s="146"/>
    </row>
    <row r="1079">
      <c r="A1079" s="154"/>
      <c r="B1079" s="155"/>
      <c r="C1079" s="155"/>
      <c r="D1079" s="156" t="s">
        <v>1813</v>
      </c>
      <c r="E1079" s="156" t="s">
        <v>1814</v>
      </c>
      <c r="F1079" s="155"/>
      <c r="G1079" s="157" t="n">
        <v>24.42</v>
      </c>
      <c r="H1079" s="155"/>
      <c r="I1079" s="155"/>
      <c r="J1079" s="155"/>
      <c r="K1079" s="146"/>
    </row>
    <row r="1080">
      <c r="A1080" s="9" t="s">
        <v>1815</v>
      </c>
      <c r="B1080" s="10" t="s">
        <v>84</v>
      </c>
      <c r="C1080" s="10" t="s">
        <v>1816</v>
      </c>
      <c r="D1080" s="14" t="s">
        <v>1817</v>
      </c>
      <c r="E1080" s="10"/>
      <c r="F1080" s="10" t="s">
        <v>282</v>
      </c>
      <c r="G1080" s="111">
        <f>'Stavební rozpočet'!G1080</f>
      </c>
      <c r="H1080" s="111">
        <f>'Stavební rozpočet'!H1080</f>
      </c>
      <c r="I1080" s="111">
        <f>G1080*H1080</f>
      </c>
      <c r="J1080" s="153" t="s">
        <v>134</v>
      </c>
      <c r="K1080" s="146"/>
      <c r="Z1080" s="111">
        <f>IF(AQ1080="5",BJ1080,0)</f>
      </c>
      <c r="AB1080" s="111">
        <f>IF(AQ1080="1",BH1080,0)</f>
      </c>
      <c r="AC1080" s="111">
        <f>IF(AQ1080="1",BI1080,0)</f>
      </c>
      <c r="AD1080" s="111">
        <f>IF(AQ1080="7",BH1080,0)</f>
      </c>
      <c r="AE1080" s="111">
        <f>IF(AQ1080="7",BI1080,0)</f>
      </c>
      <c r="AF1080" s="111">
        <f>IF(AQ1080="2",BH1080,0)</f>
      </c>
      <c r="AG1080" s="111">
        <f>IF(AQ1080="2",BI1080,0)</f>
      </c>
      <c r="AH1080" s="111">
        <f>IF(AQ1080="0",BJ1080,0)</f>
      </c>
      <c r="AI1080" s="132" t="s">
        <v>84</v>
      </c>
      <c r="AJ1080" s="111">
        <f>IF(AN1080=0,I1080,0)</f>
      </c>
      <c r="AK1080" s="111">
        <f>IF(AN1080=12,I1080,0)</f>
      </c>
      <c r="AL1080" s="111">
        <f>IF(AN1080=21,I1080,0)</f>
      </c>
      <c r="AN1080" s="111" t="n">
        <v>21</v>
      </c>
      <c r="AO1080" s="111">
        <f>H1080*0.510460241</f>
      </c>
      <c r="AP1080" s="111">
        <f>H1080*(1-0.510460241)</f>
      </c>
      <c r="AQ1080" s="153" t="s">
        <v>173</v>
      </c>
      <c r="AV1080" s="111">
        <f>AW1080+AX1080</f>
      </c>
      <c r="AW1080" s="111">
        <f>G1080*AO1080</f>
      </c>
      <c r="AX1080" s="111">
        <f>G1080*AP1080</f>
      </c>
      <c r="AY1080" s="153" t="s">
        <v>1668</v>
      </c>
      <c r="AZ1080" s="153" t="s">
        <v>1620</v>
      </c>
      <c r="BA1080" s="132" t="s">
        <v>137</v>
      </c>
      <c r="BC1080" s="111">
        <f>AW1080+AX1080</f>
      </c>
      <c r="BD1080" s="111">
        <f>H1080/(100-BE1080)*100</f>
      </c>
      <c r="BE1080" s="111" t="n">
        <v>0</v>
      </c>
      <c r="BF1080" s="111">
        <f>1080</f>
      </c>
      <c r="BH1080" s="111">
        <f>G1080*AO1080</f>
      </c>
      <c r="BI1080" s="111">
        <f>G1080*AP1080</f>
      </c>
      <c r="BJ1080" s="111">
        <f>G1080*H1080</f>
      </c>
      <c r="BK1080" s="111"/>
      <c r="BL1080" s="111" t="n">
        <v>712</v>
      </c>
      <c r="BW1080" s="111" t="n">
        <v>21</v>
      </c>
      <c r="BX1080" s="14" t="s">
        <v>1817</v>
      </c>
    </row>
    <row r="1081" customHeight="true" ht="13.5">
      <c r="A1081" s="159"/>
      <c r="C1081" s="160" t="s">
        <v>146</v>
      </c>
      <c r="D1081" s="161" t="s">
        <v>1800</v>
      </c>
      <c r="E1081" s="156"/>
      <c r="F1081" s="156"/>
      <c r="G1081" s="156"/>
      <c r="H1081" s="156"/>
      <c r="I1081" s="156"/>
      <c r="J1081" s="156"/>
      <c r="K1081" s="163"/>
    </row>
    <row r="1082">
      <c r="A1082" s="154"/>
      <c r="B1082" s="155"/>
      <c r="C1082" s="155"/>
      <c r="D1082" s="156" t="s">
        <v>1818</v>
      </c>
      <c r="E1082" s="156" t="s">
        <v>1819</v>
      </c>
      <c r="F1082" s="155"/>
      <c r="G1082" s="157" t="n">
        <v>96.24</v>
      </c>
      <c r="H1082" s="155"/>
      <c r="I1082" s="155"/>
      <c r="J1082" s="155"/>
      <c r="K1082" s="146"/>
    </row>
    <row r="1083">
      <c r="A1083" s="154"/>
      <c r="B1083" s="155"/>
      <c r="C1083" s="155"/>
      <c r="D1083" s="156" t="s">
        <v>1811</v>
      </c>
      <c r="E1083" s="156" t="s">
        <v>1812</v>
      </c>
      <c r="F1083" s="155"/>
      <c r="G1083" s="157" t="n">
        <v>64.84</v>
      </c>
      <c r="H1083" s="155"/>
      <c r="I1083" s="155"/>
      <c r="J1083" s="155"/>
      <c r="K1083" s="146"/>
    </row>
    <row r="1084">
      <c r="A1084" s="154"/>
      <c r="B1084" s="155"/>
      <c r="C1084" s="155"/>
      <c r="D1084" s="156" t="s">
        <v>1813</v>
      </c>
      <c r="E1084" s="156" t="s">
        <v>1814</v>
      </c>
      <c r="F1084" s="155"/>
      <c r="G1084" s="157" t="n">
        <v>24.42</v>
      </c>
      <c r="H1084" s="155"/>
      <c r="I1084" s="155"/>
      <c r="J1084" s="155"/>
      <c r="K1084" s="146"/>
    </row>
    <row r="1085">
      <c r="A1085" s="154"/>
      <c r="B1085" s="155"/>
      <c r="C1085" s="155"/>
      <c r="D1085" s="156" t="s">
        <v>1810</v>
      </c>
      <c r="E1085" s="156" t="s">
        <v>1802</v>
      </c>
      <c r="F1085" s="155"/>
      <c r="G1085" s="157" t="n">
        <v>49.6</v>
      </c>
      <c r="H1085" s="155"/>
      <c r="I1085" s="155"/>
      <c r="J1085" s="155"/>
      <c r="K1085" s="146"/>
    </row>
    <row r="1086">
      <c r="A1086" s="9" t="s">
        <v>1820</v>
      </c>
      <c r="B1086" s="10" t="s">
        <v>84</v>
      </c>
      <c r="C1086" s="10" t="s">
        <v>1821</v>
      </c>
      <c r="D1086" s="14" t="s">
        <v>1822</v>
      </c>
      <c r="E1086" s="10"/>
      <c r="F1086" s="10" t="s">
        <v>282</v>
      </c>
      <c r="G1086" s="111">
        <f>'Stavební rozpočet'!G1086</f>
      </c>
      <c r="H1086" s="111">
        <f>'Stavební rozpočet'!H1086</f>
      </c>
      <c r="I1086" s="111">
        <f>G1086*H1086</f>
      </c>
      <c r="J1086" s="153" t="s">
        <v>134</v>
      </c>
      <c r="K1086" s="146"/>
      <c r="Z1086" s="111">
        <f>IF(AQ1086="5",BJ1086,0)</f>
      </c>
      <c r="AB1086" s="111">
        <f>IF(AQ1086="1",BH1086,0)</f>
      </c>
      <c r="AC1086" s="111">
        <f>IF(AQ1086="1",BI1086,0)</f>
      </c>
      <c r="AD1086" s="111">
        <f>IF(AQ1086="7",BH1086,0)</f>
      </c>
      <c r="AE1086" s="111">
        <f>IF(AQ1086="7",BI1086,0)</f>
      </c>
      <c r="AF1086" s="111">
        <f>IF(AQ1086="2",BH1086,0)</f>
      </c>
      <c r="AG1086" s="111">
        <f>IF(AQ1086="2",BI1086,0)</f>
      </c>
      <c r="AH1086" s="111">
        <f>IF(AQ1086="0",BJ1086,0)</f>
      </c>
      <c r="AI1086" s="132" t="s">
        <v>84</v>
      </c>
      <c r="AJ1086" s="111">
        <f>IF(AN1086=0,I1086,0)</f>
      </c>
      <c r="AK1086" s="111">
        <f>IF(AN1086=12,I1086,0)</f>
      </c>
      <c r="AL1086" s="111">
        <f>IF(AN1086=21,I1086,0)</f>
      </c>
      <c r="AN1086" s="111" t="n">
        <v>21</v>
      </c>
      <c r="AO1086" s="111">
        <f>H1086*0.510460193</f>
      </c>
      <c r="AP1086" s="111">
        <f>H1086*(1-0.510460193)</f>
      </c>
      <c r="AQ1086" s="153" t="s">
        <v>173</v>
      </c>
      <c r="AV1086" s="111">
        <f>AW1086+AX1086</f>
      </c>
      <c r="AW1086" s="111">
        <f>G1086*AO1086</f>
      </c>
      <c r="AX1086" s="111">
        <f>G1086*AP1086</f>
      </c>
      <c r="AY1086" s="153" t="s">
        <v>1668</v>
      </c>
      <c r="AZ1086" s="153" t="s">
        <v>1620</v>
      </c>
      <c r="BA1086" s="132" t="s">
        <v>137</v>
      </c>
      <c r="BC1086" s="111">
        <f>AW1086+AX1086</f>
      </c>
      <c r="BD1086" s="111">
        <f>H1086/(100-BE1086)*100</f>
      </c>
      <c r="BE1086" s="111" t="n">
        <v>0</v>
      </c>
      <c r="BF1086" s="111">
        <f>1086</f>
      </c>
      <c r="BH1086" s="111">
        <f>G1086*AO1086</f>
      </c>
      <c r="BI1086" s="111">
        <f>G1086*AP1086</f>
      </c>
      <c r="BJ1086" s="111">
        <f>G1086*H1086</f>
      </c>
      <c r="BK1086" s="111"/>
      <c r="BL1086" s="111" t="n">
        <v>712</v>
      </c>
      <c r="BW1086" s="111" t="n">
        <v>21</v>
      </c>
      <c r="BX1086" s="14" t="s">
        <v>1822</v>
      </c>
    </row>
    <row r="1087" customHeight="true" ht="13.5">
      <c r="A1087" s="159"/>
      <c r="C1087" s="160" t="s">
        <v>146</v>
      </c>
      <c r="D1087" s="161" t="s">
        <v>1823</v>
      </c>
      <c r="E1087" s="156"/>
      <c r="F1087" s="156"/>
      <c r="G1087" s="156"/>
      <c r="H1087" s="156"/>
      <c r="I1087" s="156"/>
      <c r="J1087" s="156"/>
      <c r="K1087" s="163"/>
    </row>
    <row r="1088">
      <c r="A1088" s="154"/>
      <c r="B1088" s="155"/>
      <c r="C1088" s="155"/>
      <c r="D1088" s="156" t="s">
        <v>1818</v>
      </c>
      <c r="E1088" s="156" t="s">
        <v>1824</v>
      </c>
      <c r="F1088" s="155"/>
      <c r="G1088" s="157" t="n">
        <v>96.24</v>
      </c>
      <c r="H1088" s="155"/>
      <c r="I1088" s="155"/>
      <c r="J1088" s="155"/>
      <c r="K1088" s="146"/>
    </row>
    <row r="1089">
      <c r="A1089" s="9" t="s">
        <v>1825</v>
      </c>
      <c r="B1089" s="10" t="s">
        <v>84</v>
      </c>
      <c r="C1089" s="10" t="s">
        <v>1826</v>
      </c>
      <c r="D1089" s="14" t="s">
        <v>1827</v>
      </c>
      <c r="E1089" s="10"/>
      <c r="F1089" s="10" t="s">
        <v>282</v>
      </c>
      <c r="G1089" s="111">
        <f>'Stavební rozpočet'!G1089</f>
      </c>
      <c r="H1089" s="111">
        <f>'Stavební rozpočet'!H1089</f>
      </c>
      <c r="I1089" s="111">
        <f>G1089*H1089</f>
      </c>
      <c r="J1089" s="153" t="s">
        <v>134</v>
      </c>
      <c r="K1089" s="146"/>
      <c r="Z1089" s="111">
        <f>IF(AQ1089="5",BJ1089,0)</f>
      </c>
      <c r="AB1089" s="111">
        <f>IF(AQ1089="1",BH1089,0)</f>
      </c>
      <c r="AC1089" s="111">
        <f>IF(AQ1089="1",BI1089,0)</f>
      </c>
      <c r="AD1089" s="111">
        <f>IF(AQ1089="7",BH1089,0)</f>
      </c>
      <c r="AE1089" s="111">
        <f>IF(AQ1089="7",BI1089,0)</f>
      </c>
      <c r="AF1089" s="111">
        <f>IF(AQ1089="2",BH1089,0)</f>
      </c>
      <c r="AG1089" s="111">
        <f>IF(AQ1089="2",BI1089,0)</f>
      </c>
      <c r="AH1089" s="111">
        <f>IF(AQ1089="0",BJ1089,0)</f>
      </c>
      <c r="AI1089" s="132" t="s">
        <v>84</v>
      </c>
      <c r="AJ1089" s="111">
        <f>IF(AN1089=0,I1089,0)</f>
      </c>
      <c r="AK1089" s="111">
        <f>IF(AN1089=12,I1089,0)</f>
      </c>
      <c r="AL1089" s="111">
        <f>IF(AN1089=21,I1089,0)</f>
      </c>
      <c r="AN1089" s="111" t="n">
        <v>21</v>
      </c>
      <c r="AO1089" s="111">
        <f>H1089*0.354688109</f>
      </c>
      <c r="AP1089" s="111">
        <f>H1089*(1-0.354688109)</f>
      </c>
      <c r="AQ1089" s="153" t="s">
        <v>173</v>
      </c>
      <c r="AV1089" s="111">
        <f>AW1089+AX1089</f>
      </c>
      <c r="AW1089" s="111">
        <f>G1089*AO1089</f>
      </c>
      <c r="AX1089" s="111">
        <f>G1089*AP1089</f>
      </c>
      <c r="AY1089" s="153" t="s">
        <v>1668</v>
      </c>
      <c r="AZ1089" s="153" t="s">
        <v>1620</v>
      </c>
      <c r="BA1089" s="132" t="s">
        <v>137</v>
      </c>
      <c r="BC1089" s="111">
        <f>AW1089+AX1089</f>
      </c>
      <c r="BD1089" s="111">
        <f>H1089/(100-BE1089)*100</f>
      </c>
      <c r="BE1089" s="111" t="n">
        <v>0</v>
      </c>
      <c r="BF1089" s="111">
        <f>1089</f>
      </c>
      <c r="BH1089" s="111">
        <f>G1089*AO1089</f>
      </c>
      <c r="BI1089" s="111">
        <f>G1089*AP1089</f>
      </c>
      <c r="BJ1089" s="111">
        <f>G1089*H1089</f>
      </c>
      <c r="BK1089" s="111"/>
      <c r="BL1089" s="111" t="n">
        <v>712</v>
      </c>
      <c r="BW1089" s="111" t="n">
        <v>21</v>
      </c>
      <c r="BX1089" s="14" t="s">
        <v>1827</v>
      </c>
    </row>
    <row r="1090" customHeight="true" ht="13.5">
      <c r="A1090" s="159"/>
      <c r="C1090" s="160" t="s">
        <v>146</v>
      </c>
      <c r="D1090" s="161" t="s">
        <v>1800</v>
      </c>
      <c r="E1090" s="156"/>
      <c r="F1090" s="156"/>
      <c r="G1090" s="156"/>
      <c r="H1090" s="156"/>
      <c r="I1090" s="156"/>
      <c r="J1090" s="156"/>
      <c r="K1090" s="163"/>
    </row>
    <row r="1091">
      <c r="A1091" s="154"/>
      <c r="B1091" s="155"/>
      <c r="C1091" s="155"/>
      <c r="D1091" s="156" t="s">
        <v>1818</v>
      </c>
      <c r="E1091" s="156" t="s">
        <v>1824</v>
      </c>
      <c r="F1091" s="155"/>
      <c r="G1091" s="157" t="n">
        <v>96.24</v>
      </c>
      <c r="H1091" s="155"/>
      <c r="I1091" s="155"/>
      <c r="J1091" s="155"/>
      <c r="K1091" s="146"/>
    </row>
    <row r="1092">
      <c r="A1092" s="9" t="s">
        <v>1828</v>
      </c>
      <c r="B1092" s="10" t="s">
        <v>84</v>
      </c>
      <c r="C1092" s="10" t="s">
        <v>1829</v>
      </c>
      <c r="D1092" s="14" t="s">
        <v>1830</v>
      </c>
      <c r="E1092" s="10"/>
      <c r="F1092" s="10" t="s">
        <v>145</v>
      </c>
      <c r="G1092" s="111">
        <f>'Stavební rozpočet'!G1092</f>
      </c>
      <c r="H1092" s="111">
        <f>'Stavební rozpočet'!H1092</f>
      </c>
      <c r="I1092" s="111">
        <f>G1092*H1092</f>
      </c>
      <c r="J1092" s="153" t="s">
        <v>134</v>
      </c>
      <c r="K1092" s="146"/>
      <c r="Z1092" s="111">
        <f>IF(AQ1092="5",BJ1092,0)</f>
      </c>
      <c r="AB1092" s="111">
        <f>IF(AQ1092="1",BH1092,0)</f>
      </c>
      <c r="AC1092" s="111">
        <f>IF(AQ1092="1",BI1092,0)</f>
      </c>
      <c r="AD1092" s="111">
        <f>IF(AQ1092="7",BH1092,0)</f>
      </c>
      <c r="AE1092" s="111">
        <f>IF(AQ1092="7",BI1092,0)</f>
      </c>
      <c r="AF1092" s="111">
        <f>IF(AQ1092="2",BH1092,0)</f>
      </c>
      <c r="AG1092" s="111">
        <f>IF(AQ1092="2",BI1092,0)</f>
      </c>
      <c r="AH1092" s="111">
        <f>IF(AQ1092="0",BJ1092,0)</f>
      </c>
      <c r="AI1092" s="132" t="s">
        <v>84</v>
      </c>
      <c r="AJ1092" s="111">
        <f>IF(AN1092=0,I1092,0)</f>
      </c>
      <c r="AK1092" s="111">
        <f>IF(AN1092=12,I1092,0)</f>
      </c>
      <c r="AL1092" s="111">
        <f>IF(AN1092=21,I1092,0)</f>
      </c>
      <c r="AN1092" s="111" t="n">
        <v>21</v>
      </c>
      <c r="AO1092" s="111">
        <f>H1092*0.726204223</f>
      </c>
      <c r="AP1092" s="111">
        <f>H1092*(1-0.726204223)</f>
      </c>
      <c r="AQ1092" s="153" t="s">
        <v>173</v>
      </c>
      <c r="AV1092" s="111">
        <f>AW1092+AX1092</f>
      </c>
      <c r="AW1092" s="111">
        <f>G1092*AO1092</f>
      </c>
      <c r="AX1092" s="111">
        <f>G1092*AP1092</f>
      </c>
      <c r="AY1092" s="153" t="s">
        <v>1668</v>
      </c>
      <c r="AZ1092" s="153" t="s">
        <v>1620</v>
      </c>
      <c r="BA1092" s="132" t="s">
        <v>137</v>
      </c>
      <c r="BC1092" s="111">
        <f>AW1092+AX1092</f>
      </c>
      <c r="BD1092" s="111">
        <f>H1092/(100-BE1092)*100</f>
      </c>
      <c r="BE1092" s="111" t="n">
        <v>0</v>
      </c>
      <c r="BF1092" s="111">
        <f>1092</f>
      </c>
      <c r="BH1092" s="111">
        <f>G1092*AO1092</f>
      </c>
      <c r="BI1092" s="111">
        <f>G1092*AP1092</f>
      </c>
      <c r="BJ1092" s="111">
        <f>G1092*H1092</f>
      </c>
      <c r="BK1092" s="111"/>
      <c r="BL1092" s="111" t="n">
        <v>712</v>
      </c>
      <c r="BW1092" s="111" t="n">
        <v>21</v>
      </c>
      <c r="BX1092" s="14" t="s">
        <v>1830</v>
      </c>
    </row>
    <row r="1093" customHeight="true" ht="13.5">
      <c r="A1093" s="159"/>
      <c r="C1093" s="160" t="s">
        <v>146</v>
      </c>
      <c r="D1093" s="161" t="s">
        <v>1831</v>
      </c>
      <c r="E1093" s="156"/>
      <c r="F1093" s="156"/>
      <c r="G1093" s="156"/>
      <c r="H1093" s="156"/>
      <c r="I1093" s="156"/>
      <c r="J1093" s="156"/>
      <c r="K1093" s="163"/>
    </row>
    <row r="1094">
      <c r="A1094" s="154"/>
      <c r="B1094" s="155"/>
      <c r="C1094" s="155"/>
      <c r="D1094" s="156" t="s">
        <v>4</v>
      </c>
      <c r="E1094" s="156" t="s">
        <v>1832</v>
      </c>
      <c r="F1094" s="155"/>
      <c r="G1094" s="157" t="n">
        <v>0</v>
      </c>
      <c r="H1094" s="155"/>
      <c r="I1094" s="155"/>
      <c r="J1094" s="155"/>
      <c r="K1094" s="146"/>
    </row>
    <row r="1095">
      <c r="A1095" s="154"/>
      <c r="B1095" s="155"/>
      <c r="C1095" s="155"/>
      <c r="D1095" s="156" t="s">
        <v>1684</v>
      </c>
      <c r="E1095" s="156" t="s">
        <v>1685</v>
      </c>
      <c r="F1095" s="155"/>
      <c r="G1095" s="157" t="n">
        <v>267.2286</v>
      </c>
      <c r="H1095" s="155"/>
      <c r="I1095" s="155"/>
      <c r="J1095" s="155"/>
      <c r="K1095" s="146"/>
    </row>
    <row r="1096">
      <c r="A1096" s="154"/>
      <c r="B1096" s="155"/>
      <c r="C1096" s="155"/>
      <c r="D1096" s="156" t="s">
        <v>1686</v>
      </c>
      <c r="E1096" s="156" t="s">
        <v>1687</v>
      </c>
      <c r="F1096" s="155"/>
      <c r="G1096" s="157" t="n">
        <v>38.904</v>
      </c>
      <c r="H1096" s="155"/>
      <c r="I1096" s="155"/>
      <c r="J1096" s="155"/>
      <c r="K1096" s="146"/>
    </row>
    <row r="1097">
      <c r="A1097" s="154"/>
      <c r="B1097" s="155"/>
      <c r="C1097" s="155"/>
      <c r="D1097" s="156" t="s">
        <v>1688</v>
      </c>
      <c r="E1097" s="156" t="s">
        <v>1689</v>
      </c>
      <c r="F1097" s="155"/>
      <c r="G1097" s="157" t="n">
        <v>28.896</v>
      </c>
      <c r="H1097" s="155"/>
      <c r="I1097" s="155"/>
      <c r="J1097" s="155"/>
      <c r="K1097" s="146"/>
    </row>
    <row r="1098">
      <c r="A1098" s="154"/>
      <c r="B1098" s="155"/>
      <c r="C1098" s="155"/>
      <c r="D1098" s="156" t="s">
        <v>1694</v>
      </c>
      <c r="E1098" s="156" t="s">
        <v>1695</v>
      </c>
      <c r="F1098" s="155"/>
      <c r="G1098" s="157" t="n">
        <v>7.78</v>
      </c>
      <c r="H1098" s="155"/>
      <c r="I1098" s="155"/>
      <c r="J1098" s="155"/>
      <c r="K1098" s="146"/>
    </row>
    <row r="1099">
      <c r="A1099" s="154"/>
      <c r="B1099" s="155"/>
      <c r="C1099" s="155"/>
      <c r="D1099" s="156" t="s">
        <v>1696</v>
      </c>
      <c r="E1099" s="156" t="s">
        <v>1697</v>
      </c>
      <c r="F1099" s="155"/>
      <c r="G1099" s="157" t="n">
        <v>144.6</v>
      </c>
      <c r="H1099" s="155"/>
      <c r="I1099" s="155"/>
      <c r="J1099" s="155"/>
      <c r="K1099" s="146"/>
    </row>
    <row r="1100">
      <c r="A1100" s="154"/>
      <c r="B1100" s="155"/>
      <c r="C1100" s="155"/>
      <c r="D1100" s="156" t="s">
        <v>1698</v>
      </c>
      <c r="E1100" s="156" t="s">
        <v>1699</v>
      </c>
      <c r="F1100" s="155"/>
      <c r="G1100" s="157" t="n">
        <v>121.5</v>
      </c>
      <c r="H1100" s="155"/>
      <c r="I1100" s="155"/>
      <c r="J1100" s="155"/>
      <c r="K1100" s="146"/>
    </row>
    <row r="1101">
      <c r="A1101" s="154"/>
      <c r="B1101" s="155"/>
      <c r="C1101" s="155"/>
      <c r="D1101" s="156" t="s">
        <v>1833</v>
      </c>
      <c r="E1101" s="156" t="s">
        <v>1691</v>
      </c>
      <c r="F1101" s="155"/>
      <c r="G1101" s="157" t="n">
        <v>19.69</v>
      </c>
      <c r="H1101" s="155"/>
      <c r="I1101" s="155"/>
      <c r="J1101" s="155"/>
      <c r="K1101" s="146"/>
    </row>
    <row r="1102">
      <c r="A1102" s="154"/>
      <c r="B1102" s="155"/>
      <c r="C1102" s="155"/>
      <c r="D1102" s="156" t="s">
        <v>1834</v>
      </c>
      <c r="E1102" s="156" t="s">
        <v>1835</v>
      </c>
      <c r="F1102" s="155"/>
      <c r="G1102" s="157" t="n">
        <v>-39.02</v>
      </c>
      <c r="H1102" s="155"/>
      <c r="I1102" s="155"/>
      <c r="J1102" s="155"/>
      <c r="K1102" s="146"/>
    </row>
    <row r="1103">
      <c r="A1103" s="9" t="s">
        <v>1836</v>
      </c>
      <c r="B1103" s="10" t="s">
        <v>84</v>
      </c>
      <c r="C1103" s="10" t="s">
        <v>1837</v>
      </c>
      <c r="D1103" s="14" t="s">
        <v>1838</v>
      </c>
      <c r="E1103" s="10"/>
      <c r="F1103" s="10" t="s">
        <v>145</v>
      </c>
      <c r="G1103" s="111">
        <f>'Stavební rozpočet'!G1103</f>
      </c>
      <c r="H1103" s="111">
        <f>'Stavební rozpočet'!H1103</f>
      </c>
      <c r="I1103" s="111">
        <f>G1103*H1103</f>
      </c>
      <c r="J1103" s="153" t="s">
        <v>134</v>
      </c>
      <c r="K1103" s="146"/>
      <c r="Z1103" s="111">
        <f>IF(AQ1103="5",BJ1103,0)</f>
      </c>
      <c r="AB1103" s="111">
        <f>IF(AQ1103="1",BH1103,0)</f>
      </c>
      <c r="AC1103" s="111">
        <f>IF(AQ1103="1",BI1103,0)</f>
      </c>
      <c r="AD1103" s="111">
        <f>IF(AQ1103="7",BH1103,0)</f>
      </c>
      <c r="AE1103" s="111">
        <f>IF(AQ1103="7",BI1103,0)</f>
      </c>
      <c r="AF1103" s="111">
        <f>IF(AQ1103="2",BH1103,0)</f>
      </c>
      <c r="AG1103" s="111">
        <f>IF(AQ1103="2",BI1103,0)</f>
      </c>
      <c r="AH1103" s="111">
        <f>IF(AQ1103="0",BJ1103,0)</f>
      </c>
      <c r="AI1103" s="132" t="s">
        <v>84</v>
      </c>
      <c r="AJ1103" s="111">
        <f>IF(AN1103=0,I1103,0)</f>
      </c>
      <c r="AK1103" s="111">
        <f>IF(AN1103=12,I1103,0)</f>
      </c>
      <c r="AL1103" s="111">
        <f>IF(AN1103=21,I1103,0)</f>
      </c>
      <c r="AN1103" s="111" t="n">
        <v>21</v>
      </c>
      <c r="AO1103" s="111">
        <f>H1103*0.107114625</f>
      </c>
      <c r="AP1103" s="111">
        <f>H1103*(1-0.107114625)</f>
      </c>
      <c r="AQ1103" s="153" t="s">
        <v>173</v>
      </c>
      <c r="AV1103" s="111">
        <f>AW1103+AX1103</f>
      </c>
      <c r="AW1103" s="111">
        <f>G1103*AO1103</f>
      </c>
      <c r="AX1103" s="111">
        <f>G1103*AP1103</f>
      </c>
      <c r="AY1103" s="153" t="s">
        <v>1668</v>
      </c>
      <c r="AZ1103" s="153" t="s">
        <v>1620</v>
      </c>
      <c r="BA1103" s="132" t="s">
        <v>137</v>
      </c>
      <c r="BC1103" s="111">
        <f>AW1103+AX1103</f>
      </c>
      <c r="BD1103" s="111">
        <f>H1103/(100-BE1103)*100</f>
      </c>
      <c r="BE1103" s="111" t="n">
        <v>0</v>
      </c>
      <c r="BF1103" s="111">
        <f>1103</f>
      </c>
      <c r="BH1103" s="111">
        <f>G1103*AO1103</f>
      </c>
      <c r="BI1103" s="111">
        <f>G1103*AP1103</f>
      </c>
      <c r="BJ1103" s="111">
        <f>G1103*H1103</f>
      </c>
      <c r="BK1103" s="111"/>
      <c r="BL1103" s="111" t="n">
        <v>712</v>
      </c>
      <c r="BW1103" s="111" t="n">
        <v>21</v>
      </c>
      <c r="BX1103" s="14" t="s">
        <v>1838</v>
      </c>
    </row>
    <row r="1104" customHeight="true" ht="13.5">
      <c r="A1104" s="159"/>
      <c r="C1104" s="160" t="s">
        <v>146</v>
      </c>
      <c r="D1104" s="161" t="s">
        <v>1839</v>
      </c>
      <c r="E1104" s="156"/>
      <c r="F1104" s="156"/>
      <c r="G1104" s="156"/>
      <c r="H1104" s="156"/>
      <c r="I1104" s="156"/>
      <c r="J1104" s="156"/>
      <c r="K1104" s="163"/>
    </row>
    <row r="1105">
      <c r="A1105" s="154"/>
      <c r="B1105" s="155"/>
      <c r="C1105" s="155"/>
      <c r="D1105" s="156" t="s">
        <v>1840</v>
      </c>
      <c r="E1105" s="156" t="s">
        <v>1832</v>
      </c>
      <c r="F1105" s="155"/>
      <c r="G1105" s="157" t="n">
        <v>589.58</v>
      </c>
      <c r="H1105" s="155"/>
      <c r="I1105" s="155"/>
      <c r="J1105" s="155"/>
      <c r="K1105" s="146"/>
    </row>
    <row r="1106">
      <c r="A1106" s="9" t="s">
        <v>1841</v>
      </c>
      <c r="B1106" s="10" t="s">
        <v>84</v>
      </c>
      <c r="C1106" s="10" t="s">
        <v>1628</v>
      </c>
      <c r="D1106" s="14" t="s">
        <v>1842</v>
      </c>
      <c r="E1106" s="10"/>
      <c r="F1106" s="10" t="s">
        <v>145</v>
      </c>
      <c r="G1106" s="111">
        <f>'Stavební rozpočet'!G1106</f>
      </c>
      <c r="H1106" s="111">
        <f>'Stavební rozpočet'!H1106</f>
      </c>
      <c r="I1106" s="111">
        <f>G1106*H1106</f>
      </c>
      <c r="J1106" s="153" t="s">
        <v>134</v>
      </c>
      <c r="K1106" s="146"/>
      <c r="Z1106" s="111">
        <f>IF(AQ1106="5",BJ1106,0)</f>
      </c>
      <c r="AB1106" s="111">
        <f>IF(AQ1106="1",BH1106,0)</f>
      </c>
      <c r="AC1106" s="111">
        <f>IF(AQ1106="1",BI1106,0)</f>
      </c>
      <c r="AD1106" s="111">
        <f>IF(AQ1106="7",BH1106,0)</f>
      </c>
      <c r="AE1106" s="111">
        <f>IF(AQ1106="7",BI1106,0)</f>
      </c>
      <c r="AF1106" s="111">
        <f>IF(AQ1106="2",BH1106,0)</f>
      </c>
      <c r="AG1106" s="111">
        <f>IF(AQ1106="2",BI1106,0)</f>
      </c>
      <c r="AH1106" s="111">
        <f>IF(AQ1106="0",BJ1106,0)</f>
      </c>
      <c r="AI1106" s="132" t="s">
        <v>84</v>
      </c>
      <c r="AJ1106" s="111">
        <f>IF(AN1106=0,I1106,0)</f>
      </c>
      <c r="AK1106" s="111">
        <f>IF(AN1106=12,I1106,0)</f>
      </c>
      <c r="AL1106" s="111">
        <f>IF(AN1106=21,I1106,0)</f>
      </c>
      <c r="AN1106" s="111" t="n">
        <v>21</v>
      </c>
      <c r="AO1106" s="111">
        <f>H1106*1</f>
      </c>
      <c r="AP1106" s="111">
        <f>H1106*(1-1)</f>
      </c>
      <c r="AQ1106" s="153" t="s">
        <v>173</v>
      </c>
      <c r="AV1106" s="111">
        <f>AW1106+AX1106</f>
      </c>
      <c r="AW1106" s="111">
        <f>G1106*AO1106</f>
      </c>
      <c r="AX1106" s="111">
        <f>G1106*AP1106</f>
      </c>
      <c r="AY1106" s="153" t="s">
        <v>1668</v>
      </c>
      <c r="AZ1106" s="153" t="s">
        <v>1620</v>
      </c>
      <c r="BA1106" s="132" t="s">
        <v>137</v>
      </c>
      <c r="BC1106" s="111">
        <f>AW1106+AX1106</f>
      </c>
      <c r="BD1106" s="111">
        <f>H1106/(100-BE1106)*100</f>
      </c>
      <c r="BE1106" s="111" t="n">
        <v>0</v>
      </c>
      <c r="BF1106" s="111">
        <f>1106</f>
      </c>
      <c r="BH1106" s="111">
        <f>G1106*AO1106</f>
      </c>
      <c r="BI1106" s="111">
        <f>G1106*AP1106</f>
      </c>
      <c r="BJ1106" s="111">
        <f>G1106*H1106</f>
      </c>
      <c r="BK1106" s="111"/>
      <c r="BL1106" s="111" t="n">
        <v>712</v>
      </c>
      <c r="BW1106" s="111" t="n">
        <v>21</v>
      </c>
      <c r="BX1106" s="14" t="s">
        <v>1842</v>
      </c>
    </row>
    <row r="1107">
      <c r="A1107" s="154"/>
      <c r="B1107" s="155"/>
      <c r="C1107" s="155"/>
      <c r="D1107" s="156" t="s">
        <v>1840</v>
      </c>
      <c r="E1107" s="156" t="s">
        <v>1832</v>
      </c>
      <c r="F1107" s="155"/>
      <c r="G1107" s="157" t="n">
        <v>589.58</v>
      </c>
      <c r="H1107" s="155"/>
      <c r="I1107" s="155"/>
      <c r="J1107" s="155"/>
      <c r="K1107" s="146"/>
    </row>
    <row r="1108">
      <c r="A1108" s="154"/>
      <c r="B1108" s="155"/>
      <c r="C1108" s="155"/>
      <c r="D1108" s="156" t="s">
        <v>1843</v>
      </c>
      <c r="E1108" s="156" t="s">
        <v>674</v>
      </c>
      <c r="F1108" s="155"/>
      <c r="G1108" s="157" t="n">
        <v>88.437</v>
      </c>
      <c r="H1108" s="155"/>
      <c r="I1108" s="155"/>
      <c r="J1108" s="155"/>
      <c r="K1108" s="146"/>
    </row>
    <row r="1109">
      <c r="A1109" s="9" t="s">
        <v>1844</v>
      </c>
      <c r="B1109" s="10" t="s">
        <v>84</v>
      </c>
      <c r="C1109" s="10" t="s">
        <v>1845</v>
      </c>
      <c r="D1109" s="14" t="s">
        <v>1846</v>
      </c>
      <c r="E1109" s="10"/>
      <c r="F1109" s="10" t="s">
        <v>61</v>
      </c>
      <c r="G1109" s="111">
        <f>'Stavební rozpočet'!G1109</f>
      </c>
      <c r="H1109" s="111">
        <f>'Stavební rozpočet'!H1109</f>
      </c>
      <c r="I1109" s="111">
        <f>G1109*H1109</f>
      </c>
      <c r="J1109" s="153" t="s">
        <v>134</v>
      </c>
      <c r="K1109" s="146"/>
      <c r="Z1109" s="111">
        <f>IF(AQ1109="5",BJ1109,0)</f>
      </c>
      <c r="AB1109" s="111">
        <f>IF(AQ1109="1",BH1109,0)</f>
      </c>
      <c r="AC1109" s="111">
        <f>IF(AQ1109="1",BI1109,0)</f>
      </c>
      <c r="AD1109" s="111">
        <f>IF(AQ1109="7",BH1109,0)</f>
      </c>
      <c r="AE1109" s="111">
        <f>IF(AQ1109="7",BI1109,0)</f>
      </c>
      <c r="AF1109" s="111">
        <f>IF(AQ1109="2",BH1109,0)</f>
      </c>
      <c r="AG1109" s="111">
        <f>IF(AQ1109="2",BI1109,0)</f>
      </c>
      <c r="AH1109" s="111">
        <f>IF(AQ1109="0",BJ1109,0)</f>
      </c>
      <c r="AI1109" s="132" t="s">
        <v>84</v>
      </c>
      <c r="AJ1109" s="111">
        <f>IF(AN1109=0,I1109,0)</f>
      </c>
      <c r="AK1109" s="111">
        <f>IF(AN1109=12,I1109,0)</f>
      </c>
      <c r="AL1109" s="111">
        <f>IF(AN1109=21,I1109,0)</f>
      </c>
      <c r="AN1109" s="111" t="n">
        <v>21</v>
      </c>
      <c r="AO1109" s="111">
        <f>H1109*0</f>
      </c>
      <c r="AP1109" s="111">
        <f>H1109*(1-0)</f>
      </c>
      <c r="AQ1109" s="153" t="s">
        <v>156</v>
      </c>
      <c r="AV1109" s="111">
        <f>AW1109+AX1109</f>
      </c>
      <c r="AW1109" s="111">
        <f>G1109*AO1109</f>
      </c>
      <c r="AX1109" s="111">
        <f>G1109*AP1109</f>
      </c>
      <c r="AY1109" s="153" t="s">
        <v>1668</v>
      </c>
      <c r="AZ1109" s="153" t="s">
        <v>1620</v>
      </c>
      <c r="BA1109" s="132" t="s">
        <v>137</v>
      </c>
      <c r="BC1109" s="111">
        <f>AW1109+AX1109</f>
      </c>
      <c r="BD1109" s="111">
        <f>H1109/(100-BE1109)*100</f>
      </c>
      <c r="BE1109" s="111" t="n">
        <v>0</v>
      </c>
      <c r="BF1109" s="111">
        <f>1109</f>
      </c>
      <c r="BH1109" s="111">
        <f>G1109*AO1109</f>
      </c>
      <c r="BI1109" s="111">
        <f>G1109*AP1109</f>
      </c>
      <c r="BJ1109" s="111">
        <f>G1109*H1109</f>
      </c>
      <c r="BK1109" s="111"/>
      <c r="BL1109" s="111" t="n">
        <v>712</v>
      </c>
      <c r="BW1109" s="111" t="n">
        <v>21</v>
      </c>
      <c r="BX1109" s="14" t="s">
        <v>1846</v>
      </c>
    </row>
    <row r="1110">
      <c r="A1110" s="9" t="s">
        <v>1847</v>
      </c>
      <c r="B1110" s="10" t="s">
        <v>84</v>
      </c>
      <c r="C1110" s="10" t="s">
        <v>1848</v>
      </c>
      <c r="D1110" s="14" t="s">
        <v>1849</v>
      </c>
      <c r="E1110" s="10"/>
      <c r="F1110" s="10" t="s">
        <v>61</v>
      </c>
      <c r="G1110" s="111">
        <f>'Stavební rozpočet'!G1110</f>
      </c>
      <c r="H1110" s="111">
        <f>'Stavební rozpočet'!H1110</f>
      </c>
      <c r="I1110" s="111">
        <f>G1110*H1110</f>
      </c>
      <c r="J1110" s="153" t="s">
        <v>134</v>
      </c>
      <c r="K1110" s="146"/>
      <c r="Z1110" s="111">
        <f>IF(AQ1110="5",BJ1110,0)</f>
      </c>
      <c r="AB1110" s="111">
        <f>IF(AQ1110="1",BH1110,0)</f>
      </c>
      <c r="AC1110" s="111">
        <f>IF(AQ1110="1",BI1110,0)</f>
      </c>
      <c r="AD1110" s="111">
        <f>IF(AQ1110="7",BH1110,0)</f>
      </c>
      <c r="AE1110" s="111">
        <f>IF(AQ1110="7",BI1110,0)</f>
      </c>
      <c r="AF1110" s="111">
        <f>IF(AQ1110="2",BH1110,0)</f>
      </c>
      <c r="AG1110" s="111">
        <f>IF(AQ1110="2",BI1110,0)</f>
      </c>
      <c r="AH1110" s="111">
        <f>IF(AQ1110="0",BJ1110,0)</f>
      </c>
      <c r="AI1110" s="132" t="s">
        <v>84</v>
      </c>
      <c r="AJ1110" s="111">
        <f>IF(AN1110=0,I1110,0)</f>
      </c>
      <c r="AK1110" s="111">
        <f>IF(AN1110=12,I1110,0)</f>
      </c>
      <c r="AL1110" s="111">
        <f>IF(AN1110=21,I1110,0)</f>
      </c>
      <c r="AN1110" s="111" t="n">
        <v>21</v>
      </c>
      <c r="AO1110" s="111">
        <f>H1110*0</f>
      </c>
      <c r="AP1110" s="111">
        <f>H1110*(1-0)</f>
      </c>
      <c r="AQ1110" s="153" t="s">
        <v>156</v>
      </c>
      <c r="AV1110" s="111">
        <f>AW1110+AX1110</f>
      </c>
      <c r="AW1110" s="111">
        <f>G1110*AO1110</f>
      </c>
      <c r="AX1110" s="111">
        <f>G1110*AP1110</f>
      </c>
      <c r="AY1110" s="153" t="s">
        <v>1668</v>
      </c>
      <c r="AZ1110" s="153" t="s">
        <v>1620</v>
      </c>
      <c r="BA1110" s="132" t="s">
        <v>137</v>
      </c>
      <c r="BC1110" s="111">
        <f>AW1110+AX1110</f>
      </c>
      <c r="BD1110" s="111">
        <f>H1110/(100-BE1110)*100</f>
      </c>
      <c r="BE1110" s="111" t="n">
        <v>0</v>
      </c>
      <c r="BF1110" s="111">
        <f>1110</f>
      </c>
      <c r="BH1110" s="111">
        <f>G1110*AO1110</f>
      </c>
      <c r="BI1110" s="111">
        <f>G1110*AP1110</f>
      </c>
      <c r="BJ1110" s="111">
        <f>G1110*H1110</f>
      </c>
      <c r="BK1110" s="111"/>
      <c r="BL1110" s="111" t="n">
        <v>712</v>
      </c>
      <c r="BW1110" s="111" t="n">
        <v>21</v>
      </c>
      <c r="BX1110" s="14" t="s">
        <v>1849</v>
      </c>
    </row>
    <row r="1111">
      <c r="A1111" s="147" t="s">
        <v>4</v>
      </c>
      <c r="B1111" s="148" t="s">
        <v>84</v>
      </c>
      <c r="C1111" s="148" t="s">
        <v>1850</v>
      </c>
      <c r="D1111" s="149" t="s">
        <v>1851</v>
      </c>
      <c r="E1111" s="148"/>
      <c r="F1111" s="150" t="s">
        <v>79</v>
      </c>
      <c r="G1111" s="150" t="s">
        <v>79</v>
      </c>
      <c r="H1111" s="150" t="s">
        <v>79</v>
      </c>
      <c r="I1111" s="117">
        <f>SUM(I1112:I1187)</f>
      </c>
      <c r="J1111" s="132" t="s">
        <v>4</v>
      </c>
      <c r="K1111" s="146"/>
      <c r="AI1111" s="132" t="s">
        <v>84</v>
      </c>
      <c r="AS1111" s="117">
        <f>SUM(AJ1112:AJ1187)</f>
      </c>
      <c r="AT1111" s="117">
        <f>SUM(AK1112:AK1187)</f>
      </c>
      <c r="AU1111" s="117">
        <f>SUM(AL1112:AL1187)</f>
      </c>
    </row>
    <row r="1112">
      <c r="A1112" s="9" t="s">
        <v>1852</v>
      </c>
      <c r="B1112" s="10" t="s">
        <v>84</v>
      </c>
      <c r="C1112" s="10" t="s">
        <v>1853</v>
      </c>
      <c r="D1112" s="14" t="s">
        <v>1854</v>
      </c>
      <c r="E1112" s="10"/>
      <c r="F1112" s="10" t="s">
        <v>145</v>
      </c>
      <c r="G1112" s="111">
        <f>'Stavební rozpočet'!G1112</f>
      </c>
      <c r="H1112" s="111">
        <f>'Stavební rozpočet'!H1112</f>
      </c>
      <c r="I1112" s="111">
        <f>G1112*H1112</f>
      </c>
      <c r="J1112" s="153" t="s">
        <v>134</v>
      </c>
      <c r="K1112" s="146"/>
      <c r="Z1112" s="111">
        <f>IF(AQ1112="5",BJ1112,0)</f>
      </c>
      <c r="AB1112" s="111">
        <f>IF(AQ1112="1",BH1112,0)</f>
      </c>
      <c r="AC1112" s="111">
        <f>IF(AQ1112="1",BI1112,0)</f>
      </c>
      <c r="AD1112" s="111">
        <f>IF(AQ1112="7",BH1112,0)</f>
      </c>
      <c r="AE1112" s="111">
        <f>IF(AQ1112="7",BI1112,0)</f>
      </c>
      <c r="AF1112" s="111">
        <f>IF(AQ1112="2",BH1112,0)</f>
      </c>
      <c r="AG1112" s="111">
        <f>IF(AQ1112="2",BI1112,0)</f>
      </c>
      <c r="AH1112" s="111">
        <f>IF(AQ1112="0",BJ1112,0)</f>
      </c>
      <c r="AI1112" s="132" t="s">
        <v>84</v>
      </c>
      <c r="AJ1112" s="111">
        <f>IF(AN1112=0,I1112,0)</f>
      </c>
      <c r="AK1112" s="111">
        <f>IF(AN1112=12,I1112,0)</f>
      </c>
      <c r="AL1112" s="111">
        <f>IF(AN1112=21,I1112,0)</f>
      </c>
      <c r="AN1112" s="111" t="n">
        <v>21</v>
      </c>
      <c r="AO1112" s="111">
        <f>H1112*0</f>
      </c>
      <c r="AP1112" s="111">
        <f>H1112*(1-0)</f>
      </c>
      <c r="AQ1112" s="153" t="s">
        <v>173</v>
      </c>
      <c r="AV1112" s="111">
        <f>AW1112+AX1112</f>
      </c>
      <c r="AW1112" s="111">
        <f>G1112*AO1112</f>
      </c>
      <c r="AX1112" s="111">
        <f>G1112*AP1112</f>
      </c>
      <c r="AY1112" s="153" t="s">
        <v>1855</v>
      </c>
      <c r="AZ1112" s="153" t="s">
        <v>1620</v>
      </c>
      <c r="BA1112" s="132" t="s">
        <v>137</v>
      </c>
      <c r="BC1112" s="111">
        <f>AW1112+AX1112</f>
      </c>
      <c r="BD1112" s="111">
        <f>H1112/(100-BE1112)*100</f>
      </c>
      <c r="BE1112" s="111" t="n">
        <v>0</v>
      </c>
      <c r="BF1112" s="111">
        <f>1112</f>
      </c>
      <c r="BH1112" s="111">
        <f>G1112*AO1112</f>
      </c>
      <c r="BI1112" s="111">
        <f>G1112*AP1112</f>
      </c>
      <c r="BJ1112" s="111">
        <f>G1112*H1112</f>
      </c>
      <c r="BK1112" s="111"/>
      <c r="BL1112" s="111" t="n">
        <v>713</v>
      </c>
      <c r="BW1112" s="111" t="n">
        <v>21</v>
      </c>
      <c r="BX1112" s="14" t="s">
        <v>1854</v>
      </c>
    </row>
    <row r="1113" customHeight="true" ht="13.5">
      <c r="A1113" s="159"/>
      <c r="C1113" s="160" t="s">
        <v>146</v>
      </c>
      <c r="D1113" s="161" t="s">
        <v>1856</v>
      </c>
      <c r="E1113" s="156"/>
      <c r="F1113" s="156"/>
      <c r="G1113" s="156"/>
      <c r="H1113" s="156"/>
      <c r="I1113" s="156"/>
      <c r="J1113" s="156"/>
      <c r="K1113" s="163"/>
    </row>
    <row r="1114">
      <c r="A1114" s="154"/>
      <c r="B1114" s="155"/>
      <c r="C1114" s="155"/>
      <c r="D1114" s="156" t="s">
        <v>1251</v>
      </c>
      <c r="E1114" s="156" t="s">
        <v>1234</v>
      </c>
      <c r="F1114" s="155"/>
      <c r="G1114" s="157" t="n">
        <v>167.5</v>
      </c>
      <c r="H1114" s="155"/>
      <c r="I1114" s="155"/>
      <c r="J1114" s="155"/>
      <c r="K1114" s="146"/>
    </row>
    <row r="1115">
      <c r="A1115" s="154"/>
      <c r="B1115" s="155"/>
      <c r="C1115" s="155"/>
      <c r="D1115" s="156" t="s">
        <v>1252</v>
      </c>
      <c r="E1115" s="156" t="s">
        <v>1236</v>
      </c>
      <c r="F1115" s="155"/>
      <c r="G1115" s="157" t="n">
        <v>47.3</v>
      </c>
      <c r="H1115" s="155"/>
      <c r="I1115" s="155"/>
      <c r="J1115" s="155"/>
      <c r="K1115" s="146"/>
    </row>
    <row r="1116">
      <c r="A1116" s="154"/>
      <c r="B1116" s="155"/>
      <c r="C1116" s="155"/>
      <c r="D1116" s="156" t="s">
        <v>1253</v>
      </c>
      <c r="E1116" s="156" t="s">
        <v>1238</v>
      </c>
      <c r="F1116" s="155"/>
      <c r="G1116" s="157" t="n">
        <v>240.3</v>
      </c>
      <c r="H1116" s="155"/>
      <c r="I1116" s="155"/>
      <c r="J1116" s="155"/>
      <c r="K1116" s="146"/>
    </row>
    <row r="1117">
      <c r="A1117" s="9" t="s">
        <v>1857</v>
      </c>
      <c r="B1117" s="10" t="s">
        <v>84</v>
      </c>
      <c r="C1117" s="10" t="s">
        <v>1858</v>
      </c>
      <c r="D1117" s="14" t="s">
        <v>1859</v>
      </c>
      <c r="E1117" s="10"/>
      <c r="F1117" s="10" t="s">
        <v>159</v>
      </c>
      <c r="G1117" s="111">
        <f>'Stavební rozpočet'!G1117</f>
      </c>
      <c r="H1117" s="111">
        <f>'Stavební rozpočet'!H1117</f>
      </c>
      <c r="I1117" s="111">
        <f>G1117*H1117</f>
      </c>
      <c r="J1117" s="153" t="s">
        <v>134</v>
      </c>
      <c r="K1117" s="146"/>
      <c r="Z1117" s="111">
        <f>IF(AQ1117="5",BJ1117,0)</f>
      </c>
      <c r="AB1117" s="111">
        <f>IF(AQ1117="1",BH1117,0)</f>
      </c>
      <c r="AC1117" s="111">
        <f>IF(AQ1117="1",BI1117,0)</f>
      </c>
      <c r="AD1117" s="111">
        <f>IF(AQ1117="7",BH1117,0)</f>
      </c>
      <c r="AE1117" s="111">
        <f>IF(AQ1117="7",BI1117,0)</f>
      </c>
      <c r="AF1117" s="111">
        <f>IF(AQ1117="2",BH1117,0)</f>
      </c>
      <c r="AG1117" s="111">
        <f>IF(AQ1117="2",BI1117,0)</f>
      </c>
      <c r="AH1117" s="111">
        <f>IF(AQ1117="0",BJ1117,0)</f>
      </c>
      <c r="AI1117" s="132" t="s">
        <v>84</v>
      </c>
      <c r="AJ1117" s="111">
        <f>IF(AN1117=0,I1117,0)</f>
      </c>
      <c r="AK1117" s="111">
        <f>IF(AN1117=12,I1117,0)</f>
      </c>
      <c r="AL1117" s="111">
        <f>IF(AN1117=21,I1117,0)</f>
      </c>
      <c r="AN1117" s="111" t="n">
        <v>21</v>
      </c>
      <c r="AO1117" s="111">
        <f>H1117*1</f>
      </c>
      <c r="AP1117" s="111">
        <f>H1117*(1-1)</f>
      </c>
      <c r="AQ1117" s="153" t="s">
        <v>173</v>
      </c>
      <c r="AV1117" s="111">
        <f>AW1117+AX1117</f>
      </c>
      <c r="AW1117" s="111">
        <f>G1117*AO1117</f>
      </c>
      <c r="AX1117" s="111">
        <f>G1117*AP1117</f>
      </c>
      <c r="AY1117" s="153" t="s">
        <v>1855</v>
      </c>
      <c r="AZ1117" s="153" t="s">
        <v>1620</v>
      </c>
      <c r="BA1117" s="132" t="s">
        <v>137</v>
      </c>
      <c r="BC1117" s="111">
        <f>AW1117+AX1117</f>
      </c>
      <c r="BD1117" s="111">
        <f>H1117/(100-BE1117)*100</f>
      </c>
      <c r="BE1117" s="111" t="n">
        <v>0</v>
      </c>
      <c r="BF1117" s="111">
        <f>1117</f>
      </c>
      <c r="BH1117" s="111">
        <f>G1117*AO1117</f>
      </c>
      <c r="BI1117" s="111">
        <f>G1117*AP1117</f>
      </c>
      <c r="BJ1117" s="111">
        <f>G1117*H1117</f>
      </c>
      <c r="BK1117" s="111"/>
      <c r="BL1117" s="111" t="n">
        <v>713</v>
      </c>
      <c r="BW1117" s="111" t="n">
        <v>21</v>
      </c>
      <c r="BX1117" s="14" t="s">
        <v>1859</v>
      </c>
    </row>
    <row r="1118">
      <c r="A1118" s="154"/>
      <c r="B1118" s="155"/>
      <c r="C1118" s="155"/>
      <c r="D1118" s="156" t="s">
        <v>1860</v>
      </c>
      <c r="E1118" s="156" t="s">
        <v>1234</v>
      </c>
      <c r="F1118" s="155"/>
      <c r="G1118" s="157" t="n">
        <v>23.45</v>
      </c>
      <c r="H1118" s="155"/>
      <c r="I1118" s="155"/>
      <c r="J1118" s="155"/>
      <c r="K1118" s="146"/>
    </row>
    <row r="1119">
      <c r="A1119" s="154"/>
      <c r="B1119" s="155"/>
      <c r="C1119" s="155"/>
      <c r="D1119" s="156" t="s">
        <v>1861</v>
      </c>
      <c r="E1119" s="156" t="s">
        <v>1236</v>
      </c>
      <c r="F1119" s="155"/>
      <c r="G1119" s="157" t="n">
        <v>6.622</v>
      </c>
      <c r="H1119" s="155"/>
      <c r="I1119" s="155"/>
      <c r="J1119" s="155"/>
      <c r="K1119" s="146"/>
    </row>
    <row r="1120">
      <c r="A1120" s="154"/>
      <c r="B1120" s="155"/>
      <c r="C1120" s="155"/>
      <c r="D1120" s="156" t="s">
        <v>1862</v>
      </c>
      <c r="E1120" s="156" t="s">
        <v>1238</v>
      </c>
      <c r="F1120" s="155"/>
      <c r="G1120" s="157" t="n">
        <v>24.03</v>
      </c>
      <c r="H1120" s="155"/>
      <c r="I1120" s="155"/>
      <c r="J1120" s="155"/>
      <c r="K1120" s="146"/>
    </row>
    <row r="1121">
      <c r="A1121" s="154"/>
      <c r="B1121" s="155"/>
      <c r="C1121" s="155"/>
      <c r="D1121" s="156" t="s">
        <v>1863</v>
      </c>
      <c r="E1121" s="156" t="s">
        <v>1864</v>
      </c>
      <c r="F1121" s="155"/>
      <c r="G1121" s="157" t="n">
        <v>53.333</v>
      </c>
      <c r="H1121" s="155"/>
      <c r="I1121" s="155"/>
      <c r="J1121" s="155"/>
      <c r="K1121" s="146"/>
    </row>
    <row r="1122">
      <c r="A1122" s="154"/>
      <c r="B1122" s="155"/>
      <c r="C1122" s="155"/>
      <c r="D1122" s="156" t="s">
        <v>1865</v>
      </c>
      <c r="E1122" s="156" t="s">
        <v>1866</v>
      </c>
      <c r="F1122" s="155"/>
      <c r="G1122" s="157" t="n">
        <v>4.987</v>
      </c>
      <c r="H1122" s="155"/>
      <c r="I1122" s="155"/>
      <c r="J1122" s="155"/>
      <c r="K1122" s="146"/>
    </row>
    <row r="1123">
      <c r="A1123" s="154"/>
      <c r="B1123" s="155"/>
      <c r="C1123" s="155"/>
      <c r="D1123" s="156" t="s">
        <v>1867</v>
      </c>
      <c r="E1123" s="156" t="s">
        <v>1868</v>
      </c>
      <c r="F1123" s="155"/>
      <c r="G1123" s="157" t="n">
        <v>4.49688</v>
      </c>
      <c r="H1123" s="155"/>
      <c r="I1123" s="155"/>
      <c r="J1123" s="155"/>
      <c r="K1123" s="146"/>
    </row>
    <row r="1124">
      <c r="A1124" s="9" t="s">
        <v>1869</v>
      </c>
      <c r="B1124" s="10" t="s">
        <v>84</v>
      </c>
      <c r="C1124" s="10" t="s">
        <v>1870</v>
      </c>
      <c r="D1124" s="14" t="s">
        <v>1871</v>
      </c>
      <c r="E1124" s="10"/>
      <c r="F1124" s="10" t="s">
        <v>145</v>
      </c>
      <c r="G1124" s="111">
        <f>'Stavební rozpočet'!G1124</f>
      </c>
      <c r="H1124" s="111">
        <f>'Stavební rozpočet'!H1124</f>
      </c>
      <c r="I1124" s="111">
        <f>G1124*H1124</f>
      </c>
      <c r="J1124" s="153" t="s">
        <v>134</v>
      </c>
      <c r="K1124" s="146"/>
      <c r="Z1124" s="111">
        <f>IF(AQ1124="5",BJ1124,0)</f>
      </c>
      <c r="AB1124" s="111">
        <f>IF(AQ1124="1",BH1124,0)</f>
      </c>
      <c r="AC1124" s="111">
        <f>IF(AQ1124="1",BI1124,0)</f>
      </c>
      <c r="AD1124" s="111">
        <f>IF(AQ1124="7",BH1124,0)</f>
      </c>
      <c r="AE1124" s="111">
        <f>IF(AQ1124="7",BI1124,0)</f>
      </c>
      <c r="AF1124" s="111">
        <f>IF(AQ1124="2",BH1124,0)</f>
      </c>
      <c r="AG1124" s="111">
        <f>IF(AQ1124="2",BI1124,0)</f>
      </c>
      <c r="AH1124" s="111">
        <f>IF(AQ1124="0",BJ1124,0)</f>
      </c>
      <c r="AI1124" s="132" t="s">
        <v>84</v>
      </c>
      <c r="AJ1124" s="111">
        <f>IF(AN1124=0,I1124,0)</f>
      </c>
      <c r="AK1124" s="111">
        <f>IF(AN1124=12,I1124,0)</f>
      </c>
      <c r="AL1124" s="111">
        <f>IF(AN1124=21,I1124,0)</f>
      </c>
      <c r="AN1124" s="111" t="n">
        <v>21</v>
      </c>
      <c r="AO1124" s="111">
        <f>H1124*0.211576865</f>
      </c>
      <c r="AP1124" s="111">
        <f>H1124*(1-0.211576865)</f>
      </c>
      <c r="AQ1124" s="153" t="s">
        <v>173</v>
      </c>
      <c r="AV1124" s="111">
        <f>AW1124+AX1124</f>
      </c>
      <c r="AW1124" s="111">
        <f>G1124*AO1124</f>
      </c>
      <c r="AX1124" s="111">
        <f>G1124*AP1124</f>
      </c>
      <c r="AY1124" s="153" t="s">
        <v>1855</v>
      </c>
      <c r="AZ1124" s="153" t="s">
        <v>1620</v>
      </c>
      <c r="BA1124" s="132" t="s">
        <v>137</v>
      </c>
      <c r="BC1124" s="111">
        <f>AW1124+AX1124</f>
      </c>
      <c r="BD1124" s="111">
        <f>H1124/(100-BE1124)*100</f>
      </c>
      <c r="BE1124" s="111" t="n">
        <v>0</v>
      </c>
      <c r="BF1124" s="111">
        <f>1124</f>
      </c>
      <c r="BH1124" s="111">
        <f>G1124*AO1124</f>
      </c>
      <c r="BI1124" s="111">
        <f>G1124*AP1124</f>
      </c>
      <c r="BJ1124" s="111">
        <f>G1124*H1124</f>
      </c>
      <c r="BK1124" s="111"/>
      <c r="BL1124" s="111" t="n">
        <v>713</v>
      </c>
      <c r="BW1124" s="111" t="n">
        <v>21</v>
      </c>
      <c r="BX1124" s="14" t="s">
        <v>1871</v>
      </c>
    </row>
    <row r="1125" customHeight="true" ht="13.5">
      <c r="A1125" s="159"/>
      <c r="C1125" s="160" t="s">
        <v>146</v>
      </c>
      <c r="D1125" s="161" t="s">
        <v>1872</v>
      </c>
      <c r="E1125" s="156"/>
      <c r="F1125" s="156"/>
      <c r="G1125" s="156"/>
      <c r="H1125" s="156"/>
      <c r="I1125" s="156"/>
      <c r="J1125" s="156"/>
      <c r="K1125" s="163"/>
    </row>
    <row r="1126">
      <c r="A1126" s="154"/>
      <c r="B1126" s="155"/>
      <c r="C1126" s="155"/>
      <c r="D1126" s="156" t="s">
        <v>892</v>
      </c>
      <c r="E1126" s="156" t="s">
        <v>1217</v>
      </c>
      <c r="F1126" s="155"/>
      <c r="G1126" s="157" t="n">
        <v>89.1</v>
      </c>
      <c r="H1126" s="155"/>
      <c r="I1126" s="155"/>
      <c r="J1126" s="155"/>
      <c r="K1126" s="146"/>
    </row>
    <row r="1127">
      <c r="A1127" s="154"/>
      <c r="B1127" s="155"/>
      <c r="C1127" s="155"/>
      <c r="D1127" s="156" t="s">
        <v>1250</v>
      </c>
      <c r="E1127" s="156" t="s">
        <v>1232</v>
      </c>
      <c r="F1127" s="155"/>
      <c r="G1127" s="157" t="n">
        <v>7.6</v>
      </c>
      <c r="H1127" s="155"/>
      <c r="I1127" s="155"/>
      <c r="J1127" s="155"/>
      <c r="K1127" s="146"/>
    </row>
    <row r="1128">
      <c r="A1128" s="154"/>
      <c r="B1128" s="155"/>
      <c r="C1128" s="155"/>
      <c r="D1128" s="156" t="s">
        <v>1873</v>
      </c>
      <c r="E1128" s="156" t="s">
        <v>1874</v>
      </c>
      <c r="F1128" s="155"/>
      <c r="G1128" s="157" t="n">
        <v>37.326</v>
      </c>
      <c r="H1128" s="155"/>
      <c r="I1128" s="155"/>
      <c r="J1128" s="155"/>
      <c r="K1128" s="146"/>
    </row>
    <row r="1129">
      <c r="A1129" s="154"/>
      <c r="B1129" s="155"/>
      <c r="C1129" s="155"/>
      <c r="D1129" s="156" t="s">
        <v>1251</v>
      </c>
      <c r="E1129" s="156" t="s">
        <v>1234</v>
      </c>
      <c r="F1129" s="155"/>
      <c r="G1129" s="157" t="n">
        <v>167.5</v>
      </c>
      <c r="H1129" s="155"/>
      <c r="I1129" s="155"/>
      <c r="J1129" s="155"/>
      <c r="K1129" s="146"/>
    </row>
    <row r="1130">
      <c r="A1130" s="154"/>
      <c r="B1130" s="155"/>
      <c r="C1130" s="155"/>
      <c r="D1130" s="156" t="s">
        <v>1252</v>
      </c>
      <c r="E1130" s="156" t="s">
        <v>1236</v>
      </c>
      <c r="F1130" s="155"/>
      <c r="G1130" s="157" t="n">
        <v>47.3</v>
      </c>
      <c r="H1130" s="155"/>
      <c r="I1130" s="155"/>
      <c r="J1130" s="155"/>
      <c r="K1130" s="146"/>
    </row>
    <row r="1131">
      <c r="A1131" s="154"/>
      <c r="B1131" s="155"/>
      <c r="C1131" s="155"/>
      <c r="D1131" s="156" t="s">
        <v>1253</v>
      </c>
      <c r="E1131" s="156" t="s">
        <v>1238</v>
      </c>
      <c r="F1131" s="155"/>
      <c r="G1131" s="157" t="n">
        <v>240.3</v>
      </c>
      <c r="H1131" s="155"/>
      <c r="I1131" s="155"/>
      <c r="J1131" s="155"/>
      <c r="K1131" s="146"/>
    </row>
    <row r="1132">
      <c r="A1132" s="9" t="s">
        <v>1875</v>
      </c>
      <c r="B1132" s="10" t="s">
        <v>84</v>
      </c>
      <c r="C1132" s="10" t="s">
        <v>1876</v>
      </c>
      <c r="D1132" s="14" t="s">
        <v>1877</v>
      </c>
      <c r="E1132" s="10"/>
      <c r="F1132" s="10" t="s">
        <v>282</v>
      </c>
      <c r="G1132" s="111">
        <f>'Stavební rozpočet'!G1132</f>
      </c>
      <c r="H1132" s="111">
        <f>'Stavební rozpočet'!H1132</f>
      </c>
      <c r="I1132" s="111">
        <f>G1132*H1132</f>
      </c>
      <c r="J1132" s="153" t="s">
        <v>134</v>
      </c>
      <c r="K1132" s="146"/>
      <c r="Z1132" s="111">
        <f>IF(AQ1132="5",BJ1132,0)</f>
      </c>
      <c r="AB1132" s="111">
        <f>IF(AQ1132="1",BH1132,0)</f>
      </c>
      <c r="AC1132" s="111">
        <f>IF(AQ1132="1",BI1132,0)</f>
      </c>
      <c r="AD1132" s="111">
        <f>IF(AQ1132="7",BH1132,0)</f>
      </c>
      <c r="AE1132" s="111">
        <f>IF(AQ1132="7",BI1132,0)</f>
      </c>
      <c r="AF1132" s="111">
        <f>IF(AQ1132="2",BH1132,0)</f>
      </c>
      <c r="AG1132" s="111">
        <f>IF(AQ1132="2",BI1132,0)</f>
      </c>
      <c r="AH1132" s="111">
        <f>IF(AQ1132="0",BJ1132,0)</f>
      </c>
      <c r="AI1132" s="132" t="s">
        <v>84</v>
      </c>
      <c r="AJ1132" s="111">
        <f>IF(AN1132=0,I1132,0)</f>
      </c>
      <c r="AK1132" s="111">
        <f>IF(AN1132=12,I1132,0)</f>
      </c>
      <c r="AL1132" s="111">
        <f>IF(AN1132=21,I1132,0)</f>
      </c>
      <c r="AN1132" s="111" t="n">
        <v>21</v>
      </c>
      <c r="AO1132" s="111">
        <f>H1132*0</f>
      </c>
      <c r="AP1132" s="111">
        <f>H1132*(1-0)</f>
      </c>
      <c r="AQ1132" s="153" t="s">
        <v>173</v>
      </c>
      <c r="AV1132" s="111">
        <f>AW1132+AX1132</f>
      </c>
      <c r="AW1132" s="111">
        <f>G1132*AO1132</f>
      </c>
      <c r="AX1132" s="111">
        <f>G1132*AP1132</f>
      </c>
      <c r="AY1132" s="153" t="s">
        <v>1855</v>
      </c>
      <c r="AZ1132" s="153" t="s">
        <v>1620</v>
      </c>
      <c r="BA1132" s="132" t="s">
        <v>137</v>
      </c>
      <c r="BC1132" s="111">
        <f>AW1132+AX1132</f>
      </c>
      <c r="BD1132" s="111">
        <f>H1132/(100-BE1132)*100</f>
      </c>
      <c r="BE1132" s="111" t="n">
        <v>0</v>
      </c>
      <c r="BF1132" s="111">
        <f>1132</f>
      </c>
      <c r="BH1132" s="111">
        <f>G1132*AO1132</f>
      </c>
      <c r="BI1132" s="111">
        <f>G1132*AP1132</f>
      </c>
      <c r="BJ1132" s="111">
        <f>G1132*H1132</f>
      </c>
      <c r="BK1132" s="111"/>
      <c r="BL1132" s="111" t="n">
        <v>713</v>
      </c>
      <c r="BW1132" s="111" t="n">
        <v>21</v>
      </c>
      <c r="BX1132" s="14" t="s">
        <v>1877</v>
      </c>
    </row>
    <row r="1133" customHeight="true" ht="13.5">
      <c r="A1133" s="159"/>
      <c r="C1133" s="160" t="s">
        <v>146</v>
      </c>
      <c r="D1133" s="161" t="s">
        <v>1856</v>
      </c>
      <c r="E1133" s="156"/>
      <c r="F1133" s="156"/>
      <c r="G1133" s="156"/>
      <c r="H1133" s="156"/>
      <c r="I1133" s="156"/>
      <c r="J1133" s="156"/>
      <c r="K1133" s="163"/>
    </row>
    <row r="1134">
      <c r="A1134" s="154"/>
      <c r="B1134" s="155"/>
      <c r="C1134" s="155"/>
      <c r="D1134" s="156" t="s">
        <v>1878</v>
      </c>
      <c r="E1134" s="156" t="s">
        <v>977</v>
      </c>
      <c r="F1134" s="155"/>
      <c r="G1134" s="157" t="n">
        <v>14.7</v>
      </c>
      <c r="H1134" s="155"/>
      <c r="I1134" s="155"/>
      <c r="J1134" s="155"/>
      <c r="K1134" s="146"/>
    </row>
    <row r="1135">
      <c r="A1135" s="154"/>
      <c r="B1135" s="155"/>
      <c r="C1135" s="155"/>
      <c r="D1135" s="156" t="s">
        <v>1879</v>
      </c>
      <c r="E1135" s="156" t="s">
        <v>596</v>
      </c>
      <c r="F1135" s="155"/>
      <c r="G1135" s="157" t="n">
        <v>36.5</v>
      </c>
      <c r="H1135" s="155"/>
      <c r="I1135" s="155"/>
      <c r="J1135" s="155"/>
      <c r="K1135" s="146"/>
    </row>
    <row r="1136">
      <c r="A1136" s="154"/>
      <c r="B1136" s="155"/>
      <c r="C1136" s="155"/>
      <c r="D1136" s="156" t="s">
        <v>1880</v>
      </c>
      <c r="E1136" s="156" t="s">
        <v>982</v>
      </c>
      <c r="F1136" s="155"/>
      <c r="G1136" s="157" t="n">
        <v>24.14</v>
      </c>
      <c r="H1136" s="155"/>
      <c r="I1136" s="155"/>
      <c r="J1136" s="155"/>
      <c r="K1136" s="146"/>
    </row>
    <row r="1137">
      <c r="A1137" s="154"/>
      <c r="B1137" s="155"/>
      <c r="C1137" s="155"/>
      <c r="D1137" s="156" t="s">
        <v>1881</v>
      </c>
      <c r="E1137" s="156" t="s">
        <v>862</v>
      </c>
      <c r="F1137" s="155"/>
      <c r="G1137" s="157" t="n">
        <v>11.66</v>
      </c>
      <c r="H1137" s="155"/>
      <c r="I1137" s="155"/>
      <c r="J1137" s="155"/>
      <c r="K1137" s="146"/>
    </row>
    <row r="1138">
      <c r="A1138" s="154"/>
      <c r="B1138" s="155"/>
      <c r="C1138" s="155"/>
      <c r="D1138" s="156" t="s">
        <v>1882</v>
      </c>
      <c r="E1138" s="156" t="s">
        <v>985</v>
      </c>
      <c r="F1138" s="155"/>
      <c r="G1138" s="157" t="n">
        <v>62</v>
      </c>
      <c r="H1138" s="155"/>
      <c r="I1138" s="155"/>
      <c r="J1138" s="155"/>
      <c r="K1138" s="146"/>
    </row>
    <row r="1139">
      <c r="A1139" s="154"/>
      <c r="B1139" s="155"/>
      <c r="C1139" s="155"/>
      <c r="D1139" s="156" t="s">
        <v>1883</v>
      </c>
      <c r="E1139" s="156" t="s">
        <v>987</v>
      </c>
      <c r="F1139" s="155"/>
      <c r="G1139" s="157" t="n">
        <v>17.12</v>
      </c>
      <c r="H1139" s="155"/>
      <c r="I1139" s="155"/>
      <c r="J1139" s="155"/>
      <c r="K1139" s="146"/>
    </row>
    <row r="1140">
      <c r="A1140" s="154"/>
      <c r="B1140" s="155"/>
      <c r="C1140" s="155"/>
      <c r="D1140" s="156" t="s">
        <v>1884</v>
      </c>
      <c r="E1140" s="156" t="s">
        <v>864</v>
      </c>
      <c r="F1140" s="155"/>
      <c r="G1140" s="157" t="n">
        <v>12.47</v>
      </c>
      <c r="H1140" s="155"/>
      <c r="I1140" s="155"/>
      <c r="J1140" s="155"/>
      <c r="K1140" s="146"/>
    </row>
    <row r="1141">
      <c r="A1141" s="154"/>
      <c r="B1141" s="155"/>
      <c r="C1141" s="155"/>
      <c r="D1141" s="156" t="s">
        <v>1885</v>
      </c>
      <c r="E1141" s="156" t="s">
        <v>997</v>
      </c>
      <c r="F1141" s="155"/>
      <c r="G1141" s="157" t="n">
        <v>14.88</v>
      </c>
      <c r="H1141" s="155"/>
      <c r="I1141" s="155"/>
      <c r="J1141" s="155"/>
      <c r="K1141" s="146"/>
    </row>
    <row r="1142">
      <c r="A1142" s="154"/>
      <c r="B1142" s="155"/>
      <c r="C1142" s="155"/>
      <c r="D1142" s="156" t="s">
        <v>1886</v>
      </c>
      <c r="E1142" s="156" t="s">
        <v>566</v>
      </c>
      <c r="F1142" s="155"/>
      <c r="G1142" s="157" t="n">
        <v>12.27</v>
      </c>
      <c r="H1142" s="155"/>
      <c r="I1142" s="155"/>
      <c r="J1142" s="155"/>
      <c r="K1142" s="146"/>
    </row>
    <row r="1143">
      <c r="A1143" s="154"/>
      <c r="B1143" s="155"/>
      <c r="C1143" s="155"/>
      <c r="D1143" s="156" t="s">
        <v>1887</v>
      </c>
      <c r="E1143" s="156" t="s">
        <v>1000</v>
      </c>
      <c r="F1143" s="155"/>
      <c r="G1143" s="157" t="n">
        <v>15.77</v>
      </c>
      <c r="H1143" s="155"/>
      <c r="I1143" s="155"/>
      <c r="J1143" s="155"/>
      <c r="K1143" s="146"/>
    </row>
    <row r="1144">
      <c r="A1144" s="154"/>
      <c r="B1144" s="155"/>
      <c r="C1144" s="155"/>
      <c r="D1144" s="156" t="s">
        <v>1888</v>
      </c>
      <c r="E1144" s="156" t="s">
        <v>865</v>
      </c>
      <c r="F1144" s="155"/>
      <c r="G1144" s="157" t="n">
        <v>8.1</v>
      </c>
      <c r="H1144" s="155"/>
      <c r="I1144" s="155"/>
      <c r="J1144" s="155"/>
      <c r="K1144" s="146"/>
    </row>
    <row r="1145">
      <c r="A1145" s="154"/>
      <c r="B1145" s="155"/>
      <c r="C1145" s="155"/>
      <c r="D1145" s="156" t="s">
        <v>1889</v>
      </c>
      <c r="E1145" s="156" t="s">
        <v>1030</v>
      </c>
      <c r="F1145" s="155"/>
      <c r="G1145" s="157" t="n">
        <v>7.8</v>
      </c>
      <c r="H1145" s="155"/>
      <c r="I1145" s="155"/>
      <c r="J1145" s="155"/>
      <c r="K1145" s="146"/>
    </row>
    <row r="1146">
      <c r="A1146" s="154"/>
      <c r="B1146" s="155"/>
      <c r="C1146" s="155"/>
      <c r="D1146" s="156" t="s">
        <v>1890</v>
      </c>
      <c r="E1146" s="156" t="s">
        <v>1032</v>
      </c>
      <c r="F1146" s="155"/>
      <c r="G1146" s="157" t="n">
        <v>11.28</v>
      </c>
      <c r="H1146" s="155"/>
      <c r="I1146" s="155"/>
      <c r="J1146" s="155"/>
      <c r="K1146" s="146"/>
    </row>
    <row r="1147">
      <c r="A1147" s="154"/>
      <c r="B1147" s="155"/>
      <c r="C1147" s="155"/>
      <c r="D1147" s="156" t="s">
        <v>1891</v>
      </c>
      <c r="E1147" s="156" t="s">
        <v>1034</v>
      </c>
      <c r="F1147" s="155"/>
      <c r="G1147" s="157" t="n">
        <v>5.52</v>
      </c>
      <c r="H1147" s="155"/>
      <c r="I1147" s="155"/>
      <c r="J1147" s="155"/>
      <c r="K1147" s="146"/>
    </row>
    <row r="1148">
      <c r="A1148" s="154"/>
      <c r="B1148" s="155"/>
      <c r="C1148" s="155"/>
      <c r="D1148" s="156" t="s">
        <v>1892</v>
      </c>
      <c r="E1148" s="156" t="s">
        <v>933</v>
      </c>
      <c r="F1148" s="155"/>
      <c r="G1148" s="157" t="n">
        <v>17.7</v>
      </c>
      <c r="H1148" s="155"/>
      <c r="I1148" s="155"/>
      <c r="J1148" s="155"/>
      <c r="K1148" s="146"/>
    </row>
    <row r="1149">
      <c r="A1149" s="154"/>
      <c r="B1149" s="155"/>
      <c r="C1149" s="155"/>
      <c r="D1149" s="156" t="s">
        <v>1893</v>
      </c>
      <c r="E1149" s="156" t="s">
        <v>1005</v>
      </c>
      <c r="F1149" s="155"/>
      <c r="G1149" s="157" t="n">
        <v>35.5</v>
      </c>
      <c r="H1149" s="155"/>
      <c r="I1149" s="155"/>
      <c r="J1149" s="155"/>
      <c r="K1149" s="146"/>
    </row>
    <row r="1150">
      <c r="A1150" s="154"/>
      <c r="B1150" s="155"/>
      <c r="C1150" s="155"/>
      <c r="D1150" s="156" t="s">
        <v>1894</v>
      </c>
      <c r="E1150" s="156" t="s">
        <v>1008</v>
      </c>
      <c r="F1150" s="155"/>
      <c r="G1150" s="157" t="n">
        <v>8.9</v>
      </c>
      <c r="H1150" s="155"/>
      <c r="I1150" s="155"/>
      <c r="J1150" s="155"/>
      <c r="K1150" s="146"/>
    </row>
    <row r="1151">
      <c r="A1151" s="154"/>
      <c r="B1151" s="155"/>
      <c r="C1151" s="155"/>
      <c r="D1151" s="156" t="s">
        <v>1894</v>
      </c>
      <c r="E1151" s="156" t="s">
        <v>1010</v>
      </c>
      <c r="F1151" s="155"/>
      <c r="G1151" s="157" t="n">
        <v>8.9</v>
      </c>
      <c r="H1151" s="155"/>
      <c r="I1151" s="155"/>
      <c r="J1151" s="155"/>
      <c r="K1151" s="146"/>
    </row>
    <row r="1152">
      <c r="A1152" s="154"/>
      <c r="B1152" s="155"/>
      <c r="C1152" s="155"/>
      <c r="D1152" s="156" t="s">
        <v>1895</v>
      </c>
      <c r="E1152" s="156" t="s">
        <v>1896</v>
      </c>
      <c r="F1152" s="155"/>
      <c r="G1152" s="157" t="n">
        <v>6</v>
      </c>
      <c r="H1152" s="155"/>
      <c r="I1152" s="155"/>
      <c r="J1152" s="155"/>
      <c r="K1152" s="146"/>
    </row>
    <row r="1153">
      <c r="A1153" s="154"/>
      <c r="B1153" s="155"/>
      <c r="C1153" s="155"/>
      <c r="D1153" s="156" t="s">
        <v>1818</v>
      </c>
      <c r="E1153" s="156" t="s">
        <v>1819</v>
      </c>
      <c r="F1153" s="155"/>
      <c r="G1153" s="157" t="n">
        <v>96.24</v>
      </c>
      <c r="H1153" s="155"/>
      <c r="I1153" s="155"/>
      <c r="J1153" s="155"/>
      <c r="K1153" s="146"/>
    </row>
    <row r="1154">
      <c r="A1154" s="154"/>
      <c r="B1154" s="155"/>
      <c r="C1154" s="155"/>
      <c r="D1154" s="156" t="s">
        <v>1811</v>
      </c>
      <c r="E1154" s="156" t="s">
        <v>1812</v>
      </c>
      <c r="F1154" s="155"/>
      <c r="G1154" s="157" t="n">
        <v>64.84</v>
      </c>
      <c r="H1154" s="155"/>
      <c r="I1154" s="155"/>
      <c r="J1154" s="155"/>
      <c r="K1154" s="146"/>
    </row>
    <row r="1155">
      <c r="A1155" s="154"/>
      <c r="B1155" s="155"/>
      <c r="C1155" s="155"/>
      <c r="D1155" s="156" t="s">
        <v>1813</v>
      </c>
      <c r="E1155" s="156" t="s">
        <v>1814</v>
      </c>
      <c r="F1155" s="155"/>
      <c r="G1155" s="157" t="n">
        <v>24.42</v>
      </c>
      <c r="H1155" s="155"/>
      <c r="I1155" s="155"/>
      <c r="J1155" s="155"/>
      <c r="K1155" s="146"/>
    </row>
    <row r="1156">
      <c r="A1156" s="154"/>
      <c r="B1156" s="155"/>
      <c r="C1156" s="155"/>
      <c r="D1156" s="156" t="s">
        <v>1810</v>
      </c>
      <c r="E1156" s="156" t="s">
        <v>1802</v>
      </c>
      <c r="F1156" s="155"/>
      <c r="G1156" s="157" t="n">
        <v>49.6</v>
      </c>
      <c r="H1156" s="155"/>
      <c r="I1156" s="155"/>
      <c r="J1156" s="155"/>
      <c r="K1156" s="146"/>
    </row>
    <row r="1157">
      <c r="A1157" s="154"/>
      <c r="B1157" s="155"/>
      <c r="C1157" s="155"/>
      <c r="D1157" s="156" t="s">
        <v>1897</v>
      </c>
      <c r="E1157" s="156" t="s">
        <v>989</v>
      </c>
      <c r="F1157" s="155"/>
      <c r="G1157" s="157" t="n">
        <v>15.88</v>
      </c>
      <c r="H1157" s="155"/>
      <c r="I1157" s="155"/>
      <c r="J1157" s="155"/>
      <c r="K1157" s="146"/>
    </row>
    <row r="1158">
      <c r="A1158" s="154"/>
      <c r="B1158" s="155"/>
      <c r="C1158" s="155"/>
      <c r="D1158" s="156" t="s">
        <v>1898</v>
      </c>
      <c r="E1158" s="156" t="s">
        <v>991</v>
      </c>
      <c r="F1158" s="155"/>
      <c r="G1158" s="157" t="n">
        <v>8.2</v>
      </c>
      <c r="H1158" s="155"/>
      <c r="I1158" s="155"/>
      <c r="J1158" s="155"/>
      <c r="K1158" s="146"/>
    </row>
    <row r="1159">
      <c r="A1159" s="154"/>
      <c r="B1159" s="155"/>
      <c r="C1159" s="155"/>
      <c r="D1159" s="156" t="s">
        <v>1899</v>
      </c>
      <c r="E1159" s="156" t="s">
        <v>993</v>
      </c>
      <c r="F1159" s="155"/>
      <c r="G1159" s="157" t="n">
        <v>9.55</v>
      </c>
      <c r="H1159" s="155"/>
      <c r="I1159" s="155"/>
      <c r="J1159" s="155"/>
      <c r="K1159" s="146"/>
    </row>
    <row r="1160">
      <c r="A1160" s="154"/>
      <c r="B1160" s="155"/>
      <c r="C1160" s="155"/>
      <c r="D1160" s="156" t="s">
        <v>1900</v>
      </c>
      <c r="E1160" s="156" t="s">
        <v>995</v>
      </c>
      <c r="F1160" s="155"/>
      <c r="G1160" s="157" t="n">
        <v>14.42</v>
      </c>
      <c r="H1160" s="155"/>
      <c r="I1160" s="155"/>
      <c r="J1160" s="155"/>
      <c r="K1160" s="146"/>
    </row>
    <row r="1161">
      <c r="A1161" s="9" t="s">
        <v>1901</v>
      </c>
      <c r="B1161" s="10" t="s">
        <v>84</v>
      </c>
      <c r="C1161" s="10" t="s">
        <v>1902</v>
      </c>
      <c r="D1161" s="14" t="s">
        <v>1903</v>
      </c>
      <c r="E1161" s="10"/>
      <c r="F1161" s="10" t="s">
        <v>282</v>
      </c>
      <c r="G1161" s="111">
        <f>'Stavební rozpočet'!G1161</f>
      </c>
      <c r="H1161" s="111">
        <f>'Stavební rozpočet'!H1161</f>
      </c>
      <c r="I1161" s="111">
        <f>G1161*H1161</f>
      </c>
      <c r="J1161" s="153" t="s">
        <v>134</v>
      </c>
      <c r="K1161" s="146"/>
      <c r="Z1161" s="111">
        <f>IF(AQ1161="5",BJ1161,0)</f>
      </c>
      <c r="AB1161" s="111">
        <f>IF(AQ1161="1",BH1161,0)</f>
      </c>
      <c r="AC1161" s="111">
        <f>IF(AQ1161="1",BI1161,0)</f>
      </c>
      <c r="AD1161" s="111">
        <f>IF(AQ1161="7",BH1161,0)</f>
      </c>
      <c r="AE1161" s="111">
        <f>IF(AQ1161="7",BI1161,0)</f>
      </c>
      <c r="AF1161" s="111">
        <f>IF(AQ1161="2",BH1161,0)</f>
      </c>
      <c r="AG1161" s="111">
        <f>IF(AQ1161="2",BI1161,0)</f>
      </c>
      <c r="AH1161" s="111">
        <f>IF(AQ1161="0",BJ1161,0)</f>
      </c>
      <c r="AI1161" s="132" t="s">
        <v>84</v>
      </c>
      <c r="AJ1161" s="111">
        <f>IF(AN1161=0,I1161,0)</f>
      </c>
      <c r="AK1161" s="111">
        <f>IF(AN1161=12,I1161,0)</f>
      </c>
      <c r="AL1161" s="111">
        <f>IF(AN1161=21,I1161,0)</f>
      </c>
      <c r="AN1161" s="111" t="n">
        <v>21</v>
      </c>
      <c r="AO1161" s="111">
        <f>H1161*1</f>
      </c>
      <c r="AP1161" s="111">
        <f>H1161*(1-1)</f>
      </c>
      <c r="AQ1161" s="153" t="s">
        <v>173</v>
      </c>
      <c r="AV1161" s="111">
        <f>AW1161+AX1161</f>
      </c>
      <c r="AW1161" s="111">
        <f>G1161*AO1161</f>
      </c>
      <c r="AX1161" s="111">
        <f>G1161*AP1161</f>
      </c>
      <c r="AY1161" s="153" t="s">
        <v>1855</v>
      </c>
      <c r="AZ1161" s="153" t="s">
        <v>1620</v>
      </c>
      <c r="BA1161" s="132" t="s">
        <v>137</v>
      </c>
      <c r="BC1161" s="111">
        <f>AW1161+AX1161</f>
      </c>
      <c r="BD1161" s="111">
        <f>H1161/(100-BE1161)*100</f>
      </c>
      <c r="BE1161" s="111" t="n">
        <v>0</v>
      </c>
      <c r="BF1161" s="111">
        <f>1161</f>
      </c>
      <c r="BH1161" s="111">
        <f>G1161*AO1161</f>
      </c>
      <c r="BI1161" s="111">
        <f>G1161*AP1161</f>
      </c>
      <c r="BJ1161" s="111">
        <f>G1161*H1161</f>
      </c>
      <c r="BK1161" s="111"/>
      <c r="BL1161" s="111" t="n">
        <v>713</v>
      </c>
      <c r="BW1161" s="111" t="n">
        <v>21</v>
      </c>
      <c r="BX1161" s="14" t="s">
        <v>1903</v>
      </c>
    </row>
    <row r="1162">
      <c r="A1162" s="154"/>
      <c r="B1162" s="155"/>
      <c r="C1162" s="155"/>
      <c r="D1162" s="156" t="s">
        <v>4</v>
      </c>
      <c r="E1162" s="156" t="s">
        <v>1904</v>
      </c>
      <c r="F1162" s="155"/>
      <c r="G1162" s="157" t="n">
        <v>0</v>
      </c>
      <c r="H1162" s="155"/>
      <c r="I1162" s="155"/>
      <c r="J1162" s="155"/>
      <c r="K1162" s="146"/>
    </row>
    <row r="1163">
      <c r="A1163" s="154"/>
      <c r="B1163" s="155"/>
      <c r="C1163" s="155"/>
      <c r="D1163" s="156" t="s">
        <v>1905</v>
      </c>
      <c r="E1163" s="156" t="s">
        <v>1906</v>
      </c>
      <c r="F1163" s="155"/>
      <c r="G1163" s="157" t="n">
        <v>614.36</v>
      </c>
      <c r="H1163" s="155"/>
      <c r="I1163" s="155"/>
      <c r="J1163" s="155"/>
      <c r="K1163" s="146"/>
    </row>
    <row r="1164">
      <c r="A1164" s="154"/>
      <c r="B1164" s="155"/>
      <c r="C1164" s="155"/>
      <c r="D1164" s="156" t="s">
        <v>1907</v>
      </c>
      <c r="E1164" s="156" t="s">
        <v>1730</v>
      </c>
      <c r="F1164" s="155"/>
      <c r="G1164" s="157" t="n">
        <v>61.436</v>
      </c>
      <c r="H1164" s="155"/>
      <c r="I1164" s="155"/>
      <c r="J1164" s="155"/>
      <c r="K1164" s="146"/>
    </row>
    <row r="1165">
      <c r="A1165" s="9" t="s">
        <v>1908</v>
      </c>
      <c r="B1165" s="10" t="s">
        <v>84</v>
      </c>
      <c r="C1165" s="10" t="s">
        <v>1909</v>
      </c>
      <c r="D1165" s="14" t="s">
        <v>1910</v>
      </c>
      <c r="E1165" s="10"/>
      <c r="F1165" s="10" t="s">
        <v>145</v>
      </c>
      <c r="G1165" s="111">
        <f>'Stavební rozpočet'!G1165</f>
      </c>
      <c r="H1165" s="111">
        <f>'Stavební rozpočet'!H1165</f>
      </c>
      <c r="I1165" s="111">
        <f>G1165*H1165</f>
      </c>
      <c r="J1165" s="153" t="s">
        <v>134</v>
      </c>
      <c r="K1165" s="146"/>
      <c r="Z1165" s="111">
        <f>IF(AQ1165="5",BJ1165,0)</f>
      </c>
      <c r="AB1165" s="111">
        <f>IF(AQ1165="1",BH1165,0)</f>
      </c>
      <c r="AC1165" s="111">
        <f>IF(AQ1165="1",BI1165,0)</f>
      </c>
      <c r="AD1165" s="111">
        <f>IF(AQ1165="7",BH1165,0)</f>
      </c>
      <c r="AE1165" s="111">
        <f>IF(AQ1165="7",BI1165,0)</f>
      </c>
      <c r="AF1165" s="111">
        <f>IF(AQ1165="2",BH1165,0)</f>
      </c>
      <c r="AG1165" s="111">
        <f>IF(AQ1165="2",BI1165,0)</f>
      </c>
      <c r="AH1165" s="111">
        <f>IF(AQ1165="0",BJ1165,0)</f>
      </c>
      <c r="AI1165" s="132" t="s">
        <v>84</v>
      </c>
      <c r="AJ1165" s="111">
        <f>IF(AN1165=0,I1165,0)</f>
      </c>
      <c r="AK1165" s="111">
        <f>IF(AN1165=12,I1165,0)</f>
      </c>
      <c r="AL1165" s="111">
        <f>IF(AN1165=21,I1165,0)</f>
      </c>
      <c r="AN1165" s="111" t="n">
        <v>21</v>
      </c>
      <c r="AO1165" s="111">
        <f>H1165*0.805995146</f>
      </c>
      <c r="AP1165" s="111">
        <f>H1165*(1-0.805995146)</f>
      </c>
      <c r="AQ1165" s="153" t="s">
        <v>173</v>
      </c>
      <c r="AV1165" s="111">
        <f>AW1165+AX1165</f>
      </c>
      <c r="AW1165" s="111">
        <f>G1165*AO1165</f>
      </c>
      <c r="AX1165" s="111">
        <f>G1165*AP1165</f>
      </c>
      <c r="AY1165" s="153" t="s">
        <v>1855</v>
      </c>
      <c r="AZ1165" s="153" t="s">
        <v>1620</v>
      </c>
      <c r="BA1165" s="132" t="s">
        <v>137</v>
      </c>
      <c r="BC1165" s="111">
        <f>AW1165+AX1165</f>
      </c>
      <c r="BD1165" s="111">
        <f>H1165/(100-BE1165)*100</f>
      </c>
      <c r="BE1165" s="111" t="n">
        <v>0</v>
      </c>
      <c r="BF1165" s="111">
        <f>1165</f>
      </c>
      <c r="BH1165" s="111">
        <f>G1165*AO1165</f>
      </c>
      <c r="BI1165" s="111">
        <f>G1165*AP1165</f>
      </c>
      <c r="BJ1165" s="111">
        <f>G1165*H1165</f>
      </c>
      <c r="BK1165" s="111"/>
      <c r="BL1165" s="111" t="n">
        <v>713</v>
      </c>
      <c r="BW1165" s="111" t="n">
        <v>21</v>
      </c>
      <c r="BX1165" s="14" t="s">
        <v>1910</v>
      </c>
    </row>
    <row r="1166" customHeight="true" ht="13.5">
      <c r="A1166" s="159"/>
      <c r="C1166" s="160" t="s">
        <v>146</v>
      </c>
      <c r="D1166" s="161" t="s">
        <v>1911</v>
      </c>
      <c r="E1166" s="156"/>
      <c r="F1166" s="156"/>
      <c r="G1166" s="156"/>
      <c r="H1166" s="156"/>
      <c r="I1166" s="156"/>
      <c r="J1166" s="156"/>
      <c r="K1166" s="163"/>
    </row>
    <row r="1167">
      <c r="A1167" s="154"/>
      <c r="B1167" s="155"/>
      <c r="C1167" s="155"/>
      <c r="D1167" s="156" t="s">
        <v>892</v>
      </c>
      <c r="E1167" s="156" t="s">
        <v>1217</v>
      </c>
      <c r="F1167" s="155"/>
      <c r="G1167" s="157" t="n">
        <v>89.1</v>
      </c>
      <c r="H1167" s="155"/>
      <c r="I1167" s="155"/>
      <c r="J1167" s="155"/>
      <c r="K1167" s="146"/>
    </row>
    <row r="1168">
      <c r="A1168" s="154"/>
      <c r="B1168" s="155"/>
      <c r="C1168" s="155"/>
      <c r="D1168" s="156" t="s">
        <v>1250</v>
      </c>
      <c r="E1168" s="156" t="s">
        <v>1232</v>
      </c>
      <c r="F1168" s="155"/>
      <c r="G1168" s="157" t="n">
        <v>7.6</v>
      </c>
      <c r="H1168" s="155"/>
      <c r="I1168" s="155"/>
      <c r="J1168" s="155"/>
      <c r="K1168" s="146"/>
    </row>
    <row r="1169">
      <c r="A1169" s="9" t="s">
        <v>1912</v>
      </c>
      <c r="B1169" s="10" t="s">
        <v>84</v>
      </c>
      <c r="C1169" s="10" t="s">
        <v>1913</v>
      </c>
      <c r="D1169" s="14" t="s">
        <v>1914</v>
      </c>
      <c r="E1169" s="10"/>
      <c r="F1169" s="10" t="s">
        <v>145</v>
      </c>
      <c r="G1169" s="111">
        <f>'Stavební rozpočet'!G1169</f>
      </c>
      <c r="H1169" s="111">
        <f>'Stavební rozpočet'!H1169</f>
      </c>
      <c r="I1169" s="111">
        <f>G1169*H1169</f>
      </c>
      <c r="J1169" s="153" t="s">
        <v>134</v>
      </c>
      <c r="K1169" s="146"/>
      <c r="Z1169" s="111">
        <f>IF(AQ1169="5",BJ1169,0)</f>
      </c>
      <c r="AB1169" s="111">
        <f>IF(AQ1169="1",BH1169,0)</f>
      </c>
      <c r="AC1169" s="111">
        <f>IF(AQ1169="1",BI1169,0)</f>
      </c>
      <c r="AD1169" s="111">
        <f>IF(AQ1169="7",BH1169,0)</f>
      </c>
      <c r="AE1169" s="111">
        <f>IF(AQ1169="7",BI1169,0)</f>
      </c>
      <c r="AF1169" s="111">
        <f>IF(AQ1169="2",BH1169,0)</f>
      </c>
      <c r="AG1169" s="111">
        <f>IF(AQ1169="2",BI1169,0)</f>
      </c>
      <c r="AH1169" s="111">
        <f>IF(AQ1169="0",BJ1169,0)</f>
      </c>
      <c r="AI1169" s="132" t="s">
        <v>84</v>
      </c>
      <c r="AJ1169" s="111">
        <f>IF(AN1169=0,I1169,0)</f>
      </c>
      <c r="AK1169" s="111">
        <f>IF(AN1169=12,I1169,0)</f>
      </c>
      <c r="AL1169" s="111">
        <f>IF(AN1169=21,I1169,0)</f>
      </c>
      <c r="AN1169" s="111" t="n">
        <v>21</v>
      </c>
      <c r="AO1169" s="111">
        <f>H1169*0.333901726</f>
      </c>
      <c r="AP1169" s="111">
        <f>H1169*(1-0.333901726)</f>
      </c>
      <c r="AQ1169" s="153" t="s">
        <v>173</v>
      </c>
      <c r="AV1169" s="111">
        <f>AW1169+AX1169</f>
      </c>
      <c r="AW1169" s="111">
        <f>G1169*AO1169</f>
      </c>
      <c r="AX1169" s="111">
        <f>G1169*AP1169</f>
      </c>
      <c r="AY1169" s="153" t="s">
        <v>1855</v>
      </c>
      <c r="AZ1169" s="153" t="s">
        <v>1620</v>
      </c>
      <c r="BA1169" s="132" t="s">
        <v>137</v>
      </c>
      <c r="BC1169" s="111">
        <f>AW1169+AX1169</f>
      </c>
      <c r="BD1169" s="111">
        <f>H1169/(100-BE1169)*100</f>
      </c>
      <c r="BE1169" s="111" t="n">
        <v>0</v>
      </c>
      <c r="BF1169" s="111">
        <f>1169</f>
      </c>
      <c r="BH1169" s="111">
        <f>G1169*AO1169</f>
      </c>
      <c r="BI1169" s="111">
        <f>G1169*AP1169</f>
      </c>
      <c r="BJ1169" s="111">
        <f>G1169*H1169</f>
      </c>
      <c r="BK1169" s="111"/>
      <c r="BL1169" s="111" t="n">
        <v>713</v>
      </c>
      <c r="BW1169" s="111" t="n">
        <v>21</v>
      </c>
      <c r="BX1169" s="14" t="s">
        <v>1914</v>
      </c>
    </row>
    <row r="1170">
      <c r="A1170" s="154"/>
      <c r="B1170" s="155"/>
      <c r="C1170" s="155"/>
      <c r="D1170" s="156" t="s">
        <v>1684</v>
      </c>
      <c r="E1170" s="156" t="s">
        <v>1685</v>
      </c>
      <c r="F1170" s="155"/>
      <c r="G1170" s="157" t="n">
        <v>267.2286</v>
      </c>
      <c r="H1170" s="155"/>
      <c r="I1170" s="155"/>
      <c r="J1170" s="155"/>
      <c r="K1170" s="146"/>
    </row>
    <row r="1171">
      <c r="A1171" s="154"/>
      <c r="B1171" s="155"/>
      <c r="C1171" s="155"/>
      <c r="D1171" s="156" t="s">
        <v>1696</v>
      </c>
      <c r="E1171" s="156" t="s">
        <v>1697</v>
      </c>
      <c r="F1171" s="155"/>
      <c r="G1171" s="157" t="n">
        <v>144.6</v>
      </c>
      <c r="H1171" s="155"/>
      <c r="I1171" s="155"/>
      <c r="J1171" s="155"/>
      <c r="K1171" s="146"/>
    </row>
    <row r="1172">
      <c r="A1172" s="154"/>
      <c r="B1172" s="155"/>
      <c r="C1172" s="155"/>
      <c r="D1172" s="156" t="s">
        <v>1698</v>
      </c>
      <c r="E1172" s="156" t="s">
        <v>1699</v>
      </c>
      <c r="F1172" s="155"/>
      <c r="G1172" s="157" t="n">
        <v>121.5</v>
      </c>
      <c r="H1172" s="155"/>
      <c r="I1172" s="155"/>
      <c r="J1172" s="155"/>
      <c r="K1172" s="146"/>
    </row>
    <row r="1173">
      <c r="A1173" s="9" t="s">
        <v>1915</v>
      </c>
      <c r="B1173" s="10" t="s">
        <v>84</v>
      </c>
      <c r="C1173" s="10" t="s">
        <v>1916</v>
      </c>
      <c r="D1173" s="14" t="s">
        <v>1917</v>
      </c>
      <c r="E1173" s="10"/>
      <c r="F1173" s="10" t="s">
        <v>159</v>
      </c>
      <c r="G1173" s="111">
        <f>'Stavební rozpočet'!G1173</f>
      </c>
      <c r="H1173" s="111">
        <f>'Stavební rozpočet'!H1173</f>
      </c>
      <c r="I1173" s="111">
        <f>G1173*H1173</f>
      </c>
      <c r="J1173" s="153" t="s">
        <v>134</v>
      </c>
      <c r="K1173" s="146"/>
      <c r="Z1173" s="111">
        <f>IF(AQ1173="5",BJ1173,0)</f>
      </c>
      <c r="AB1173" s="111">
        <f>IF(AQ1173="1",BH1173,0)</f>
      </c>
      <c r="AC1173" s="111">
        <f>IF(AQ1173="1",BI1173,0)</f>
      </c>
      <c r="AD1173" s="111">
        <f>IF(AQ1173="7",BH1173,0)</f>
      </c>
      <c r="AE1173" s="111">
        <f>IF(AQ1173="7",BI1173,0)</f>
      </c>
      <c r="AF1173" s="111">
        <f>IF(AQ1173="2",BH1173,0)</f>
      </c>
      <c r="AG1173" s="111">
        <f>IF(AQ1173="2",BI1173,0)</f>
      </c>
      <c r="AH1173" s="111">
        <f>IF(AQ1173="0",BJ1173,0)</f>
      </c>
      <c r="AI1173" s="132" t="s">
        <v>84</v>
      </c>
      <c r="AJ1173" s="111">
        <f>IF(AN1173=0,I1173,0)</f>
      </c>
      <c r="AK1173" s="111">
        <f>IF(AN1173=12,I1173,0)</f>
      </c>
      <c r="AL1173" s="111">
        <f>IF(AN1173=21,I1173,0)</f>
      </c>
      <c r="AN1173" s="111" t="n">
        <v>21</v>
      </c>
      <c r="AO1173" s="111">
        <f>H1173*1</f>
      </c>
      <c r="AP1173" s="111">
        <f>H1173*(1-1)</f>
      </c>
      <c r="AQ1173" s="153" t="s">
        <v>173</v>
      </c>
      <c r="AV1173" s="111">
        <f>AW1173+AX1173</f>
      </c>
      <c r="AW1173" s="111">
        <f>G1173*AO1173</f>
      </c>
      <c r="AX1173" s="111">
        <f>G1173*AP1173</f>
      </c>
      <c r="AY1173" s="153" t="s">
        <v>1855</v>
      </c>
      <c r="AZ1173" s="153" t="s">
        <v>1620</v>
      </c>
      <c r="BA1173" s="132" t="s">
        <v>137</v>
      </c>
      <c r="BC1173" s="111">
        <f>AW1173+AX1173</f>
      </c>
      <c r="BD1173" s="111">
        <f>H1173/(100-BE1173)*100</f>
      </c>
      <c r="BE1173" s="111" t="n">
        <v>0</v>
      </c>
      <c r="BF1173" s="111">
        <f>1173</f>
      </c>
      <c r="BH1173" s="111">
        <f>G1173*AO1173</f>
      </c>
      <c r="BI1173" s="111">
        <f>G1173*AP1173</f>
      </c>
      <c r="BJ1173" s="111">
        <f>G1173*H1173</f>
      </c>
      <c r="BK1173" s="111"/>
      <c r="BL1173" s="111" t="n">
        <v>713</v>
      </c>
      <c r="BW1173" s="111" t="n">
        <v>21</v>
      </c>
      <c r="BX1173" s="14" t="s">
        <v>1917</v>
      </c>
    </row>
    <row r="1174">
      <c r="A1174" s="154"/>
      <c r="B1174" s="155"/>
      <c r="C1174" s="155"/>
      <c r="D1174" s="156" t="s">
        <v>1863</v>
      </c>
      <c r="E1174" s="156" t="s">
        <v>1267</v>
      </c>
      <c r="F1174" s="155"/>
      <c r="G1174" s="157" t="n">
        <v>53.333</v>
      </c>
      <c r="H1174" s="155"/>
      <c r="I1174" s="155"/>
      <c r="J1174" s="155"/>
      <c r="K1174" s="146"/>
    </row>
    <row r="1175">
      <c r="A1175" s="154"/>
      <c r="B1175" s="155"/>
      <c r="C1175" s="155"/>
      <c r="D1175" s="156" t="s">
        <v>1918</v>
      </c>
      <c r="E1175" s="156" t="s">
        <v>1868</v>
      </c>
      <c r="F1175" s="155"/>
      <c r="G1175" s="157" t="n">
        <v>21.3332</v>
      </c>
      <c r="H1175" s="155"/>
      <c r="I1175" s="155"/>
      <c r="J1175" s="155"/>
      <c r="K1175" s="146"/>
    </row>
    <row r="1176">
      <c r="A1176" s="9" t="s">
        <v>1919</v>
      </c>
      <c r="B1176" s="10" t="s">
        <v>84</v>
      </c>
      <c r="C1176" s="10" t="s">
        <v>1920</v>
      </c>
      <c r="D1176" s="14" t="s">
        <v>1921</v>
      </c>
      <c r="E1176" s="10"/>
      <c r="F1176" s="10" t="s">
        <v>145</v>
      </c>
      <c r="G1176" s="111">
        <f>'Stavební rozpočet'!G1176</f>
      </c>
      <c r="H1176" s="111">
        <f>'Stavební rozpočet'!H1176</f>
      </c>
      <c r="I1176" s="111">
        <f>G1176*H1176</f>
      </c>
      <c r="J1176" s="153" t="s">
        <v>134</v>
      </c>
      <c r="K1176" s="146"/>
      <c r="Z1176" s="111">
        <f>IF(AQ1176="5",BJ1176,0)</f>
      </c>
      <c r="AB1176" s="111">
        <f>IF(AQ1176="1",BH1176,0)</f>
      </c>
      <c r="AC1176" s="111">
        <f>IF(AQ1176="1",BI1176,0)</f>
      </c>
      <c r="AD1176" s="111">
        <f>IF(AQ1176="7",BH1176,0)</f>
      </c>
      <c r="AE1176" s="111">
        <f>IF(AQ1176="7",BI1176,0)</f>
      </c>
      <c r="AF1176" s="111">
        <f>IF(AQ1176="2",BH1176,0)</f>
      </c>
      <c r="AG1176" s="111">
        <f>IF(AQ1176="2",BI1176,0)</f>
      </c>
      <c r="AH1176" s="111">
        <f>IF(AQ1176="0",BJ1176,0)</f>
      </c>
      <c r="AI1176" s="132" t="s">
        <v>84</v>
      </c>
      <c r="AJ1176" s="111">
        <f>IF(AN1176=0,I1176,0)</f>
      </c>
      <c r="AK1176" s="111">
        <f>IF(AN1176=12,I1176,0)</f>
      </c>
      <c r="AL1176" s="111">
        <f>IF(AN1176=21,I1176,0)</f>
      </c>
      <c r="AN1176" s="111" t="n">
        <v>21</v>
      </c>
      <c r="AO1176" s="111">
        <f>H1176*0.091883925</f>
      </c>
      <c r="AP1176" s="111">
        <f>H1176*(1-0.091883925)</f>
      </c>
      <c r="AQ1176" s="153" t="s">
        <v>173</v>
      </c>
      <c r="AV1176" s="111">
        <f>AW1176+AX1176</f>
      </c>
      <c r="AW1176" s="111">
        <f>G1176*AO1176</f>
      </c>
      <c r="AX1176" s="111">
        <f>G1176*AP1176</f>
      </c>
      <c r="AY1176" s="153" t="s">
        <v>1855</v>
      </c>
      <c r="AZ1176" s="153" t="s">
        <v>1620</v>
      </c>
      <c r="BA1176" s="132" t="s">
        <v>137</v>
      </c>
      <c r="BC1176" s="111">
        <f>AW1176+AX1176</f>
      </c>
      <c r="BD1176" s="111">
        <f>H1176/(100-BE1176)*100</f>
      </c>
      <c r="BE1176" s="111" t="n">
        <v>0</v>
      </c>
      <c r="BF1176" s="111">
        <f>1176</f>
      </c>
      <c r="BH1176" s="111">
        <f>G1176*AO1176</f>
      </c>
      <c r="BI1176" s="111">
        <f>G1176*AP1176</f>
      </c>
      <c r="BJ1176" s="111">
        <f>G1176*H1176</f>
      </c>
      <c r="BK1176" s="111"/>
      <c r="BL1176" s="111" t="n">
        <v>713</v>
      </c>
      <c r="BW1176" s="111" t="n">
        <v>21</v>
      </c>
      <c r="BX1176" s="14" t="s">
        <v>1921</v>
      </c>
    </row>
    <row r="1177" customHeight="true" ht="13.5">
      <c r="A1177" s="159"/>
      <c r="C1177" s="160" t="s">
        <v>146</v>
      </c>
      <c r="D1177" s="161" t="s">
        <v>1020</v>
      </c>
      <c r="E1177" s="156"/>
      <c r="F1177" s="156"/>
      <c r="G1177" s="156"/>
      <c r="H1177" s="156"/>
      <c r="I1177" s="156"/>
      <c r="J1177" s="156"/>
      <c r="K1177" s="163"/>
    </row>
    <row r="1178">
      <c r="A1178" s="154"/>
      <c r="B1178" s="155"/>
      <c r="C1178" s="155"/>
      <c r="D1178" s="156" t="s">
        <v>1922</v>
      </c>
      <c r="E1178" s="156" t="s">
        <v>1923</v>
      </c>
      <c r="F1178" s="155"/>
      <c r="G1178" s="157" t="n">
        <v>48.12</v>
      </c>
      <c r="H1178" s="155"/>
      <c r="I1178" s="155"/>
      <c r="J1178" s="155"/>
      <c r="K1178" s="146"/>
    </row>
    <row r="1179">
      <c r="A1179" s="9" t="s">
        <v>1924</v>
      </c>
      <c r="B1179" s="10" t="s">
        <v>84</v>
      </c>
      <c r="C1179" s="10" t="s">
        <v>1925</v>
      </c>
      <c r="D1179" s="14" t="s">
        <v>1926</v>
      </c>
      <c r="E1179" s="10"/>
      <c r="F1179" s="10" t="s">
        <v>145</v>
      </c>
      <c r="G1179" s="111">
        <f>'Stavební rozpočet'!G1179</f>
      </c>
      <c r="H1179" s="111">
        <f>'Stavební rozpočet'!H1179</f>
      </c>
      <c r="I1179" s="111">
        <f>G1179*H1179</f>
      </c>
      <c r="J1179" s="153" t="s">
        <v>134</v>
      </c>
      <c r="K1179" s="146"/>
      <c r="Z1179" s="111">
        <f>IF(AQ1179="5",BJ1179,0)</f>
      </c>
      <c r="AB1179" s="111">
        <f>IF(AQ1179="1",BH1179,0)</f>
      </c>
      <c r="AC1179" s="111">
        <f>IF(AQ1179="1",BI1179,0)</f>
      </c>
      <c r="AD1179" s="111">
        <f>IF(AQ1179="7",BH1179,0)</f>
      </c>
      <c r="AE1179" s="111">
        <f>IF(AQ1179="7",BI1179,0)</f>
      </c>
      <c r="AF1179" s="111">
        <f>IF(AQ1179="2",BH1179,0)</f>
      </c>
      <c r="AG1179" s="111">
        <f>IF(AQ1179="2",BI1179,0)</f>
      </c>
      <c r="AH1179" s="111">
        <f>IF(AQ1179="0",BJ1179,0)</f>
      </c>
      <c r="AI1179" s="132" t="s">
        <v>84</v>
      </c>
      <c r="AJ1179" s="111">
        <f>IF(AN1179=0,I1179,0)</f>
      </c>
      <c r="AK1179" s="111">
        <f>IF(AN1179=12,I1179,0)</f>
      </c>
      <c r="AL1179" s="111">
        <f>IF(AN1179=21,I1179,0)</f>
      </c>
      <c r="AN1179" s="111" t="n">
        <v>21</v>
      </c>
      <c r="AO1179" s="111">
        <f>H1179*0.349484392</f>
      </c>
      <c r="AP1179" s="111">
        <f>H1179*(1-0.349484392)</f>
      </c>
      <c r="AQ1179" s="153" t="s">
        <v>173</v>
      </c>
      <c r="AV1179" s="111">
        <f>AW1179+AX1179</f>
      </c>
      <c r="AW1179" s="111">
        <f>G1179*AO1179</f>
      </c>
      <c r="AX1179" s="111">
        <f>G1179*AP1179</f>
      </c>
      <c r="AY1179" s="153" t="s">
        <v>1855</v>
      </c>
      <c r="AZ1179" s="153" t="s">
        <v>1620</v>
      </c>
      <c r="BA1179" s="132" t="s">
        <v>137</v>
      </c>
      <c r="BC1179" s="111">
        <f>AW1179+AX1179</f>
      </c>
      <c r="BD1179" s="111">
        <f>H1179/(100-BE1179)*100</f>
      </c>
      <c r="BE1179" s="111" t="n">
        <v>0</v>
      </c>
      <c r="BF1179" s="111">
        <f>1179</f>
      </c>
      <c r="BH1179" s="111">
        <f>G1179*AO1179</f>
      </c>
      <c r="BI1179" s="111">
        <f>G1179*AP1179</f>
      </c>
      <c r="BJ1179" s="111">
        <f>G1179*H1179</f>
      </c>
      <c r="BK1179" s="111"/>
      <c r="BL1179" s="111" t="n">
        <v>713</v>
      </c>
      <c r="BW1179" s="111" t="n">
        <v>21</v>
      </c>
      <c r="BX1179" s="14" t="s">
        <v>1926</v>
      </c>
    </row>
    <row r="1180" customHeight="true" ht="13.5">
      <c r="A1180" s="159"/>
      <c r="C1180" s="160" t="s">
        <v>146</v>
      </c>
      <c r="D1180" s="161" t="s">
        <v>1927</v>
      </c>
      <c r="E1180" s="156"/>
      <c r="F1180" s="156"/>
      <c r="G1180" s="156"/>
      <c r="H1180" s="156"/>
      <c r="I1180" s="156"/>
      <c r="J1180" s="156"/>
      <c r="K1180" s="163"/>
    </row>
    <row r="1181">
      <c r="A1181" s="154"/>
      <c r="B1181" s="155"/>
      <c r="C1181" s="155"/>
      <c r="D1181" s="156" t="s">
        <v>1928</v>
      </c>
      <c r="E1181" s="156" t="s">
        <v>1929</v>
      </c>
      <c r="F1181" s="155"/>
      <c r="G1181" s="157" t="n">
        <v>25.81</v>
      </c>
      <c r="H1181" s="155"/>
      <c r="I1181" s="155"/>
      <c r="J1181" s="155"/>
      <c r="K1181" s="146"/>
    </row>
    <row r="1182">
      <c r="A1182" s="154"/>
      <c r="B1182" s="155"/>
      <c r="C1182" s="155"/>
      <c r="D1182" s="156" t="s">
        <v>1930</v>
      </c>
      <c r="E1182" s="156" t="s">
        <v>1931</v>
      </c>
      <c r="F1182" s="155"/>
      <c r="G1182" s="157" t="n">
        <v>24.06</v>
      </c>
      <c r="H1182" s="155"/>
      <c r="I1182" s="155"/>
      <c r="J1182" s="155"/>
      <c r="K1182" s="146"/>
    </row>
    <row r="1183">
      <c r="A1183" s="9" t="s">
        <v>1932</v>
      </c>
      <c r="B1183" s="10" t="s">
        <v>84</v>
      </c>
      <c r="C1183" s="10" t="s">
        <v>1933</v>
      </c>
      <c r="D1183" s="14" t="s">
        <v>1934</v>
      </c>
      <c r="E1183" s="10"/>
      <c r="F1183" s="10" t="s">
        <v>145</v>
      </c>
      <c r="G1183" s="111">
        <f>'Stavební rozpočet'!G1183</f>
      </c>
      <c r="H1183" s="111">
        <f>'Stavební rozpočet'!H1183</f>
      </c>
      <c r="I1183" s="111">
        <f>G1183*H1183</f>
      </c>
      <c r="J1183" s="153" t="s">
        <v>134</v>
      </c>
      <c r="K1183" s="146"/>
      <c r="Z1183" s="111">
        <f>IF(AQ1183="5",BJ1183,0)</f>
      </c>
      <c r="AB1183" s="111">
        <f>IF(AQ1183="1",BH1183,0)</f>
      </c>
      <c r="AC1183" s="111">
        <f>IF(AQ1183="1",BI1183,0)</f>
      </c>
      <c r="AD1183" s="111">
        <f>IF(AQ1183="7",BH1183,0)</f>
      </c>
      <c r="AE1183" s="111">
        <f>IF(AQ1183="7",BI1183,0)</f>
      </c>
      <c r="AF1183" s="111">
        <f>IF(AQ1183="2",BH1183,0)</f>
      </c>
      <c r="AG1183" s="111">
        <f>IF(AQ1183="2",BI1183,0)</f>
      </c>
      <c r="AH1183" s="111">
        <f>IF(AQ1183="0",BJ1183,0)</f>
      </c>
      <c r="AI1183" s="132" t="s">
        <v>84</v>
      </c>
      <c r="AJ1183" s="111">
        <f>IF(AN1183=0,I1183,0)</f>
      </c>
      <c r="AK1183" s="111">
        <f>IF(AN1183=12,I1183,0)</f>
      </c>
      <c r="AL1183" s="111">
        <f>IF(AN1183=21,I1183,0)</f>
      </c>
      <c r="AN1183" s="111" t="n">
        <v>21</v>
      </c>
      <c r="AO1183" s="111">
        <f>H1183*0.316059113</f>
      </c>
      <c r="AP1183" s="111">
        <f>H1183*(1-0.316059113)</f>
      </c>
      <c r="AQ1183" s="153" t="s">
        <v>173</v>
      </c>
      <c r="AV1183" s="111">
        <f>AW1183+AX1183</f>
      </c>
      <c r="AW1183" s="111">
        <f>G1183*AO1183</f>
      </c>
      <c r="AX1183" s="111">
        <f>G1183*AP1183</f>
      </c>
      <c r="AY1183" s="153" t="s">
        <v>1855</v>
      </c>
      <c r="AZ1183" s="153" t="s">
        <v>1620</v>
      </c>
      <c r="BA1183" s="132" t="s">
        <v>137</v>
      </c>
      <c r="BC1183" s="111">
        <f>AW1183+AX1183</f>
      </c>
      <c r="BD1183" s="111">
        <f>H1183/(100-BE1183)*100</f>
      </c>
      <c r="BE1183" s="111" t="n">
        <v>0</v>
      </c>
      <c r="BF1183" s="111">
        <f>1183</f>
      </c>
      <c r="BH1183" s="111">
        <f>G1183*AO1183</f>
      </c>
      <c r="BI1183" s="111">
        <f>G1183*AP1183</f>
      </c>
      <c r="BJ1183" s="111">
        <f>G1183*H1183</f>
      </c>
      <c r="BK1183" s="111"/>
      <c r="BL1183" s="111" t="n">
        <v>713</v>
      </c>
      <c r="BW1183" s="111" t="n">
        <v>21</v>
      </c>
      <c r="BX1183" s="14" t="s">
        <v>1934</v>
      </c>
    </row>
    <row r="1184" customHeight="true" ht="13.5">
      <c r="A1184" s="159"/>
      <c r="C1184" s="160" t="s">
        <v>146</v>
      </c>
      <c r="D1184" s="161" t="s">
        <v>1935</v>
      </c>
      <c r="E1184" s="156"/>
      <c r="F1184" s="156"/>
      <c r="G1184" s="156"/>
      <c r="H1184" s="156"/>
      <c r="I1184" s="156"/>
      <c r="J1184" s="156"/>
      <c r="K1184" s="163"/>
    </row>
    <row r="1185">
      <c r="A1185" s="154"/>
      <c r="B1185" s="155"/>
      <c r="C1185" s="155"/>
      <c r="D1185" s="156" t="s">
        <v>1936</v>
      </c>
      <c r="E1185" s="156" t="s">
        <v>1937</v>
      </c>
      <c r="F1185" s="155"/>
      <c r="G1185" s="157" t="n">
        <v>39.02</v>
      </c>
      <c r="H1185" s="155"/>
      <c r="I1185" s="155"/>
      <c r="J1185" s="155"/>
      <c r="K1185" s="146"/>
    </row>
    <row r="1186">
      <c r="A1186" s="9" t="s">
        <v>1938</v>
      </c>
      <c r="B1186" s="10" t="s">
        <v>84</v>
      </c>
      <c r="C1186" s="10" t="s">
        <v>1939</v>
      </c>
      <c r="D1186" s="14" t="s">
        <v>1940</v>
      </c>
      <c r="E1186" s="10"/>
      <c r="F1186" s="10" t="s">
        <v>61</v>
      </c>
      <c r="G1186" s="111">
        <f>'Stavební rozpočet'!G1186</f>
      </c>
      <c r="H1186" s="111">
        <f>'Stavební rozpočet'!H1186</f>
      </c>
      <c r="I1186" s="111">
        <f>G1186*H1186</f>
      </c>
      <c r="J1186" s="153" t="s">
        <v>134</v>
      </c>
      <c r="K1186" s="146"/>
      <c r="Z1186" s="111">
        <f>IF(AQ1186="5",BJ1186,0)</f>
      </c>
      <c r="AB1186" s="111">
        <f>IF(AQ1186="1",BH1186,0)</f>
      </c>
      <c r="AC1186" s="111">
        <f>IF(AQ1186="1",BI1186,0)</f>
      </c>
      <c r="AD1186" s="111">
        <f>IF(AQ1186="7",BH1186,0)</f>
      </c>
      <c r="AE1186" s="111">
        <f>IF(AQ1186="7",BI1186,0)</f>
      </c>
      <c r="AF1186" s="111">
        <f>IF(AQ1186="2",BH1186,0)</f>
      </c>
      <c r="AG1186" s="111">
        <f>IF(AQ1186="2",BI1186,0)</f>
      </c>
      <c r="AH1186" s="111">
        <f>IF(AQ1186="0",BJ1186,0)</f>
      </c>
      <c r="AI1186" s="132" t="s">
        <v>84</v>
      </c>
      <c r="AJ1186" s="111">
        <f>IF(AN1186=0,I1186,0)</f>
      </c>
      <c r="AK1186" s="111">
        <f>IF(AN1186=12,I1186,0)</f>
      </c>
      <c r="AL1186" s="111">
        <f>IF(AN1186=21,I1186,0)</f>
      </c>
      <c r="AN1186" s="111" t="n">
        <v>21</v>
      </c>
      <c r="AO1186" s="111">
        <f>H1186*0</f>
      </c>
      <c r="AP1186" s="111">
        <f>H1186*(1-0)</f>
      </c>
      <c r="AQ1186" s="153" t="s">
        <v>156</v>
      </c>
      <c r="AV1186" s="111">
        <f>AW1186+AX1186</f>
      </c>
      <c r="AW1186" s="111">
        <f>G1186*AO1186</f>
      </c>
      <c r="AX1186" s="111">
        <f>G1186*AP1186</f>
      </c>
      <c r="AY1186" s="153" t="s">
        <v>1855</v>
      </c>
      <c r="AZ1186" s="153" t="s">
        <v>1620</v>
      </c>
      <c r="BA1186" s="132" t="s">
        <v>137</v>
      </c>
      <c r="BC1186" s="111">
        <f>AW1186+AX1186</f>
      </c>
      <c r="BD1186" s="111">
        <f>H1186/(100-BE1186)*100</f>
      </c>
      <c r="BE1186" s="111" t="n">
        <v>0</v>
      </c>
      <c r="BF1186" s="111">
        <f>1186</f>
      </c>
      <c r="BH1186" s="111">
        <f>G1186*AO1186</f>
      </c>
      <c r="BI1186" s="111">
        <f>G1186*AP1186</f>
      </c>
      <c r="BJ1186" s="111">
        <f>G1186*H1186</f>
      </c>
      <c r="BK1186" s="111"/>
      <c r="BL1186" s="111" t="n">
        <v>713</v>
      </c>
      <c r="BW1186" s="111" t="n">
        <v>21</v>
      </c>
      <c r="BX1186" s="14" t="s">
        <v>1940</v>
      </c>
    </row>
    <row r="1187">
      <c r="A1187" s="9" t="s">
        <v>1941</v>
      </c>
      <c r="B1187" s="10" t="s">
        <v>84</v>
      </c>
      <c r="C1187" s="10" t="s">
        <v>1942</v>
      </c>
      <c r="D1187" s="14" t="s">
        <v>1943</v>
      </c>
      <c r="E1187" s="10"/>
      <c r="F1187" s="10" t="s">
        <v>61</v>
      </c>
      <c r="G1187" s="111">
        <f>'Stavební rozpočet'!G1187</f>
      </c>
      <c r="H1187" s="111">
        <f>'Stavební rozpočet'!H1187</f>
      </c>
      <c r="I1187" s="111">
        <f>G1187*H1187</f>
      </c>
      <c r="J1187" s="153" t="s">
        <v>134</v>
      </c>
      <c r="K1187" s="146"/>
      <c r="Z1187" s="111">
        <f>IF(AQ1187="5",BJ1187,0)</f>
      </c>
      <c r="AB1187" s="111">
        <f>IF(AQ1187="1",BH1187,0)</f>
      </c>
      <c r="AC1187" s="111">
        <f>IF(AQ1187="1",BI1187,0)</f>
      </c>
      <c r="AD1187" s="111">
        <f>IF(AQ1187="7",BH1187,0)</f>
      </c>
      <c r="AE1187" s="111">
        <f>IF(AQ1187="7",BI1187,0)</f>
      </c>
      <c r="AF1187" s="111">
        <f>IF(AQ1187="2",BH1187,0)</f>
      </c>
      <c r="AG1187" s="111">
        <f>IF(AQ1187="2",BI1187,0)</f>
      </c>
      <c r="AH1187" s="111">
        <f>IF(AQ1187="0",BJ1187,0)</f>
      </c>
      <c r="AI1187" s="132" t="s">
        <v>84</v>
      </c>
      <c r="AJ1187" s="111">
        <f>IF(AN1187=0,I1187,0)</f>
      </c>
      <c r="AK1187" s="111">
        <f>IF(AN1187=12,I1187,0)</f>
      </c>
      <c r="AL1187" s="111">
        <f>IF(AN1187=21,I1187,0)</f>
      </c>
      <c r="AN1187" s="111" t="n">
        <v>21</v>
      </c>
      <c r="AO1187" s="111">
        <f>H1187*0</f>
      </c>
      <c r="AP1187" s="111">
        <f>H1187*(1-0)</f>
      </c>
      <c r="AQ1187" s="153" t="s">
        <v>156</v>
      </c>
      <c r="AV1187" s="111">
        <f>AW1187+AX1187</f>
      </c>
      <c r="AW1187" s="111">
        <f>G1187*AO1187</f>
      </c>
      <c r="AX1187" s="111">
        <f>G1187*AP1187</f>
      </c>
      <c r="AY1187" s="153" t="s">
        <v>1855</v>
      </c>
      <c r="AZ1187" s="153" t="s">
        <v>1620</v>
      </c>
      <c r="BA1187" s="132" t="s">
        <v>137</v>
      </c>
      <c r="BC1187" s="111">
        <f>AW1187+AX1187</f>
      </c>
      <c r="BD1187" s="111">
        <f>H1187/(100-BE1187)*100</f>
      </c>
      <c r="BE1187" s="111" t="n">
        <v>0</v>
      </c>
      <c r="BF1187" s="111">
        <f>1187</f>
      </c>
      <c r="BH1187" s="111">
        <f>G1187*AO1187</f>
      </c>
      <c r="BI1187" s="111">
        <f>G1187*AP1187</f>
      </c>
      <c r="BJ1187" s="111">
        <f>G1187*H1187</f>
      </c>
      <c r="BK1187" s="111"/>
      <c r="BL1187" s="111" t="n">
        <v>713</v>
      </c>
      <c r="BW1187" s="111" t="n">
        <v>21</v>
      </c>
      <c r="BX1187" s="14" t="s">
        <v>1943</v>
      </c>
    </row>
    <row r="1188">
      <c r="A1188" s="147" t="s">
        <v>4</v>
      </c>
      <c r="B1188" s="148" t="s">
        <v>84</v>
      </c>
      <c r="C1188" s="148" t="s">
        <v>1944</v>
      </c>
      <c r="D1188" s="149" t="s">
        <v>1945</v>
      </c>
      <c r="E1188" s="148"/>
      <c r="F1188" s="150" t="s">
        <v>79</v>
      </c>
      <c r="G1188" s="150" t="s">
        <v>79</v>
      </c>
      <c r="H1188" s="150" t="s">
        <v>79</v>
      </c>
      <c r="I1188" s="117">
        <f>SUM(I1189:I1195)</f>
      </c>
      <c r="J1188" s="132" t="s">
        <v>4</v>
      </c>
      <c r="K1188" s="146"/>
      <c r="AI1188" s="132" t="s">
        <v>84</v>
      </c>
      <c r="AS1188" s="117">
        <f>SUM(AJ1189:AJ1195)</f>
      </c>
      <c r="AT1188" s="117">
        <f>SUM(AK1189:AK1195)</f>
      </c>
      <c r="AU1188" s="117">
        <f>SUM(AL1189:AL1195)</f>
      </c>
    </row>
    <row r="1189">
      <c r="A1189" s="9" t="s">
        <v>1946</v>
      </c>
      <c r="B1189" s="10" t="s">
        <v>84</v>
      </c>
      <c r="C1189" s="10" t="s">
        <v>1947</v>
      </c>
      <c r="D1189" s="14" t="s">
        <v>1948</v>
      </c>
      <c r="E1189" s="10"/>
      <c r="F1189" s="10" t="s">
        <v>133</v>
      </c>
      <c r="G1189" s="111">
        <f>'Stavební rozpočet'!G1189</f>
      </c>
      <c r="H1189" s="111">
        <f>'Stavební rozpočet'!H1189</f>
      </c>
      <c r="I1189" s="111">
        <f>G1189*H1189</f>
      </c>
      <c r="J1189" s="153" t="s">
        <v>134</v>
      </c>
      <c r="K1189" s="146"/>
      <c r="Z1189" s="111">
        <f>IF(AQ1189="5",BJ1189,0)</f>
      </c>
      <c r="AB1189" s="111">
        <f>IF(AQ1189="1",BH1189,0)</f>
      </c>
      <c r="AC1189" s="111">
        <f>IF(AQ1189="1",BI1189,0)</f>
      </c>
      <c r="AD1189" s="111">
        <f>IF(AQ1189="7",BH1189,0)</f>
      </c>
      <c r="AE1189" s="111">
        <f>IF(AQ1189="7",BI1189,0)</f>
      </c>
      <c r="AF1189" s="111">
        <f>IF(AQ1189="2",BH1189,0)</f>
      </c>
      <c r="AG1189" s="111">
        <f>IF(AQ1189="2",BI1189,0)</f>
      </c>
      <c r="AH1189" s="111">
        <f>IF(AQ1189="0",BJ1189,0)</f>
      </c>
      <c r="AI1189" s="132" t="s">
        <v>84</v>
      </c>
      <c r="AJ1189" s="111">
        <f>IF(AN1189=0,I1189,0)</f>
      </c>
      <c r="AK1189" s="111">
        <f>IF(AN1189=12,I1189,0)</f>
      </c>
      <c r="AL1189" s="111">
        <f>IF(AN1189=21,I1189,0)</f>
      </c>
      <c r="AN1189" s="111" t="n">
        <v>21</v>
      </c>
      <c r="AO1189" s="111">
        <f>H1189*0</f>
      </c>
      <c r="AP1189" s="111">
        <f>H1189*(1-0)</f>
      </c>
      <c r="AQ1189" s="153" t="s">
        <v>173</v>
      </c>
      <c r="AV1189" s="111">
        <f>AW1189+AX1189</f>
      </c>
      <c r="AW1189" s="111">
        <f>G1189*AO1189</f>
      </c>
      <c r="AX1189" s="111">
        <f>G1189*AP1189</f>
      </c>
      <c r="AY1189" s="153" t="s">
        <v>1949</v>
      </c>
      <c r="AZ1189" s="153" t="s">
        <v>1950</v>
      </c>
      <c r="BA1189" s="132" t="s">
        <v>137</v>
      </c>
      <c r="BC1189" s="111">
        <f>AW1189+AX1189</f>
      </c>
      <c r="BD1189" s="111">
        <f>H1189/(100-BE1189)*100</f>
      </c>
      <c r="BE1189" s="111" t="n">
        <v>0</v>
      </c>
      <c r="BF1189" s="111">
        <f>1189</f>
      </c>
      <c r="BH1189" s="111">
        <f>G1189*AO1189</f>
      </c>
      <c r="BI1189" s="111">
        <f>G1189*AP1189</f>
      </c>
      <c r="BJ1189" s="111">
        <f>G1189*H1189</f>
      </c>
      <c r="BK1189" s="111"/>
      <c r="BL1189" s="111" t="n">
        <v>722</v>
      </c>
      <c r="BW1189" s="111" t="n">
        <v>21</v>
      </c>
      <c r="BX1189" s="14" t="s">
        <v>1948</v>
      </c>
    </row>
    <row r="1190" customHeight="true" ht="13.5">
      <c r="A1190" s="159"/>
      <c r="C1190" s="160" t="s">
        <v>146</v>
      </c>
      <c r="D1190" s="161" t="s">
        <v>1437</v>
      </c>
      <c r="E1190" s="156"/>
      <c r="F1190" s="156"/>
      <c r="G1190" s="156"/>
      <c r="H1190" s="156"/>
      <c r="I1190" s="156"/>
      <c r="J1190" s="156"/>
      <c r="K1190" s="163"/>
    </row>
    <row r="1191">
      <c r="A1191" s="154"/>
      <c r="B1191" s="155"/>
      <c r="C1191" s="155"/>
      <c r="D1191" s="156" t="s">
        <v>130</v>
      </c>
      <c r="E1191" s="156" t="s">
        <v>1445</v>
      </c>
      <c r="F1191" s="155"/>
      <c r="G1191" s="157" t="n">
        <v>1</v>
      </c>
      <c r="H1191" s="155"/>
      <c r="I1191" s="155"/>
      <c r="J1191" s="155"/>
      <c r="K1191" s="146"/>
    </row>
    <row r="1192">
      <c r="A1192" s="9" t="s">
        <v>1951</v>
      </c>
      <c r="B1192" s="10" t="s">
        <v>84</v>
      </c>
      <c r="C1192" s="10" t="s">
        <v>1952</v>
      </c>
      <c r="D1192" s="14" t="s">
        <v>1953</v>
      </c>
      <c r="E1192" s="10"/>
      <c r="F1192" s="10" t="s">
        <v>133</v>
      </c>
      <c r="G1192" s="111">
        <f>'Stavební rozpočet'!G1192</f>
      </c>
      <c r="H1192" s="111">
        <f>'Stavební rozpočet'!H1192</f>
      </c>
      <c r="I1192" s="111">
        <f>G1192*H1192</f>
      </c>
      <c r="J1192" s="153" t="s">
        <v>134</v>
      </c>
      <c r="K1192" s="146"/>
      <c r="Z1192" s="111">
        <f>IF(AQ1192="5",BJ1192,0)</f>
      </c>
      <c r="AB1192" s="111">
        <f>IF(AQ1192="1",BH1192,0)</f>
      </c>
      <c r="AC1192" s="111">
        <f>IF(AQ1192="1",BI1192,0)</f>
      </c>
      <c r="AD1192" s="111">
        <f>IF(AQ1192="7",BH1192,0)</f>
      </c>
      <c r="AE1192" s="111">
        <f>IF(AQ1192="7",BI1192,0)</f>
      </c>
      <c r="AF1192" s="111">
        <f>IF(AQ1192="2",BH1192,0)</f>
      </c>
      <c r="AG1192" s="111">
        <f>IF(AQ1192="2",BI1192,0)</f>
      </c>
      <c r="AH1192" s="111">
        <f>IF(AQ1192="0",BJ1192,0)</f>
      </c>
      <c r="AI1192" s="132" t="s">
        <v>84</v>
      </c>
      <c r="AJ1192" s="111">
        <f>IF(AN1192=0,I1192,0)</f>
      </c>
      <c r="AK1192" s="111">
        <f>IF(AN1192=12,I1192,0)</f>
      </c>
      <c r="AL1192" s="111">
        <f>IF(AN1192=21,I1192,0)</f>
      </c>
      <c r="AN1192" s="111" t="n">
        <v>21</v>
      </c>
      <c r="AO1192" s="111">
        <f>H1192*0</f>
      </c>
      <c r="AP1192" s="111">
        <f>H1192*(1-0)</f>
      </c>
      <c r="AQ1192" s="153" t="s">
        <v>173</v>
      </c>
      <c r="AV1192" s="111">
        <f>AW1192+AX1192</f>
      </c>
      <c r="AW1192" s="111">
        <f>G1192*AO1192</f>
      </c>
      <c r="AX1192" s="111">
        <f>G1192*AP1192</f>
      </c>
      <c r="AY1192" s="153" t="s">
        <v>1949</v>
      </c>
      <c r="AZ1192" s="153" t="s">
        <v>1950</v>
      </c>
      <c r="BA1192" s="132" t="s">
        <v>137</v>
      </c>
      <c r="BC1192" s="111">
        <f>AW1192+AX1192</f>
      </c>
      <c r="BD1192" s="111">
        <f>H1192/(100-BE1192)*100</f>
      </c>
      <c r="BE1192" s="111" t="n">
        <v>0</v>
      </c>
      <c r="BF1192" s="111">
        <f>1192</f>
      </c>
      <c r="BH1192" s="111">
        <f>G1192*AO1192</f>
      </c>
      <c r="BI1192" s="111">
        <f>G1192*AP1192</f>
      </c>
      <c r="BJ1192" s="111">
        <f>G1192*H1192</f>
      </c>
      <c r="BK1192" s="111"/>
      <c r="BL1192" s="111" t="n">
        <v>722</v>
      </c>
      <c r="BW1192" s="111" t="n">
        <v>21</v>
      </c>
      <c r="BX1192" s="14" t="s">
        <v>1953</v>
      </c>
    </row>
    <row r="1193" customHeight="true" ht="13.5">
      <c r="A1193" s="159"/>
      <c r="C1193" s="160" t="s">
        <v>146</v>
      </c>
      <c r="D1193" s="161" t="s">
        <v>1437</v>
      </c>
      <c r="E1193" s="156"/>
      <c r="F1193" s="156"/>
      <c r="G1193" s="156"/>
      <c r="H1193" s="156"/>
      <c r="I1193" s="156"/>
      <c r="J1193" s="156"/>
      <c r="K1193" s="163"/>
    </row>
    <row r="1194">
      <c r="A1194" s="154"/>
      <c r="B1194" s="155"/>
      <c r="C1194" s="155"/>
      <c r="D1194" s="156" t="s">
        <v>130</v>
      </c>
      <c r="E1194" s="156" t="s">
        <v>1445</v>
      </c>
      <c r="F1194" s="155"/>
      <c r="G1194" s="157" t="n">
        <v>1</v>
      </c>
      <c r="H1194" s="155"/>
      <c r="I1194" s="155"/>
      <c r="J1194" s="155"/>
      <c r="K1194" s="146"/>
    </row>
    <row r="1195">
      <c r="A1195" s="9" t="s">
        <v>1954</v>
      </c>
      <c r="B1195" s="10" t="s">
        <v>84</v>
      </c>
      <c r="C1195" s="10" t="s">
        <v>1955</v>
      </c>
      <c r="D1195" s="14" t="s">
        <v>1956</v>
      </c>
      <c r="E1195" s="10"/>
      <c r="F1195" s="10" t="s">
        <v>133</v>
      </c>
      <c r="G1195" s="111">
        <f>'Stavební rozpočet'!G1195</f>
      </c>
      <c r="H1195" s="111">
        <f>'Stavební rozpočet'!H1195</f>
      </c>
      <c r="I1195" s="111">
        <f>G1195*H1195</f>
      </c>
      <c r="J1195" s="153" t="s">
        <v>134</v>
      </c>
      <c r="K1195" s="146"/>
      <c r="Z1195" s="111">
        <f>IF(AQ1195="5",BJ1195,0)</f>
      </c>
      <c r="AB1195" s="111">
        <f>IF(AQ1195="1",BH1195,0)</f>
      </c>
      <c r="AC1195" s="111">
        <f>IF(AQ1195="1",BI1195,0)</f>
      </c>
      <c r="AD1195" s="111">
        <f>IF(AQ1195="7",BH1195,0)</f>
      </c>
      <c r="AE1195" s="111">
        <f>IF(AQ1195="7",BI1195,0)</f>
      </c>
      <c r="AF1195" s="111">
        <f>IF(AQ1195="2",BH1195,0)</f>
      </c>
      <c r="AG1195" s="111">
        <f>IF(AQ1195="2",BI1195,0)</f>
      </c>
      <c r="AH1195" s="111">
        <f>IF(AQ1195="0",BJ1195,0)</f>
      </c>
      <c r="AI1195" s="132" t="s">
        <v>84</v>
      </c>
      <c r="AJ1195" s="111">
        <f>IF(AN1195=0,I1195,0)</f>
      </c>
      <c r="AK1195" s="111">
        <f>IF(AN1195=12,I1195,0)</f>
      </c>
      <c r="AL1195" s="111">
        <f>IF(AN1195=21,I1195,0)</f>
      </c>
      <c r="AN1195" s="111" t="n">
        <v>21</v>
      </c>
      <c r="AO1195" s="111">
        <f>H1195*0</f>
      </c>
      <c r="AP1195" s="111">
        <f>H1195*(1-0)</f>
      </c>
      <c r="AQ1195" s="153" t="s">
        <v>173</v>
      </c>
      <c r="AV1195" s="111">
        <f>AW1195+AX1195</f>
      </c>
      <c r="AW1195" s="111">
        <f>G1195*AO1195</f>
      </c>
      <c r="AX1195" s="111">
        <f>G1195*AP1195</f>
      </c>
      <c r="AY1195" s="153" t="s">
        <v>1949</v>
      </c>
      <c r="AZ1195" s="153" t="s">
        <v>1950</v>
      </c>
      <c r="BA1195" s="132" t="s">
        <v>137</v>
      </c>
      <c r="BC1195" s="111">
        <f>AW1195+AX1195</f>
      </c>
      <c r="BD1195" s="111">
        <f>H1195/(100-BE1195)*100</f>
      </c>
      <c r="BE1195" s="111" t="n">
        <v>0</v>
      </c>
      <c r="BF1195" s="111">
        <f>1195</f>
      </c>
      <c r="BH1195" s="111">
        <f>G1195*AO1195</f>
      </c>
      <c r="BI1195" s="111">
        <f>G1195*AP1195</f>
      </c>
      <c r="BJ1195" s="111">
        <f>G1195*H1195</f>
      </c>
      <c r="BK1195" s="111"/>
      <c r="BL1195" s="111" t="n">
        <v>722</v>
      </c>
      <c r="BW1195" s="111" t="n">
        <v>21</v>
      </c>
      <c r="BX1195" s="14" t="s">
        <v>1956</v>
      </c>
    </row>
    <row r="1196" customHeight="true" ht="13.5">
      <c r="A1196" s="159"/>
      <c r="C1196" s="160" t="s">
        <v>146</v>
      </c>
      <c r="D1196" s="161" t="s">
        <v>640</v>
      </c>
      <c r="E1196" s="156"/>
      <c r="F1196" s="156"/>
      <c r="G1196" s="156"/>
      <c r="H1196" s="156"/>
      <c r="I1196" s="156"/>
      <c r="J1196" s="156"/>
      <c r="K1196" s="163"/>
    </row>
    <row r="1197">
      <c r="A1197" s="154"/>
      <c r="B1197" s="155"/>
      <c r="C1197" s="155"/>
      <c r="D1197" s="156" t="s">
        <v>130</v>
      </c>
      <c r="E1197" s="156" t="s">
        <v>1445</v>
      </c>
      <c r="F1197" s="155"/>
      <c r="G1197" s="157" t="n">
        <v>1</v>
      </c>
      <c r="H1197" s="155"/>
      <c r="I1197" s="155"/>
      <c r="J1197" s="155"/>
      <c r="K1197" s="146"/>
    </row>
    <row r="1198">
      <c r="A1198" s="147" t="s">
        <v>4</v>
      </c>
      <c r="B1198" s="148" t="s">
        <v>84</v>
      </c>
      <c r="C1198" s="148" t="s">
        <v>1957</v>
      </c>
      <c r="D1198" s="149" t="s">
        <v>1958</v>
      </c>
      <c r="E1198" s="148"/>
      <c r="F1198" s="150" t="s">
        <v>79</v>
      </c>
      <c r="G1198" s="150" t="s">
        <v>79</v>
      </c>
      <c r="H1198" s="150" t="s">
        <v>79</v>
      </c>
      <c r="I1198" s="117">
        <f>SUM(I1199:I1212)</f>
      </c>
      <c r="J1198" s="132" t="s">
        <v>4</v>
      </c>
      <c r="K1198" s="146"/>
      <c r="AI1198" s="132" t="s">
        <v>84</v>
      </c>
      <c r="AS1198" s="117">
        <f>SUM(AJ1199:AJ1212)</f>
      </c>
      <c r="AT1198" s="117">
        <f>SUM(AK1199:AK1212)</f>
      </c>
      <c r="AU1198" s="117">
        <f>SUM(AL1199:AL1212)</f>
      </c>
    </row>
    <row r="1199">
      <c r="A1199" s="9" t="s">
        <v>1959</v>
      </c>
      <c r="B1199" s="10" t="s">
        <v>84</v>
      </c>
      <c r="C1199" s="10" t="s">
        <v>1960</v>
      </c>
      <c r="D1199" s="14" t="s">
        <v>1961</v>
      </c>
      <c r="E1199" s="10"/>
      <c r="F1199" s="10" t="s">
        <v>1962</v>
      </c>
      <c r="G1199" s="111">
        <f>'Stavební rozpočet'!G1199</f>
      </c>
      <c r="H1199" s="111">
        <f>'Stavební rozpočet'!H1199</f>
      </c>
      <c r="I1199" s="111">
        <f>G1199*H1199</f>
      </c>
      <c r="J1199" s="153" t="s">
        <v>134</v>
      </c>
      <c r="K1199" s="146"/>
      <c r="Z1199" s="111">
        <f>IF(AQ1199="5",BJ1199,0)</f>
      </c>
      <c r="AB1199" s="111">
        <f>IF(AQ1199="1",BH1199,0)</f>
      </c>
      <c r="AC1199" s="111">
        <f>IF(AQ1199="1",BI1199,0)</f>
      </c>
      <c r="AD1199" s="111">
        <f>IF(AQ1199="7",BH1199,0)</f>
      </c>
      <c r="AE1199" s="111">
        <f>IF(AQ1199="7",BI1199,0)</f>
      </c>
      <c r="AF1199" s="111">
        <f>IF(AQ1199="2",BH1199,0)</f>
      </c>
      <c r="AG1199" s="111">
        <f>IF(AQ1199="2",BI1199,0)</f>
      </c>
      <c r="AH1199" s="111">
        <f>IF(AQ1199="0",BJ1199,0)</f>
      </c>
      <c r="AI1199" s="132" t="s">
        <v>84</v>
      </c>
      <c r="AJ1199" s="111">
        <f>IF(AN1199=0,I1199,0)</f>
      </c>
      <c r="AK1199" s="111">
        <f>IF(AN1199=12,I1199,0)</f>
      </c>
      <c r="AL1199" s="111">
        <f>IF(AN1199=21,I1199,0)</f>
      </c>
      <c r="AN1199" s="111" t="n">
        <v>21</v>
      </c>
      <c r="AO1199" s="111">
        <f>H1199*0.931923905</f>
      </c>
      <c r="AP1199" s="111">
        <f>H1199*(1-0.931923905)</f>
      </c>
      <c r="AQ1199" s="153" t="s">
        <v>173</v>
      </c>
      <c r="AV1199" s="111">
        <f>AW1199+AX1199</f>
      </c>
      <c r="AW1199" s="111">
        <f>G1199*AO1199</f>
      </c>
      <c r="AX1199" s="111">
        <f>G1199*AP1199</f>
      </c>
      <c r="AY1199" s="153" t="s">
        <v>1963</v>
      </c>
      <c r="AZ1199" s="153" t="s">
        <v>1950</v>
      </c>
      <c r="BA1199" s="132" t="s">
        <v>137</v>
      </c>
      <c r="BC1199" s="111">
        <f>AW1199+AX1199</f>
      </c>
      <c r="BD1199" s="111">
        <f>H1199/(100-BE1199)*100</f>
      </c>
      <c r="BE1199" s="111" t="n">
        <v>0</v>
      </c>
      <c r="BF1199" s="111">
        <f>1199</f>
      </c>
      <c r="BH1199" s="111">
        <f>G1199*AO1199</f>
      </c>
      <c r="BI1199" s="111">
        <f>G1199*AP1199</f>
      </c>
      <c r="BJ1199" s="111">
        <f>G1199*H1199</f>
      </c>
      <c r="BK1199" s="111"/>
      <c r="BL1199" s="111" t="n">
        <v>725</v>
      </c>
      <c r="BW1199" s="111" t="n">
        <v>21</v>
      </c>
      <c r="BX1199" s="14" t="s">
        <v>1961</v>
      </c>
    </row>
    <row r="1200" customHeight="true" ht="13.5">
      <c r="A1200" s="159"/>
      <c r="C1200" s="160" t="s">
        <v>146</v>
      </c>
      <c r="D1200" s="161" t="s">
        <v>640</v>
      </c>
      <c r="E1200" s="156"/>
      <c r="F1200" s="156"/>
      <c r="G1200" s="156"/>
      <c r="H1200" s="156"/>
      <c r="I1200" s="156"/>
      <c r="J1200" s="156"/>
      <c r="K1200" s="163"/>
    </row>
    <row r="1201">
      <c r="A1201" s="154"/>
      <c r="B1201" s="155"/>
      <c r="C1201" s="155"/>
      <c r="D1201" s="156" t="s">
        <v>140</v>
      </c>
      <c r="E1201" s="156" t="s">
        <v>1964</v>
      </c>
      <c r="F1201" s="155"/>
      <c r="G1201" s="157" t="n">
        <v>2</v>
      </c>
      <c r="H1201" s="155"/>
      <c r="I1201" s="155"/>
      <c r="J1201" s="155"/>
      <c r="K1201" s="146"/>
    </row>
    <row r="1202">
      <c r="A1202" s="9" t="s">
        <v>1965</v>
      </c>
      <c r="B1202" s="10" t="s">
        <v>84</v>
      </c>
      <c r="C1202" s="10" t="s">
        <v>1966</v>
      </c>
      <c r="D1202" s="14" t="s">
        <v>1967</v>
      </c>
      <c r="E1202" s="10"/>
      <c r="F1202" s="10" t="s">
        <v>133</v>
      </c>
      <c r="G1202" s="111">
        <f>'Stavební rozpočet'!G1202</f>
      </c>
      <c r="H1202" s="111">
        <f>'Stavební rozpočet'!H1202</f>
      </c>
      <c r="I1202" s="111">
        <f>G1202*H1202</f>
      </c>
      <c r="J1202" s="153" t="s">
        <v>134</v>
      </c>
      <c r="K1202" s="146"/>
      <c r="Z1202" s="111">
        <f>IF(AQ1202="5",BJ1202,0)</f>
      </c>
      <c r="AB1202" s="111">
        <f>IF(AQ1202="1",BH1202,0)</f>
      </c>
      <c r="AC1202" s="111">
        <f>IF(AQ1202="1",BI1202,0)</f>
      </c>
      <c r="AD1202" s="111">
        <f>IF(AQ1202="7",BH1202,0)</f>
      </c>
      <c r="AE1202" s="111">
        <f>IF(AQ1202="7",BI1202,0)</f>
      </c>
      <c r="AF1202" s="111">
        <f>IF(AQ1202="2",BH1202,0)</f>
      </c>
      <c r="AG1202" s="111">
        <f>IF(AQ1202="2",BI1202,0)</f>
      </c>
      <c r="AH1202" s="111">
        <f>IF(AQ1202="0",BJ1202,0)</f>
      </c>
      <c r="AI1202" s="132" t="s">
        <v>84</v>
      </c>
      <c r="AJ1202" s="111">
        <f>IF(AN1202=0,I1202,0)</f>
      </c>
      <c r="AK1202" s="111">
        <f>IF(AN1202=12,I1202,0)</f>
      </c>
      <c r="AL1202" s="111">
        <f>IF(AN1202=21,I1202,0)</f>
      </c>
      <c r="AN1202" s="111" t="n">
        <v>21</v>
      </c>
      <c r="AO1202" s="111">
        <f>H1202*0.986958333</f>
      </c>
      <c r="AP1202" s="111">
        <f>H1202*(1-0.986958333)</f>
      </c>
      <c r="AQ1202" s="153" t="s">
        <v>173</v>
      </c>
      <c r="AV1202" s="111">
        <f>AW1202+AX1202</f>
      </c>
      <c r="AW1202" s="111">
        <f>G1202*AO1202</f>
      </c>
      <c r="AX1202" s="111">
        <f>G1202*AP1202</f>
      </c>
      <c r="AY1202" s="153" t="s">
        <v>1963</v>
      </c>
      <c r="AZ1202" s="153" t="s">
        <v>1950</v>
      </c>
      <c r="BA1202" s="132" t="s">
        <v>137</v>
      </c>
      <c r="BC1202" s="111">
        <f>AW1202+AX1202</f>
      </c>
      <c r="BD1202" s="111">
        <f>H1202/(100-BE1202)*100</f>
      </c>
      <c r="BE1202" s="111" t="n">
        <v>0</v>
      </c>
      <c r="BF1202" s="111">
        <f>1202</f>
      </c>
      <c r="BH1202" s="111">
        <f>G1202*AO1202</f>
      </c>
      <c r="BI1202" s="111">
        <f>G1202*AP1202</f>
      </c>
      <c r="BJ1202" s="111">
        <f>G1202*H1202</f>
      </c>
      <c r="BK1202" s="111"/>
      <c r="BL1202" s="111" t="n">
        <v>725</v>
      </c>
      <c r="BW1202" s="111" t="n">
        <v>21</v>
      </c>
      <c r="BX1202" s="14" t="s">
        <v>1967</v>
      </c>
    </row>
    <row r="1203" customHeight="true" ht="13.5">
      <c r="A1203" s="159"/>
      <c r="C1203" s="160" t="s">
        <v>146</v>
      </c>
      <c r="D1203" s="161" t="s">
        <v>1968</v>
      </c>
      <c r="E1203" s="156"/>
      <c r="F1203" s="156"/>
      <c r="G1203" s="156"/>
      <c r="H1203" s="156"/>
      <c r="I1203" s="156"/>
      <c r="J1203" s="156"/>
      <c r="K1203" s="163"/>
    </row>
    <row r="1204">
      <c r="A1204" s="154"/>
      <c r="B1204" s="155"/>
      <c r="C1204" s="155"/>
      <c r="D1204" s="156" t="s">
        <v>138</v>
      </c>
      <c r="E1204" s="156" t="s">
        <v>1969</v>
      </c>
      <c r="F1204" s="155"/>
      <c r="G1204" s="157" t="n">
        <v>3</v>
      </c>
      <c r="H1204" s="155"/>
      <c r="I1204" s="155"/>
      <c r="J1204" s="155"/>
      <c r="K1204" s="146"/>
    </row>
    <row r="1205">
      <c r="A1205" s="9" t="s">
        <v>1970</v>
      </c>
      <c r="B1205" s="10" t="s">
        <v>84</v>
      </c>
      <c r="C1205" s="10" t="s">
        <v>1971</v>
      </c>
      <c r="D1205" s="14" t="s">
        <v>1972</v>
      </c>
      <c r="E1205" s="10"/>
      <c r="F1205" s="10" t="s">
        <v>1962</v>
      </c>
      <c r="G1205" s="111">
        <f>'Stavební rozpočet'!G1205</f>
      </c>
      <c r="H1205" s="111">
        <f>'Stavební rozpočet'!H1205</f>
      </c>
      <c r="I1205" s="111">
        <f>G1205*H1205</f>
      </c>
      <c r="J1205" s="153" t="s">
        <v>134</v>
      </c>
      <c r="K1205" s="146"/>
      <c r="Z1205" s="111">
        <f>IF(AQ1205="5",BJ1205,0)</f>
      </c>
      <c r="AB1205" s="111">
        <f>IF(AQ1205="1",BH1205,0)</f>
      </c>
      <c r="AC1205" s="111">
        <f>IF(AQ1205="1",BI1205,0)</f>
      </c>
      <c r="AD1205" s="111">
        <f>IF(AQ1205="7",BH1205,0)</f>
      </c>
      <c r="AE1205" s="111">
        <f>IF(AQ1205="7",BI1205,0)</f>
      </c>
      <c r="AF1205" s="111">
        <f>IF(AQ1205="2",BH1205,0)</f>
      </c>
      <c r="AG1205" s="111">
        <f>IF(AQ1205="2",BI1205,0)</f>
      </c>
      <c r="AH1205" s="111">
        <f>IF(AQ1205="0",BJ1205,0)</f>
      </c>
      <c r="AI1205" s="132" t="s">
        <v>84</v>
      </c>
      <c r="AJ1205" s="111">
        <f>IF(AN1205=0,I1205,0)</f>
      </c>
      <c r="AK1205" s="111">
        <f>IF(AN1205=12,I1205,0)</f>
      </c>
      <c r="AL1205" s="111">
        <f>IF(AN1205=21,I1205,0)</f>
      </c>
      <c r="AN1205" s="111" t="n">
        <v>21</v>
      </c>
      <c r="AO1205" s="111">
        <f>H1205*0.878085246</f>
      </c>
      <c r="AP1205" s="111">
        <f>H1205*(1-0.878085246)</f>
      </c>
      <c r="AQ1205" s="153" t="s">
        <v>173</v>
      </c>
      <c r="AV1205" s="111">
        <f>AW1205+AX1205</f>
      </c>
      <c r="AW1205" s="111">
        <f>G1205*AO1205</f>
      </c>
      <c r="AX1205" s="111">
        <f>G1205*AP1205</f>
      </c>
      <c r="AY1205" s="153" t="s">
        <v>1963</v>
      </c>
      <c r="AZ1205" s="153" t="s">
        <v>1950</v>
      </c>
      <c r="BA1205" s="132" t="s">
        <v>137</v>
      </c>
      <c r="BC1205" s="111">
        <f>AW1205+AX1205</f>
      </c>
      <c r="BD1205" s="111">
        <f>H1205/(100-BE1205)*100</f>
      </c>
      <c r="BE1205" s="111" t="n">
        <v>0</v>
      </c>
      <c r="BF1205" s="111">
        <f>1205</f>
      </c>
      <c r="BH1205" s="111">
        <f>G1205*AO1205</f>
      </c>
      <c r="BI1205" s="111">
        <f>G1205*AP1205</f>
      </c>
      <c r="BJ1205" s="111">
        <f>G1205*H1205</f>
      </c>
      <c r="BK1205" s="111"/>
      <c r="BL1205" s="111" t="n">
        <v>725</v>
      </c>
      <c r="BW1205" s="111" t="n">
        <v>21</v>
      </c>
      <c r="BX1205" s="14" t="s">
        <v>1972</v>
      </c>
    </row>
    <row r="1206" customHeight="true" ht="13.5">
      <c r="A1206" s="159"/>
      <c r="C1206" s="160" t="s">
        <v>146</v>
      </c>
      <c r="D1206" s="161" t="s">
        <v>640</v>
      </c>
      <c r="E1206" s="156"/>
      <c r="F1206" s="156"/>
      <c r="G1206" s="156"/>
      <c r="H1206" s="156"/>
      <c r="I1206" s="156"/>
      <c r="J1206" s="156"/>
      <c r="K1206" s="163"/>
    </row>
    <row r="1207">
      <c r="A1207" s="154"/>
      <c r="B1207" s="155"/>
      <c r="C1207" s="155"/>
      <c r="D1207" s="156" t="s">
        <v>130</v>
      </c>
      <c r="E1207" s="156" t="s">
        <v>1964</v>
      </c>
      <c r="F1207" s="155"/>
      <c r="G1207" s="157" t="n">
        <v>1</v>
      </c>
      <c r="H1207" s="155"/>
      <c r="I1207" s="155"/>
      <c r="J1207" s="155"/>
      <c r="K1207" s="146"/>
    </row>
    <row r="1208">
      <c r="A1208" s="9" t="s">
        <v>1973</v>
      </c>
      <c r="B1208" s="10" t="s">
        <v>84</v>
      </c>
      <c r="C1208" s="10" t="s">
        <v>1974</v>
      </c>
      <c r="D1208" s="14" t="s">
        <v>1975</v>
      </c>
      <c r="E1208" s="10"/>
      <c r="F1208" s="10" t="s">
        <v>1962</v>
      </c>
      <c r="G1208" s="111">
        <f>'Stavební rozpočet'!G1208</f>
      </c>
      <c r="H1208" s="111">
        <f>'Stavební rozpočet'!H1208</f>
      </c>
      <c r="I1208" s="111">
        <f>G1208*H1208</f>
      </c>
      <c r="J1208" s="153" t="s">
        <v>134</v>
      </c>
      <c r="K1208" s="146"/>
      <c r="Z1208" s="111">
        <f>IF(AQ1208="5",BJ1208,0)</f>
      </c>
      <c r="AB1208" s="111">
        <f>IF(AQ1208="1",BH1208,0)</f>
      </c>
      <c r="AC1208" s="111">
        <f>IF(AQ1208="1",BI1208,0)</f>
      </c>
      <c r="AD1208" s="111">
        <f>IF(AQ1208="7",BH1208,0)</f>
      </c>
      <c r="AE1208" s="111">
        <f>IF(AQ1208="7",BI1208,0)</f>
      </c>
      <c r="AF1208" s="111">
        <f>IF(AQ1208="2",BH1208,0)</f>
      </c>
      <c r="AG1208" s="111">
        <f>IF(AQ1208="2",BI1208,0)</f>
      </c>
      <c r="AH1208" s="111">
        <f>IF(AQ1208="0",BJ1208,0)</f>
      </c>
      <c r="AI1208" s="132" t="s">
        <v>84</v>
      </c>
      <c r="AJ1208" s="111">
        <f>IF(AN1208=0,I1208,0)</f>
      </c>
      <c r="AK1208" s="111">
        <f>IF(AN1208=12,I1208,0)</f>
      </c>
      <c r="AL1208" s="111">
        <f>IF(AN1208=21,I1208,0)</f>
      </c>
      <c r="AN1208" s="111" t="n">
        <v>21</v>
      </c>
      <c r="AO1208" s="111">
        <f>H1208*0.878085246</f>
      </c>
      <c r="AP1208" s="111">
        <f>H1208*(1-0.878085246)</f>
      </c>
      <c r="AQ1208" s="153" t="s">
        <v>173</v>
      </c>
      <c r="AV1208" s="111">
        <f>AW1208+AX1208</f>
      </c>
      <c r="AW1208" s="111">
        <f>G1208*AO1208</f>
      </c>
      <c r="AX1208" s="111">
        <f>G1208*AP1208</f>
      </c>
      <c r="AY1208" s="153" t="s">
        <v>1963</v>
      </c>
      <c r="AZ1208" s="153" t="s">
        <v>1950</v>
      </c>
      <c r="BA1208" s="132" t="s">
        <v>137</v>
      </c>
      <c r="BC1208" s="111">
        <f>AW1208+AX1208</f>
      </c>
      <c r="BD1208" s="111">
        <f>H1208/(100-BE1208)*100</f>
      </c>
      <c r="BE1208" s="111" t="n">
        <v>0</v>
      </c>
      <c r="BF1208" s="111">
        <f>1208</f>
      </c>
      <c r="BH1208" s="111">
        <f>G1208*AO1208</f>
      </c>
      <c r="BI1208" s="111">
        <f>G1208*AP1208</f>
      </c>
      <c r="BJ1208" s="111">
        <f>G1208*H1208</f>
      </c>
      <c r="BK1208" s="111"/>
      <c r="BL1208" s="111" t="n">
        <v>725</v>
      </c>
      <c r="BW1208" s="111" t="n">
        <v>21</v>
      </c>
      <c r="BX1208" s="14" t="s">
        <v>1975</v>
      </c>
    </row>
    <row r="1209" customHeight="true" ht="13.5">
      <c r="A1209" s="159"/>
      <c r="C1209" s="160" t="s">
        <v>146</v>
      </c>
      <c r="D1209" s="161" t="s">
        <v>640</v>
      </c>
      <c r="E1209" s="156"/>
      <c r="F1209" s="156"/>
      <c r="G1209" s="156"/>
      <c r="H1209" s="156"/>
      <c r="I1209" s="156"/>
      <c r="J1209" s="156"/>
      <c r="K1209" s="163"/>
    </row>
    <row r="1210">
      <c r="A1210" s="154"/>
      <c r="B1210" s="155"/>
      <c r="C1210" s="155"/>
      <c r="D1210" s="156" t="s">
        <v>130</v>
      </c>
      <c r="E1210" s="156" t="s">
        <v>1964</v>
      </c>
      <c r="F1210" s="155"/>
      <c r="G1210" s="157" t="n">
        <v>1</v>
      </c>
      <c r="H1210" s="155"/>
      <c r="I1210" s="155"/>
      <c r="J1210" s="155"/>
      <c r="K1210" s="146"/>
    </row>
    <row r="1211">
      <c r="A1211" s="9" t="s">
        <v>1976</v>
      </c>
      <c r="B1211" s="10" t="s">
        <v>84</v>
      </c>
      <c r="C1211" s="10" t="s">
        <v>1977</v>
      </c>
      <c r="D1211" s="14" t="s">
        <v>1978</v>
      </c>
      <c r="E1211" s="10"/>
      <c r="F1211" s="10" t="s">
        <v>61</v>
      </c>
      <c r="G1211" s="111">
        <f>'Stavební rozpočet'!G1211</f>
      </c>
      <c r="H1211" s="111">
        <f>'Stavební rozpočet'!H1211</f>
      </c>
      <c r="I1211" s="111">
        <f>G1211*H1211</f>
      </c>
      <c r="J1211" s="153" t="s">
        <v>134</v>
      </c>
      <c r="K1211" s="146"/>
      <c r="Z1211" s="111">
        <f>IF(AQ1211="5",BJ1211,0)</f>
      </c>
      <c r="AB1211" s="111">
        <f>IF(AQ1211="1",BH1211,0)</f>
      </c>
      <c r="AC1211" s="111">
        <f>IF(AQ1211="1",BI1211,0)</f>
      </c>
      <c r="AD1211" s="111">
        <f>IF(AQ1211="7",BH1211,0)</f>
      </c>
      <c r="AE1211" s="111">
        <f>IF(AQ1211="7",BI1211,0)</f>
      </c>
      <c r="AF1211" s="111">
        <f>IF(AQ1211="2",BH1211,0)</f>
      </c>
      <c r="AG1211" s="111">
        <f>IF(AQ1211="2",BI1211,0)</f>
      </c>
      <c r="AH1211" s="111">
        <f>IF(AQ1211="0",BJ1211,0)</f>
      </c>
      <c r="AI1211" s="132" t="s">
        <v>84</v>
      </c>
      <c r="AJ1211" s="111">
        <f>IF(AN1211=0,I1211,0)</f>
      </c>
      <c r="AK1211" s="111">
        <f>IF(AN1211=12,I1211,0)</f>
      </c>
      <c r="AL1211" s="111">
        <f>IF(AN1211=21,I1211,0)</f>
      </c>
      <c r="AN1211" s="111" t="n">
        <v>21</v>
      </c>
      <c r="AO1211" s="111">
        <f>H1211*0</f>
      </c>
      <c r="AP1211" s="111">
        <f>H1211*(1-0)</f>
      </c>
      <c r="AQ1211" s="153" t="s">
        <v>156</v>
      </c>
      <c r="AV1211" s="111">
        <f>AW1211+AX1211</f>
      </c>
      <c r="AW1211" s="111">
        <f>G1211*AO1211</f>
      </c>
      <c r="AX1211" s="111">
        <f>G1211*AP1211</f>
      </c>
      <c r="AY1211" s="153" t="s">
        <v>1963</v>
      </c>
      <c r="AZ1211" s="153" t="s">
        <v>1950</v>
      </c>
      <c r="BA1211" s="132" t="s">
        <v>137</v>
      </c>
      <c r="BC1211" s="111">
        <f>AW1211+AX1211</f>
      </c>
      <c r="BD1211" s="111">
        <f>H1211/(100-BE1211)*100</f>
      </c>
      <c r="BE1211" s="111" t="n">
        <v>0</v>
      </c>
      <c r="BF1211" s="111">
        <f>1211</f>
      </c>
      <c r="BH1211" s="111">
        <f>G1211*AO1211</f>
      </c>
      <c r="BI1211" s="111">
        <f>G1211*AP1211</f>
      </c>
      <c r="BJ1211" s="111">
        <f>G1211*H1211</f>
      </c>
      <c r="BK1211" s="111"/>
      <c r="BL1211" s="111" t="n">
        <v>725</v>
      </c>
      <c r="BW1211" s="111" t="n">
        <v>21</v>
      </c>
      <c r="BX1211" s="14" t="s">
        <v>1978</v>
      </c>
    </row>
    <row r="1212">
      <c r="A1212" s="9" t="s">
        <v>1979</v>
      </c>
      <c r="B1212" s="10" t="s">
        <v>84</v>
      </c>
      <c r="C1212" s="10" t="s">
        <v>1980</v>
      </c>
      <c r="D1212" s="14" t="s">
        <v>1981</v>
      </c>
      <c r="E1212" s="10"/>
      <c r="F1212" s="10" t="s">
        <v>61</v>
      </c>
      <c r="G1212" s="111">
        <f>'Stavební rozpočet'!G1212</f>
      </c>
      <c r="H1212" s="111">
        <f>'Stavební rozpočet'!H1212</f>
      </c>
      <c r="I1212" s="111">
        <f>G1212*H1212</f>
      </c>
      <c r="J1212" s="153" t="s">
        <v>134</v>
      </c>
      <c r="K1212" s="146"/>
      <c r="Z1212" s="111">
        <f>IF(AQ1212="5",BJ1212,0)</f>
      </c>
      <c r="AB1212" s="111">
        <f>IF(AQ1212="1",BH1212,0)</f>
      </c>
      <c r="AC1212" s="111">
        <f>IF(AQ1212="1",BI1212,0)</f>
      </c>
      <c r="AD1212" s="111">
        <f>IF(AQ1212="7",BH1212,0)</f>
      </c>
      <c r="AE1212" s="111">
        <f>IF(AQ1212="7",BI1212,0)</f>
      </c>
      <c r="AF1212" s="111">
        <f>IF(AQ1212="2",BH1212,0)</f>
      </c>
      <c r="AG1212" s="111">
        <f>IF(AQ1212="2",BI1212,0)</f>
      </c>
      <c r="AH1212" s="111">
        <f>IF(AQ1212="0",BJ1212,0)</f>
      </c>
      <c r="AI1212" s="132" t="s">
        <v>84</v>
      </c>
      <c r="AJ1212" s="111">
        <f>IF(AN1212=0,I1212,0)</f>
      </c>
      <c r="AK1212" s="111">
        <f>IF(AN1212=12,I1212,0)</f>
      </c>
      <c r="AL1212" s="111">
        <f>IF(AN1212=21,I1212,0)</f>
      </c>
      <c r="AN1212" s="111" t="n">
        <v>21</v>
      </c>
      <c r="AO1212" s="111">
        <f>H1212*0</f>
      </c>
      <c r="AP1212" s="111">
        <f>H1212*(1-0)</f>
      </c>
      <c r="AQ1212" s="153" t="s">
        <v>156</v>
      </c>
      <c r="AV1212" s="111">
        <f>AW1212+AX1212</f>
      </c>
      <c r="AW1212" s="111">
        <f>G1212*AO1212</f>
      </c>
      <c r="AX1212" s="111">
        <f>G1212*AP1212</f>
      </c>
      <c r="AY1212" s="153" t="s">
        <v>1963</v>
      </c>
      <c r="AZ1212" s="153" t="s">
        <v>1950</v>
      </c>
      <c r="BA1212" s="132" t="s">
        <v>137</v>
      </c>
      <c r="BC1212" s="111">
        <f>AW1212+AX1212</f>
      </c>
      <c r="BD1212" s="111">
        <f>H1212/(100-BE1212)*100</f>
      </c>
      <c r="BE1212" s="111" t="n">
        <v>0</v>
      </c>
      <c r="BF1212" s="111">
        <f>1212</f>
      </c>
      <c r="BH1212" s="111">
        <f>G1212*AO1212</f>
      </c>
      <c r="BI1212" s="111">
        <f>G1212*AP1212</f>
      </c>
      <c r="BJ1212" s="111">
        <f>G1212*H1212</f>
      </c>
      <c r="BK1212" s="111"/>
      <c r="BL1212" s="111" t="n">
        <v>725</v>
      </c>
      <c r="BW1212" s="111" t="n">
        <v>21</v>
      </c>
      <c r="BX1212" s="14" t="s">
        <v>1981</v>
      </c>
    </row>
    <row r="1213">
      <c r="A1213" s="147" t="s">
        <v>4</v>
      </c>
      <c r="B1213" s="148" t="s">
        <v>84</v>
      </c>
      <c r="C1213" s="148" t="s">
        <v>1982</v>
      </c>
      <c r="D1213" s="149" t="s">
        <v>1983</v>
      </c>
      <c r="E1213" s="148"/>
      <c r="F1213" s="150" t="s">
        <v>79</v>
      </c>
      <c r="G1213" s="150" t="s">
        <v>79</v>
      </c>
      <c r="H1213" s="150" t="s">
        <v>79</v>
      </c>
      <c r="I1213" s="117">
        <f>SUM(I1214:I1220)</f>
      </c>
      <c r="J1213" s="132" t="s">
        <v>4</v>
      </c>
      <c r="K1213" s="146"/>
      <c r="AI1213" s="132" t="s">
        <v>84</v>
      </c>
      <c r="AS1213" s="117">
        <f>SUM(AJ1214:AJ1220)</f>
      </c>
      <c r="AT1213" s="117">
        <f>SUM(AK1214:AK1220)</f>
      </c>
      <c r="AU1213" s="117">
        <f>SUM(AL1214:AL1220)</f>
      </c>
    </row>
    <row r="1214">
      <c r="A1214" s="9" t="s">
        <v>1984</v>
      </c>
      <c r="B1214" s="10" t="s">
        <v>84</v>
      </c>
      <c r="C1214" s="10" t="s">
        <v>1985</v>
      </c>
      <c r="D1214" s="14" t="s">
        <v>1986</v>
      </c>
      <c r="E1214" s="10"/>
      <c r="F1214" s="10" t="s">
        <v>145</v>
      </c>
      <c r="G1214" s="111">
        <f>'Stavební rozpočet'!G1214</f>
      </c>
      <c r="H1214" s="111">
        <f>'Stavební rozpočet'!H1214</f>
      </c>
      <c r="I1214" s="111">
        <f>G1214*H1214</f>
      </c>
      <c r="J1214" s="153" t="s">
        <v>134</v>
      </c>
      <c r="K1214" s="146"/>
      <c r="Z1214" s="111">
        <f>IF(AQ1214="5",BJ1214,0)</f>
      </c>
      <c r="AB1214" s="111">
        <f>IF(AQ1214="1",BH1214,0)</f>
      </c>
      <c r="AC1214" s="111">
        <f>IF(AQ1214="1",BI1214,0)</f>
      </c>
      <c r="AD1214" s="111">
        <f>IF(AQ1214="7",BH1214,0)</f>
      </c>
      <c r="AE1214" s="111">
        <f>IF(AQ1214="7",BI1214,0)</f>
      </c>
      <c r="AF1214" s="111">
        <f>IF(AQ1214="2",BH1214,0)</f>
      </c>
      <c r="AG1214" s="111">
        <f>IF(AQ1214="2",BI1214,0)</f>
      </c>
      <c r="AH1214" s="111">
        <f>IF(AQ1214="0",BJ1214,0)</f>
      </c>
      <c r="AI1214" s="132" t="s">
        <v>84</v>
      </c>
      <c r="AJ1214" s="111">
        <f>IF(AN1214=0,I1214,0)</f>
      </c>
      <c r="AK1214" s="111">
        <f>IF(AN1214=12,I1214,0)</f>
      </c>
      <c r="AL1214" s="111">
        <f>IF(AN1214=21,I1214,0)</f>
      </c>
      <c r="AN1214" s="111" t="n">
        <v>21</v>
      </c>
      <c r="AO1214" s="111">
        <f>H1214*0.873865672</f>
      </c>
      <c r="AP1214" s="111">
        <f>H1214*(1-0.873865672)</f>
      </c>
      <c r="AQ1214" s="153" t="s">
        <v>173</v>
      </c>
      <c r="AV1214" s="111">
        <f>AW1214+AX1214</f>
      </c>
      <c r="AW1214" s="111">
        <f>G1214*AO1214</f>
      </c>
      <c r="AX1214" s="111">
        <f>G1214*AP1214</f>
      </c>
      <c r="AY1214" s="153" t="s">
        <v>1987</v>
      </c>
      <c r="AZ1214" s="153" t="s">
        <v>1988</v>
      </c>
      <c r="BA1214" s="132" t="s">
        <v>137</v>
      </c>
      <c r="BC1214" s="111">
        <f>AW1214+AX1214</f>
      </c>
      <c r="BD1214" s="111">
        <f>H1214/(100-BE1214)*100</f>
      </c>
      <c r="BE1214" s="111" t="n">
        <v>0</v>
      </c>
      <c r="BF1214" s="111">
        <f>1214</f>
      </c>
      <c r="BH1214" s="111">
        <f>G1214*AO1214</f>
      </c>
      <c r="BI1214" s="111">
        <f>G1214*AP1214</f>
      </c>
      <c r="BJ1214" s="111">
        <f>G1214*H1214</f>
      </c>
      <c r="BK1214" s="111"/>
      <c r="BL1214" s="111" t="n">
        <v>736</v>
      </c>
      <c r="BW1214" s="111" t="n">
        <v>21</v>
      </c>
      <c r="BX1214" s="14" t="s">
        <v>1986</v>
      </c>
    </row>
    <row r="1215" customHeight="true" ht="13.5">
      <c r="A1215" s="159"/>
      <c r="C1215" s="160" t="s">
        <v>146</v>
      </c>
      <c r="D1215" s="161" t="s">
        <v>1989</v>
      </c>
      <c r="E1215" s="156"/>
      <c r="F1215" s="156"/>
      <c r="G1215" s="156"/>
      <c r="H1215" s="156"/>
      <c r="I1215" s="156"/>
      <c r="J1215" s="156"/>
      <c r="K1215" s="163"/>
    </row>
    <row r="1216">
      <c r="A1216" s="154"/>
      <c r="B1216" s="155"/>
      <c r="C1216" s="155"/>
      <c r="D1216" s="156" t="s">
        <v>892</v>
      </c>
      <c r="E1216" s="156" t="s">
        <v>1217</v>
      </c>
      <c r="F1216" s="155"/>
      <c r="G1216" s="157" t="n">
        <v>89.1</v>
      </c>
      <c r="H1216" s="155"/>
      <c r="I1216" s="155"/>
      <c r="J1216" s="155"/>
      <c r="K1216" s="146"/>
    </row>
    <row r="1217">
      <c r="A1217" s="154"/>
      <c r="B1217" s="155"/>
      <c r="C1217" s="155"/>
      <c r="D1217" s="156" t="s">
        <v>1250</v>
      </c>
      <c r="E1217" s="156" t="s">
        <v>1232</v>
      </c>
      <c r="F1217" s="155"/>
      <c r="G1217" s="157" t="n">
        <v>7.6</v>
      </c>
      <c r="H1217" s="155"/>
      <c r="I1217" s="155"/>
      <c r="J1217" s="155"/>
      <c r="K1217" s="146"/>
    </row>
    <row r="1218">
      <c r="A1218" s="154"/>
      <c r="B1218" s="155"/>
      <c r="C1218" s="155"/>
      <c r="D1218" s="156" t="s">
        <v>1251</v>
      </c>
      <c r="E1218" s="156" t="s">
        <v>1234</v>
      </c>
      <c r="F1218" s="155"/>
      <c r="G1218" s="157" t="n">
        <v>167.5</v>
      </c>
      <c r="H1218" s="155"/>
      <c r="I1218" s="155"/>
      <c r="J1218" s="155"/>
      <c r="K1218" s="146"/>
    </row>
    <row r="1219">
      <c r="A1219" s="154"/>
      <c r="B1219" s="155"/>
      <c r="C1219" s="155"/>
      <c r="D1219" s="156" t="s">
        <v>1252</v>
      </c>
      <c r="E1219" s="156" t="s">
        <v>1236</v>
      </c>
      <c r="F1219" s="155"/>
      <c r="G1219" s="157" t="n">
        <v>47.3</v>
      </c>
      <c r="H1219" s="155"/>
      <c r="I1219" s="155"/>
      <c r="J1219" s="155"/>
      <c r="K1219" s="146"/>
    </row>
    <row r="1220">
      <c r="A1220" s="9" t="s">
        <v>1990</v>
      </c>
      <c r="B1220" s="10" t="s">
        <v>84</v>
      </c>
      <c r="C1220" s="10" t="s">
        <v>1991</v>
      </c>
      <c r="D1220" s="14" t="s">
        <v>1992</v>
      </c>
      <c r="E1220" s="10"/>
      <c r="F1220" s="10" t="s">
        <v>61</v>
      </c>
      <c r="G1220" s="111">
        <f>'Stavební rozpočet'!G1220</f>
      </c>
      <c r="H1220" s="111">
        <f>'Stavební rozpočet'!H1220</f>
      </c>
      <c r="I1220" s="111">
        <f>G1220*H1220</f>
      </c>
      <c r="J1220" s="153" t="s">
        <v>134</v>
      </c>
      <c r="K1220" s="146"/>
      <c r="Z1220" s="111">
        <f>IF(AQ1220="5",BJ1220,0)</f>
      </c>
      <c r="AB1220" s="111">
        <f>IF(AQ1220="1",BH1220,0)</f>
      </c>
      <c r="AC1220" s="111">
        <f>IF(AQ1220="1",BI1220,0)</f>
      </c>
      <c r="AD1220" s="111">
        <f>IF(AQ1220="7",BH1220,0)</f>
      </c>
      <c r="AE1220" s="111">
        <f>IF(AQ1220="7",BI1220,0)</f>
      </c>
      <c r="AF1220" s="111">
        <f>IF(AQ1220="2",BH1220,0)</f>
      </c>
      <c r="AG1220" s="111">
        <f>IF(AQ1220="2",BI1220,0)</f>
      </c>
      <c r="AH1220" s="111">
        <f>IF(AQ1220="0",BJ1220,0)</f>
      </c>
      <c r="AI1220" s="132" t="s">
        <v>84</v>
      </c>
      <c r="AJ1220" s="111">
        <f>IF(AN1220=0,I1220,0)</f>
      </c>
      <c r="AK1220" s="111">
        <f>IF(AN1220=12,I1220,0)</f>
      </c>
      <c r="AL1220" s="111">
        <f>IF(AN1220=21,I1220,0)</f>
      </c>
      <c r="AN1220" s="111" t="n">
        <v>21</v>
      </c>
      <c r="AO1220" s="111">
        <f>H1220*0</f>
      </c>
      <c r="AP1220" s="111">
        <f>H1220*(1-0)</f>
      </c>
      <c r="AQ1220" s="153" t="s">
        <v>156</v>
      </c>
      <c r="AV1220" s="111">
        <f>AW1220+AX1220</f>
      </c>
      <c r="AW1220" s="111">
        <f>G1220*AO1220</f>
      </c>
      <c r="AX1220" s="111">
        <f>G1220*AP1220</f>
      </c>
      <c r="AY1220" s="153" t="s">
        <v>1987</v>
      </c>
      <c r="AZ1220" s="153" t="s">
        <v>1988</v>
      </c>
      <c r="BA1220" s="132" t="s">
        <v>137</v>
      </c>
      <c r="BC1220" s="111">
        <f>AW1220+AX1220</f>
      </c>
      <c r="BD1220" s="111">
        <f>H1220/(100-BE1220)*100</f>
      </c>
      <c r="BE1220" s="111" t="n">
        <v>0</v>
      </c>
      <c r="BF1220" s="111">
        <f>1220</f>
      </c>
      <c r="BH1220" s="111">
        <f>G1220*AO1220</f>
      </c>
      <c r="BI1220" s="111">
        <f>G1220*AP1220</f>
      </c>
      <c r="BJ1220" s="111">
        <f>G1220*H1220</f>
      </c>
      <c r="BK1220" s="111"/>
      <c r="BL1220" s="111" t="n">
        <v>736</v>
      </c>
      <c r="BW1220" s="111" t="n">
        <v>21</v>
      </c>
      <c r="BX1220" s="14" t="s">
        <v>1992</v>
      </c>
    </row>
    <row r="1221">
      <c r="A1221" s="147" t="s">
        <v>4</v>
      </c>
      <c r="B1221" s="148" t="s">
        <v>84</v>
      </c>
      <c r="C1221" s="148" t="s">
        <v>1993</v>
      </c>
      <c r="D1221" s="149" t="s">
        <v>1994</v>
      </c>
      <c r="E1221" s="148"/>
      <c r="F1221" s="150" t="s">
        <v>79</v>
      </c>
      <c r="G1221" s="150" t="s">
        <v>79</v>
      </c>
      <c r="H1221" s="150" t="s">
        <v>79</v>
      </c>
      <c r="I1221" s="117">
        <f>SUM(I1222:I1241)</f>
      </c>
      <c r="J1221" s="132" t="s">
        <v>4</v>
      </c>
      <c r="K1221" s="146"/>
      <c r="AI1221" s="132" t="s">
        <v>84</v>
      </c>
      <c r="AS1221" s="117">
        <f>SUM(AJ1222:AJ1241)</f>
      </c>
      <c r="AT1221" s="117">
        <f>SUM(AK1222:AK1241)</f>
      </c>
      <c r="AU1221" s="117">
        <f>SUM(AL1222:AL1241)</f>
      </c>
    </row>
    <row r="1222">
      <c r="A1222" s="9" t="s">
        <v>1995</v>
      </c>
      <c r="B1222" s="10" t="s">
        <v>84</v>
      </c>
      <c r="C1222" s="10" t="s">
        <v>1996</v>
      </c>
      <c r="D1222" s="14" t="s">
        <v>1997</v>
      </c>
      <c r="E1222" s="10"/>
      <c r="F1222" s="10" t="s">
        <v>145</v>
      </c>
      <c r="G1222" s="111">
        <f>'Stavební rozpočet'!G1222</f>
      </c>
      <c r="H1222" s="111">
        <f>'Stavební rozpočet'!H1222</f>
      </c>
      <c r="I1222" s="111">
        <f>G1222*H1222</f>
      </c>
      <c r="J1222" s="153" t="s">
        <v>134</v>
      </c>
      <c r="K1222" s="146"/>
      <c r="Z1222" s="111">
        <f>IF(AQ1222="5",BJ1222,0)</f>
      </c>
      <c r="AB1222" s="111">
        <f>IF(AQ1222="1",BH1222,0)</f>
      </c>
      <c r="AC1222" s="111">
        <f>IF(AQ1222="1",BI1222,0)</f>
      </c>
      <c r="AD1222" s="111">
        <f>IF(AQ1222="7",BH1222,0)</f>
      </c>
      <c r="AE1222" s="111">
        <f>IF(AQ1222="7",BI1222,0)</f>
      </c>
      <c r="AF1222" s="111">
        <f>IF(AQ1222="2",BH1222,0)</f>
      </c>
      <c r="AG1222" s="111">
        <f>IF(AQ1222="2",BI1222,0)</f>
      </c>
      <c r="AH1222" s="111">
        <f>IF(AQ1222="0",BJ1222,0)</f>
      </c>
      <c r="AI1222" s="132" t="s">
        <v>84</v>
      </c>
      <c r="AJ1222" s="111">
        <f>IF(AN1222=0,I1222,0)</f>
      </c>
      <c r="AK1222" s="111">
        <f>IF(AN1222=12,I1222,0)</f>
      </c>
      <c r="AL1222" s="111">
        <f>IF(AN1222=21,I1222,0)</f>
      </c>
      <c r="AN1222" s="111" t="n">
        <v>21</v>
      </c>
      <c r="AO1222" s="111">
        <f>H1222*0</f>
      </c>
      <c r="AP1222" s="111">
        <f>H1222*(1-0)</f>
      </c>
      <c r="AQ1222" s="153" t="s">
        <v>173</v>
      </c>
      <c r="AV1222" s="111">
        <f>AW1222+AX1222</f>
      </c>
      <c r="AW1222" s="111">
        <f>G1222*AO1222</f>
      </c>
      <c r="AX1222" s="111">
        <f>G1222*AP1222</f>
      </c>
      <c r="AY1222" s="153" t="s">
        <v>1998</v>
      </c>
      <c r="AZ1222" s="153" t="s">
        <v>1999</v>
      </c>
      <c r="BA1222" s="132" t="s">
        <v>137</v>
      </c>
      <c r="BC1222" s="111">
        <f>AW1222+AX1222</f>
      </c>
      <c r="BD1222" s="111">
        <f>H1222/(100-BE1222)*100</f>
      </c>
      <c r="BE1222" s="111" t="n">
        <v>0</v>
      </c>
      <c r="BF1222" s="111">
        <f>1222</f>
      </c>
      <c r="BH1222" s="111">
        <f>G1222*AO1222</f>
      </c>
      <c r="BI1222" s="111">
        <f>G1222*AP1222</f>
      </c>
      <c r="BJ1222" s="111">
        <f>G1222*H1222</f>
      </c>
      <c r="BK1222" s="111"/>
      <c r="BL1222" s="111" t="n">
        <v>762</v>
      </c>
      <c r="BW1222" s="111" t="n">
        <v>21</v>
      </c>
      <c r="BX1222" s="14" t="s">
        <v>1997</v>
      </c>
    </row>
    <row r="1223">
      <c r="A1223" s="154"/>
      <c r="B1223" s="155"/>
      <c r="C1223" s="155"/>
      <c r="D1223" s="156" t="s">
        <v>2000</v>
      </c>
      <c r="E1223" s="156" t="s">
        <v>679</v>
      </c>
      <c r="F1223" s="155"/>
      <c r="G1223" s="157" t="n">
        <v>3.388</v>
      </c>
      <c r="H1223" s="155"/>
      <c r="I1223" s="155"/>
      <c r="J1223" s="155"/>
      <c r="K1223" s="146"/>
    </row>
    <row r="1224">
      <c r="A1224" s="154"/>
      <c r="B1224" s="155"/>
      <c r="C1224" s="155"/>
      <c r="D1224" s="156" t="s">
        <v>2001</v>
      </c>
      <c r="E1224" s="156" t="s">
        <v>681</v>
      </c>
      <c r="F1224" s="155"/>
      <c r="G1224" s="157" t="n">
        <v>1.5825</v>
      </c>
      <c r="H1224" s="155"/>
      <c r="I1224" s="155"/>
      <c r="J1224" s="155"/>
      <c r="K1224" s="146"/>
    </row>
    <row r="1225">
      <c r="A1225" s="154"/>
      <c r="B1225" s="155"/>
      <c r="C1225" s="155"/>
      <c r="D1225" s="156" t="s">
        <v>2002</v>
      </c>
      <c r="E1225" s="156" t="s">
        <v>683</v>
      </c>
      <c r="F1225" s="155"/>
      <c r="G1225" s="157" t="n">
        <v>5.548</v>
      </c>
      <c r="H1225" s="155"/>
      <c r="I1225" s="155"/>
      <c r="J1225" s="155"/>
      <c r="K1225" s="146"/>
    </row>
    <row r="1226">
      <c r="A1226" s="154"/>
      <c r="B1226" s="155"/>
      <c r="C1226" s="155"/>
      <c r="D1226" s="156" t="s">
        <v>2003</v>
      </c>
      <c r="E1226" s="156" t="s">
        <v>685</v>
      </c>
      <c r="F1226" s="155"/>
      <c r="G1226" s="157" t="n">
        <v>14.572</v>
      </c>
      <c r="H1226" s="155"/>
      <c r="I1226" s="155"/>
      <c r="J1226" s="155"/>
      <c r="K1226" s="146"/>
    </row>
    <row r="1227">
      <c r="A1227" s="154"/>
      <c r="B1227" s="155"/>
      <c r="C1227" s="155"/>
      <c r="D1227" s="156" t="s">
        <v>2004</v>
      </c>
      <c r="E1227" s="156" t="s">
        <v>687</v>
      </c>
      <c r="F1227" s="155"/>
      <c r="G1227" s="157" t="n">
        <v>13.9275</v>
      </c>
      <c r="H1227" s="155"/>
      <c r="I1227" s="155"/>
      <c r="J1227" s="155"/>
      <c r="K1227" s="146"/>
    </row>
    <row r="1228">
      <c r="A1228" s="9" t="s">
        <v>2005</v>
      </c>
      <c r="B1228" s="10" t="s">
        <v>84</v>
      </c>
      <c r="C1228" s="10" t="s">
        <v>2006</v>
      </c>
      <c r="D1228" s="14" t="s">
        <v>2007</v>
      </c>
      <c r="E1228" s="10"/>
      <c r="F1228" s="10" t="s">
        <v>133</v>
      </c>
      <c r="G1228" s="111">
        <f>'Stavební rozpočet'!G1228</f>
      </c>
      <c r="H1228" s="111">
        <f>'Stavební rozpočet'!H1228</f>
      </c>
      <c r="I1228" s="111">
        <f>G1228*H1228</f>
      </c>
      <c r="J1228" s="153" t="s">
        <v>134</v>
      </c>
      <c r="K1228" s="146"/>
      <c r="Z1228" s="111">
        <f>IF(AQ1228="5",BJ1228,0)</f>
      </c>
      <c r="AB1228" s="111">
        <f>IF(AQ1228="1",BH1228,0)</f>
      </c>
      <c r="AC1228" s="111">
        <f>IF(AQ1228="1",BI1228,0)</f>
      </c>
      <c r="AD1228" s="111">
        <f>IF(AQ1228="7",BH1228,0)</f>
      </c>
      <c r="AE1228" s="111">
        <f>IF(AQ1228="7",BI1228,0)</f>
      </c>
      <c r="AF1228" s="111">
        <f>IF(AQ1228="2",BH1228,0)</f>
      </c>
      <c r="AG1228" s="111">
        <f>IF(AQ1228="2",BI1228,0)</f>
      </c>
      <c r="AH1228" s="111">
        <f>IF(AQ1228="0",BJ1228,0)</f>
      </c>
      <c r="AI1228" s="132" t="s">
        <v>84</v>
      </c>
      <c r="AJ1228" s="111">
        <f>IF(AN1228=0,I1228,0)</f>
      </c>
      <c r="AK1228" s="111">
        <f>IF(AN1228=12,I1228,0)</f>
      </c>
      <c r="AL1228" s="111">
        <f>IF(AN1228=21,I1228,0)</f>
      </c>
      <c r="AN1228" s="111" t="n">
        <v>21</v>
      </c>
      <c r="AO1228" s="111">
        <f>H1228*1</f>
      </c>
      <c r="AP1228" s="111">
        <f>H1228*(1-1)</f>
      </c>
      <c r="AQ1228" s="153" t="s">
        <v>173</v>
      </c>
      <c r="AV1228" s="111">
        <f>AW1228+AX1228</f>
      </c>
      <c r="AW1228" s="111">
        <f>G1228*AO1228</f>
      </c>
      <c r="AX1228" s="111">
        <f>G1228*AP1228</f>
      </c>
      <c r="AY1228" s="153" t="s">
        <v>1998</v>
      </c>
      <c r="AZ1228" s="153" t="s">
        <v>1999</v>
      </c>
      <c r="BA1228" s="132" t="s">
        <v>137</v>
      </c>
      <c r="BC1228" s="111">
        <f>AW1228+AX1228</f>
      </c>
      <c r="BD1228" s="111">
        <f>H1228/(100-BE1228)*100</f>
      </c>
      <c r="BE1228" s="111" t="n">
        <v>0</v>
      </c>
      <c r="BF1228" s="111">
        <f>1228</f>
      </c>
      <c r="BH1228" s="111">
        <f>G1228*AO1228</f>
      </c>
      <c r="BI1228" s="111">
        <f>G1228*AP1228</f>
      </c>
      <c r="BJ1228" s="111">
        <f>G1228*H1228</f>
      </c>
      <c r="BK1228" s="111"/>
      <c r="BL1228" s="111" t="n">
        <v>762</v>
      </c>
      <c r="BW1228" s="111" t="n">
        <v>21</v>
      </c>
      <c r="BX1228" s="14" t="s">
        <v>2007</v>
      </c>
    </row>
    <row r="1229">
      <c r="A1229" s="154"/>
      <c r="B1229" s="155"/>
      <c r="C1229" s="155"/>
      <c r="D1229" s="156" t="s">
        <v>693</v>
      </c>
      <c r="E1229" s="156" t="s">
        <v>679</v>
      </c>
      <c r="F1229" s="155"/>
      <c r="G1229" s="157" t="n">
        <v>8.47</v>
      </c>
      <c r="H1229" s="155"/>
      <c r="I1229" s="155"/>
      <c r="J1229" s="155"/>
      <c r="K1229" s="146"/>
    </row>
    <row r="1230">
      <c r="A1230" s="154"/>
      <c r="B1230" s="155"/>
      <c r="C1230" s="155"/>
      <c r="D1230" s="156" t="s">
        <v>694</v>
      </c>
      <c r="E1230" s="156" t="s">
        <v>681</v>
      </c>
      <c r="F1230" s="155"/>
      <c r="G1230" s="157" t="n">
        <v>4.22</v>
      </c>
      <c r="H1230" s="155"/>
      <c r="I1230" s="155"/>
      <c r="J1230" s="155"/>
      <c r="K1230" s="146"/>
    </row>
    <row r="1231">
      <c r="A1231" s="154"/>
      <c r="B1231" s="155"/>
      <c r="C1231" s="155"/>
      <c r="D1231" s="156" t="s">
        <v>2008</v>
      </c>
      <c r="E1231" s="156" t="s">
        <v>683</v>
      </c>
      <c r="F1231" s="155"/>
      <c r="G1231" s="157" t="n">
        <v>13.87</v>
      </c>
      <c r="H1231" s="155"/>
      <c r="I1231" s="155"/>
      <c r="J1231" s="155"/>
      <c r="K1231" s="146"/>
    </row>
    <row r="1232">
      <c r="A1232" s="154"/>
      <c r="B1232" s="155"/>
      <c r="C1232" s="155"/>
      <c r="D1232" s="156" t="s">
        <v>2009</v>
      </c>
      <c r="E1232" s="156" t="s">
        <v>685</v>
      </c>
      <c r="F1232" s="155"/>
      <c r="G1232" s="157" t="n">
        <v>36.43</v>
      </c>
      <c r="H1232" s="155"/>
      <c r="I1232" s="155"/>
      <c r="J1232" s="155"/>
      <c r="K1232" s="146"/>
    </row>
    <row r="1233">
      <c r="A1233" s="154"/>
      <c r="B1233" s="155"/>
      <c r="C1233" s="155"/>
      <c r="D1233" s="156" t="s">
        <v>2010</v>
      </c>
      <c r="E1233" s="156" t="s">
        <v>687</v>
      </c>
      <c r="F1233" s="155"/>
      <c r="G1233" s="157" t="n">
        <v>35.85</v>
      </c>
      <c r="H1233" s="155"/>
      <c r="I1233" s="155"/>
      <c r="J1233" s="155"/>
      <c r="K1233" s="146"/>
    </row>
    <row r="1234">
      <c r="A1234" s="154"/>
      <c r="B1234" s="155"/>
      <c r="C1234" s="155"/>
      <c r="D1234" s="156" t="s">
        <v>2011</v>
      </c>
      <c r="E1234" s="156" t="s">
        <v>2012</v>
      </c>
      <c r="F1234" s="155"/>
      <c r="G1234" s="157" t="n">
        <v>494.2</v>
      </c>
      <c r="H1234" s="155"/>
      <c r="I1234" s="155"/>
      <c r="J1234" s="155"/>
      <c r="K1234" s="146"/>
    </row>
    <row r="1235">
      <c r="A1235" s="154"/>
      <c r="B1235" s="155"/>
      <c r="C1235" s="155"/>
      <c r="D1235" s="156" t="s">
        <v>2013</v>
      </c>
      <c r="E1235" s="156" t="s">
        <v>1651</v>
      </c>
      <c r="F1235" s="155"/>
      <c r="G1235" s="157" t="n">
        <v>118.6</v>
      </c>
      <c r="H1235" s="155"/>
      <c r="I1235" s="155"/>
      <c r="J1235" s="155"/>
      <c r="K1235" s="146"/>
    </row>
    <row r="1236">
      <c r="A1236" s="9" t="s">
        <v>2014</v>
      </c>
      <c r="B1236" s="10" t="s">
        <v>84</v>
      </c>
      <c r="C1236" s="10" t="s">
        <v>2015</v>
      </c>
      <c r="D1236" s="14" t="s">
        <v>2016</v>
      </c>
      <c r="E1236" s="10"/>
      <c r="F1236" s="10" t="s">
        <v>145</v>
      </c>
      <c r="G1236" s="111">
        <f>'Stavební rozpočet'!G1236</f>
      </c>
      <c r="H1236" s="111">
        <f>'Stavební rozpočet'!H1236</f>
      </c>
      <c r="I1236" s="111">
        <f>G1236*H1236</f>
      </c>
      <c r="J1236" s="153" t="s">
        <v>134</v>
      </c>
      <c r="K1236" s="146"/>
      <c r="Z1236" s="111">
        <f>IF(AQ1236="5",BJ1236,0)</f>
      </c>
      <c r="AB1236" s="111">
        <f>IF(AQ1236="1",BH1236,0)</f>
      </c>
      <c r="AC1236" s="111">
        <f>IF(AQ1236="1",BI1236,0)</f>
      </c>
      <c r="AD1236" s="111">
        <f>IF(AQ1236="7",BH1236,0)</f>
      </c>
      <c r="AE1236" s="111">
        <f>IF(AQ1236="7",BI1236,0)</f>
      </c>
      <c r="AF1236" s="111">
        <f>IF(AQ1236="2",BH1236,0)</f>
      </c>
      <c r="AG1236" s="111">
        <f>IF(AQ1236="2",BI1236,0)</f>
      </c>
      <c r="AH1236" s="111">
        <f>IF(AQ1236="0",BJ1236,0)</f>
      </c>
      <c r="AI1236" s="132" t="s">
        <v>84</v>
      </c>
      <c r="AJ1236" s="111">
        <f>IF(AN1236=0,I1236,0)</f>
      </c>
      <c r="AK1236" s="111">
        <f>IF(AN1236=12,I1236,0)</f>
      </c>
      <c r="AL1236" s="111">
        <f>IF(AN1236=21,I1236,0)</f>
      </c>
      <c r="AN1236" s="111" t="n">
        <v>21</v>
      </c>
      <c r="AO1236" s="111">
        <f>H1236*1</f>
      </c>
      <c r="AP1236" s="111">
        <f>H1236*(1-1)</f>
      </c>
      <c r="AQ1236" s="153" t="s">
        <v>173</v>
      </c>
      <c r="AV1236" s="111">
        <f>AW1236+AX1236</f>
      </c>
      <c r="AW1236" s="111">
        <f>G1236*AO1236</f>
      </c>
      <c r="AX1236" s="111">
        <f>G1236*AP1236</f>
      </c>
      <c r="AY1236" s="153" t="s">
        <v>1998</v>
      </c>
      <c r="AZ1236" s="153" t="s">
        <v>1999</v>
      </c>
      <c r="BA1236" s="132" t="s">
        <v>137</v>
      </c>
      <c r="BC1236" s="111">
        <f>AW1236+AX1236</f>
      </c>
      <c r="BD1236" s="111">
        <f>H1236/(100-BE1236)*100</f>
      </c>
      <c r="BE1236" s="111" t="n">
        <v>0</v>
      </c>
      <c r="BF1236" s="111">
        <f>1236</f>
      </c>
      <c r="BH1236" s="111">
        <f>G1236*AO1236</f>
      </c>
      <c r="BI1236" s="111">
        <f>G1236*AP1236</f>
      </c>
      <c r="BJ1236" s="111">
        <f>G1236*H1236</f>
      </c>
      <c r="BK1236" s="111"/>
      <c r="BL1236" s="111" t="n">
        <v>762</v>
      </c>
      <c r="BW1236" s="111" t="n">
        <v>21</v>
      </c>
      <c r="BX1236" s="14" t="s">
        <v>2016</v>
      </c>
    </row>
    <row r="1237">
      <c r="A1237" s="154"/>
      <c r="B1237" s="155"/>
      <c r="C1237" s="155"/>
      <c r="D1237" s="156" t="s">
        <v>2017</v>
      </c>
      <c r="E1237" s="156" t="s">
        <v>2018</v>
      </c>
      <c r="F1237" s="155"/>
      <c r="G1237" s="157" t="n">
        <v>39.018</v>
      </c>
      <c r="H1237" s="155"/>
      <c r="I1237" s="155"/>
      <c r="J1237" s="155"/>
      <c r="K1237" s="146"/>
    </row>
    <row r="1238">
      <c r="A1238" s="154"/>
      <c r="B1238" s="155"/>
      <c r="C1238" s="155"/>
      <c r="D1238" s="156" t="s">
        <v>2019</v>
      </c>
      <c r="E1238" s="156" t="s">
        <v>1716</v>
      </c>
      <c r="F1238" s="155"/>
      <c r="G1238" s="157" t="n">
        <v>3.12144</v>
      </c>
      <c r="H1238" s="155"/>
      <c r="I1238" s="155"/>
      <c r="J1238" s="155"/>
      <c r="K1238" s="146"/>
    </row>
    <row r="1239">
      <c r="A1239" s="9" t="s">
        <v>2020</v>
      </c>
      <c r="B1239" s="10" t="s">
        <v>84</v>
      </c>
      <c r="C1239" s="10" t="s">
        <v>2021</v>
      </c>
      <c r="D1239" s="14" t="s">
        <v>2022</v>
      </c>
      <c r="E1239" s="10"/>
      <c r="F1239" s="10" t="s">
        <v>133</v>
      </c>
      <c r="G1239" s="111">
        <f>'Stavební rozpočet'!G1239</f>
      </c>
      <c r="H1239" s="111">
        <f>'Stavební rozpočet'!H1239</f>
      </c>
      <c r="I1239" s="111">
        <f>G1239*H1239</f>
      </c>
      <c r="J1239" s="153" t="s">
        <v>134</v>
      </c>
      <c r="K1239" s="146"/>
      <c r="Z1239" s="111">
        <f>IF(AQ1239="5",BJ1239,0)</f>
      </c>
      <c r="AB1239" s="111">
        <f>IF(AQ1239="1",BH1239,0)</f>
      </c>
      <c r="AC1239" s="111">
        <f>IF(AQ1239="1",BI1239,0)</f>
      </c>
      <c r="AD1239" s="111">
        <f>IF(AQ1239="7",BH1239,0)</f>
      </c>
      <c r="AE1239" s="111">
        <f>IF(AQ1239="7",BI1239,0)</f>
      </c>
      <c r="AF1239" s="111">
        <f>IF(AQ1239="2",BH1239,0)</f>
      </c>
      <c r="AG1239" s="111">
        <f>IF(AQ1239="2",BI1239,0)</f>
      </c>
      <c r="AH1239" s="111">
        <f>IF(AQ1239="0",BJ1239,0)</f>
      </c>
      <c r="AI1239" s="132" t="s">
        <v>84</v>
      </c>
      <c r="AJ1239" s="111">
        <f>IF(AN1239=0,I1239,0)</f>
      </c>
      <c r="AK1239" s="111">
        <f>IF(AN1239=12,I1239,0)</f>
      </c>
      <c r="AL1239" s="111">
        <f>IF(AN1239=21,I1239,0)</f>
      </c>
      <c r="AN1239" s="111" t="n">
        <v>21</v>
      </c>
      <c r="AO1239" s="111">
        <f>H1239*0.139967488</f>
      </c>
      <c r="AP1239" s="111">
        <f>H1239*(1-0.139967488)</f>
      </c>
      <c r="AQ1239" s="153" t="s">
        <v>173</v>
      </c>
      <c r="AV1239" s="111">
        <f>AW1239+AX1239</f>
      </c>
      <c r="AW1239" s="111">
        <f>G1239*AO1239</f>
      </c>
      <c r="AX1239" s="111">
        <f>G1239*AP1239</f>
      </c>
      <c r="AY1239" s="153" t="s">
        <v>1998</v>
      </c>
      <c r="AZ1239" s="153" t="s">
        <v>1999</v>
      </c>
      <c r="BA1239" s="132" t="s">
        <v>137</v>
      </c>
      <c r="BC1239" s="111">
        <f>AW1239+AX1239</f>
      </c>
      <c r="BD1239" s="111">
        <f>H1239/(100-BE1239)*100</f>
      </c>
      <c r="BE1239" s="111" t="n">
        <v>0</v>
      </c>
      <c r="BF1239" s="111">
        <f>1239</f>
      </c>
      <c r="BH1239" s="111">
        <f>G1239*AO1239</f>
      </c>
      <c r="BI1239" s="111">
        <f>G1239*AP1239</f>
      </c>
      <c r="BJ1239" s="111">
        <f>G1239*H1239</f>
      </c>
      <c r="BK1239" s="111"/>
      <c r="BL1239" s="111" t="n">
        <v>762</v>
      </c>
      <c r="BW1239" s="111" t="n">
        <v>21</v>
      </c>
      <c r="BX1239" s="14" t="s">
        <v>2022</v>
      </c>
    </row>
    <row r="1240" customHeight="true" ht="13.5">
      <c r="A1240" s="159"/>
      <c r="C1240" s="160" t="s">
        <v>146</v>
      </c>
      <c r="D1240" s="161" t="s">
        <v>2023</v>
      </c>
      <c r="E1240" s="156"/>
      <c r="F1240" s="156"/>
      <c r="G1240" s="156"/>
      <c r="H1240" s="156"/>
      <c r="I1240" s="156"/>
      <c r="J1240" s="156"/>
      <c r="K1240" s="163"/>
    </row>
    <row r="1241">
      <c r="A1241" s="9" t="s">
        <v>2024</v>
      </c>
      <c r="B1241" s="10" t="s">
        <v>84</v>
      </c>
      <c r="C1241" s="10" t="s">
        <v>2025</v>
      </c>
      <c r="D1241" s="14" t="s">
        <v>2026</v>
      </c>
      <c r="E1241" s="10"/>
      <c r="F1241" s="10" t="s">
        <v>61</v>
      </c>
      <c r="G1241" s="111">
        <f>'Stavební rozpočet'!G1241</f>
      </c>
      <c r="H1241" s="111">
        <f>'Stavební rozpočet'!H1241</f>
      </c>
      <c r="I1241" s="111">
        <f>G1241*H1241</f>
      </c>
      <c r="J1241" s="153" t="s">
        <v>134</v>
      </c>
      <c r="K1241" s="146"/>
      <c r="Z1241" s="111">
        <f>IF(AQ1241="5",BJ1241,0)</f>
      </c>
      <c r="AB1241" s="111">
        <f>IF(AQ1241="1",BH1241,0)</f>
      </c>
      <c r="AC1241" s="111">
        <f>IF(AQ1241="1",BI1241,0)</f>
      </c>
      <c r="AD1241" s="111">
        <f>IF(AQ1241="7",BH1241,0)</f>
      </c>
      <c r="AE1241" s="111">
        <f>IF(AQ1241="7",BI1241,0)</f>
      </c>
      <c r="AF1241" s="111">
        <f>IF(AQ1241="2",BH1241,0)</f>
      </c>
      <c r="AG1241" s="111">
        <f>IF(AQ1241="2",BI1241,0)</f>
      </c>
      <c r="AH1241" s="111">
        <f>IF(AQ1241="0",BJ1241,0)</f>
      </c>
      <c r="AI1241" s="132" t="s">
        <v>84</v>
      </c>
      <c r="AJ1241" s="111">
        <f>IF(AN1241=0,I1241,0)</f>
      </c>
      <c r="AK1241" s="111">
        <f>IF(AN1241=12,I1241,0)</f>
      </c>
      <c r="AL1241" s="111">
        <f>IF(AN1241=21,I1241,0)</f>
      </c>
      <c r="AN1241" s="111" t="n">
        <v>21</v>
      </c>
      <c r="AO1241" s="111">
        <f>H1241*0</f>
      </c>
      <c r="AP1241" s="111">
        <f>H1241*(1-0)</f>
      </c>
      <c r="AQ1241" s="153" t="s">
        <v>156</v>
      </c>
      <c r="AV1241" s="111">
        <f>AW1241+AX1241</f>
      </c>
      <c r="AW1241" s="111">
        <f>G1241*AO1241</f>
      </c>
      <c r="AX1241" s="111">
        <f>G1241*AP1241</f>
      </c>
      <c r="AY1241" s="153" t="s">
        <v>1998</v>
      </c>
      <c r="AZ1241" s="153" t="s">
        <v>1999</v>
      </c>
      <c r="BA1241" s="132" t="s">
        <v>137</v>
      </c>
      <c r="BC1241" s="111">
        <f>AW1241+AX1241</f>
      </c>
      <c r="BD1241" s="111">
        <f>H1241/(100-BE1241)*100</f>
      </c>
      <c r="BE1241" s="111" t="n">
        <v>0</v>
      </c>
      <c r="BF1241" s="111">
        <f>1241</f>
      </c>
      <c r="BH1241" s="111">
        <f>G1241*AO1241</f>
      </c>
      <c r="BI1241" s="111">
        <f>G1241*AP1241</f>
      </c>
      <c r="BJ1241" s="111">
        <f>G1241*H1241</f>
      </c>
      <c r="BK1241" s="111"/>
      <c r="BL1241" s="111" t="n">
        <v>762</v>
      </c>
      <c r="BW1241" s="111" t="n">
        <v>21</v>
      </c>
      <c r="BX1241" s="14" t="s">
        <v>2026</v>
      </c>
    </row>
    <row r="1242">
      <c r="A1242" s="147" t="s">
        <v>4</v>
      </c>
      <c r="B1242" s="148" t="s">
        <v>84</v>
      </c>
      <c r="C1242" s="148" t="s">
        <v>2027</v>
      </c>
      <c r="D1242" s="149" t="s">
        <v>2028</v>
      </c>
      <c r="E1242" s="148"/>
      <c r="F1242" s="150" t="s">
        <v>79</v>
      </c>
      <c r="G1242" s="150" t="s">
        <v>79</v>
      </c>
      <c r="H1242" s="150" t="s">
        <v>79</v>
      </c>
      <c r="I1242" s="117">
        <f>SUM(I1243:I1306)</f>
      </c>
      <c r="J1242" s="132" t="s">
        <v>4</v>
      </c>
      <c r="K1242" s="146"/>
      <c r="AI1242" s="132" t="s">
        <v>84</v>
      </c>
      <c r="AS1242" s="117">
        <f>SUM(AJ1243:AJ1306)</f>
      </c>
      <c r="AT1242" s="117">
        <f>SUM(AK1243:AK1306)</f>
      </c>
      <c r="AU1242" s="117">
        <f>SUM(AL1243:AL1306)</f>
      </c>
    </row>
    <row r="1243">
      <c r="A1243" s="9" t="s">
        <v>2029</v>
      </c>
      <c r="B1243" s="10" t="s">
        <v>84</v>
      </c>
      <c r="C1243" s="10" t="s">
        <v>2030</v>
      </c>
      <c r="D1243" s="14" t="s">
        <v>2031</v>
      </c>
      <c r="E1243" s="10"/>
      <c r="F1243" s="10" t="s">
        <v>282</v>
      </c>
      <c r="G1243" s="111">
        <f>'Stavební rozpočet'!G1243</f>
      </c>
      <c r="H1243" s="111">
        <f>'Stavební rozpočet'!H1243</f>
      </c>
      <c r="I1243" s="111">
        <f>G1243*H1243</f>
      </c>
      <c r="J1243" s="153" t="s">
        <v>134</v>
      </c>
      <c r="K1243" s="146"/>
      <c r="Z1243" s="111">
        <f>IF(AQ1243="5",BJ1243,0)</f>
      </c>
      <c r="AB1243" s="111">
        <f>IF(AQ1243="1",BH1243,0)</f>
      </c>
      <c r="AC1243" s="111">
        <f>IF(AQ1243="1",BI1243,0)</f>
      </c>
      <c r="AD1243" s="111">
        <f>IF(AQ1243="7",BH1243,0)</f>
      </c>
      <c r="AE1243" s="111">
        <f>IF(AQ1243="7",BI1243,0)</f>
      </c>
      <c r="AF1243" s="111">
        <f>IF(AQ1243="2",BH1243,0)</f>
      </c>
      <c r="AG1243" s="111">
        <f>IF(AQ1243="2",BI1243,0)</f>
      </c>
      <c r="AH1243" s="111">
        <f>IF(AQ1243="0",BJ1243,0)</f>
      </c>
      <c r="AI1243" s="132" t="s">
        <v>84</v>
      </c>
      <c r="AJ1243" s="111">
        <f>IF(AN1243=0,I1243,0)</f>
      </c>
      <c r="AK1243" s="111">
        <f>IF(AN1243=12,I1243,0)</f>
      </c>
      <c r="AL1243" s="111">
        <f>IF(AN1243=21,I1243,0)</f>
      </c>
      <c r="AN1243" s="111" t="n">
        <v>21</v>
      </c>
      <c r="AO1243" s="111">
        <f>H1243*0.262965836</f>
      </c>
      <c r="AP1243" s="111">
        <f>H1243*(1-0.262965836)</f>
      </c>
      <c r="AQ1243" s="153" t="s">
        <v>173</v>
      </c>
      <c r="AV1243" s="111">
        <f>AW1243+AX1243</f>
      </c>
      <c r="AW1243" s="111">
        <f>G1243*AO1243</f>
      </c>
      <c r="AX1243" s="111">
        <f>G1243*AP1243</f>
      </c>
      <c r="AY1243" s="153" t="s">
        <v>2032</v>
      </c>
      <c r="AZ1243" s="153" t="s">
        <v>1999</v>
      </c>
      <c r="BA1243" s="132" t="s">
        <v>137</v>
      </c>
      <c r="BC1243" s="111">
        <f>AW1243+AX1243</f>
      </c>
      <c r="BD1243" s="111">
        <f>H1243/(100-BE1243)*100</f>
      </c>
      <c r="BE1243" s="111" t="n">
        <v>0</v>
      </c>
      <c r="BF1243" s="111">
        <f>1243</f>
      </c>
      <c r="BH1243" s="111">
        <f>G1243*AO1243</f>
      </c>
      <c r="BI1243" s="111">
        <f>G1243*AP1243</f>
      </c>
      <c r="BJ1243" s="111">
        <f>G1243*H1243</f>
      </c>
      <c r="BK1243" s="111"/>
      <c r="BL1243" s="111" t="n">
        <v>764</v>
      </c>
      <c r="BW1243" s="111" t="n">
        <v>21</v>
      </c>
      <c r="BX1243" s="14" t="s">
        <v>2031</v>
      </c>
    </row>
    <row r="1244" customHeight="true" ht="13.5">
      <c r="A1244" s="159"/>
      <c r="C1244" s="160" t="s">
        <v>146</v>
      </c>
      <c r="D1244" s="161" t="s">
        <v>2033</v>
      </c>
      <c r="E1244" s="156"/>
      <c r="F1244" s="156"/>
      <c r="G1244" s="156"/>
      <c r="H1244" s="156"/>
      <c r="I1244" s="156"/>
      <c r="J1244" s="156"/>
      <c r="K1244" s="163"/>
    </row>
    <row r="1245">
      <c r="A1245" s="154"/>
      <c r="B1245" s="155"/>
      <c r="C1245" s="155"/>
      <c r="D1245" s="156" t="s">
        <v>2034</v>
      </c>
      <c r="E1245" s="156" t="s">
        <v>2035</v>
      </c>
      <c r="F1245" s="155"/>
      <c r="G1245" s="157" t="n">
        <v>3.1</v>
      </c>
      <c r="H1245" s="155"/>
      <c r="I1245" s="155"/>
      <c r="J1245" s="155"/>
      <c r="K1245" s="146"/>
    </row>
    <row r="1246">
      <c r="A1246" s="9" t="s">
        <v>2036</v>
      </c>
      <c r="B1246" s="10" t="s">
        <v>84</v>
      </c>
      <c r="C1246" s="10" t="s">
        <v>2037</v>
      </c>
      <c r="D1246" s="14" t="s">
        <v>2038</v>
      </c>
      <c r="E1246" s="10"/>
      <c r="F1246" s="10" t="s">
        <v>282</v>
      </c>
      <c r="G1246" s="111">
        <f>'Stavební rozpočet'!G1246</f>
      </c>
      <c r="H1246" s="111">
        <f>'Stavební rozpočet'!H1246</f>
      </c>
      <c r="I1246" s="111">
        <f>G1246*H1246</f>
      </c>
      <c r="J1246" s="153" t="s">
        <v>134</v>
      </c>
      <c r="K1246" s="146"/>
      <c r="Z1246" s="111">
        <f>IF(AQ1246="5",BJ1246,0)</f>
      </c>
      <c r="AB1246" s="111">
        <f>IF(AQ1246="1",BH1246,0)</f>
      </c>
      <c r="AC1246" s="111">
        <f>IF(AQ1246="1",BI1246,0)</f>
      </c>
      <c r="AD1246" s="111">
        <f>IF(AQ1246="7",BH1246,0)</f>
      </c>
      <c r="AE1246" s="111">
        <f>IF(AQ1246="7",BI1246,0)</f>
      </c>
      <c r="AF1246" s="111">
        <f>IF(AQ1246="2",BH1246,0)</f>
      </c>
      <c r="AG1246" s="111">
        <f>IF(AQ1246="2",BI1246,0)</f>
      </c>
      <c r="AH1246" s="111">
        <f>IF(AQ1246="0",BJ1246,0)</f>
      </c>
      <c r="AI1246" s="132" t="s">
        <v>84</v>
      </c>
      <c r="AJ1246" s="111">
        <f>IF(AN1246=0,I1246,0)</f>
      </c>
      <c r="AK1246" s="111">
        <f>IF(AN1246=12,I1246,0)</f>
      </c>
      <c r="AL1246" s="111">
        <f>IF(AN1246=21,I1246,0)</f>
      </c>
      <c r="AN1246" s="111" t="n">
        <v>21</v>
      </c>
      <c r="AO1246" s="111">
        <f>H1246*0.306613528</f>
      </c>
      <c r="AP1246" s="111">
        <f>H1246*(1-0.306613528)</f>
      </c>
      <c r="AQ1246" s="153" t="s">
        <v>173</v>
      </c>
      <c r="AV1246" s="111">
        <f>AW1246+AX1246</f>
      </c>
      <c r="AW1246" s="111">
        <f>G1246*AO1246</f>
      </c>
      <c r="AX1246" s="111">
        <f>G1246*AP1246</f>
      </c>
      <c r="AY1246" s="153" t="s">
        <v>2032</v>
      </c>
      <c r="AZ1246" s="153" t="s">
        <v>1999</v>
      </c>
      <c r="BA1246" s="132" t="s">
        <v>137</v>
      </c>
      <c r="BC1246" s="111">
        <f>AW1246+AX1246</f>
      </c>
      <c r="BD1246" s="111">
        <f>H1246/(100-BE1246)*100</f>
      </c>
      <c r="BE1246" s="111" t="n">
        <v>0</v>
      </c>
      <c r="BF1246" s="111">
        <f>1246</f>
      </c>
      <c r="BH1246" s="111">
        <f>G1246*AO1246</f>
      </c>
      <c r="BI1246" s="111">
        <f>G1246*AP1246</f>
      </c>
      <c r="BJ1246" s="111">
        <f>G1246*H1246</f>
      </c>
      <c r="BK1246" s="111"/>
      <c r="BL1246" s="111" t="n">
        <v>764</v>
      </c>
      <c r="BW1246" s="111" t="n">
        <v>21</v>
      </c>
      <c r="BX1246" s="14" t="s">
        <v>2038</v>
      </c>
    </row>
    <row r="1247" customHeight="true" ht="13.5">
      <c r="A1247" s="159"/>
      <c r="C1247" s="160" t="s">
        <v>146</v>
      </c>
      <c r="D1247" s="161" t="s">
        <v>2033</v>
      </c>
      <c r="E1247" s="156"/>
      <c r="F1247" s="156"/>
      <c r="G1247" s="156"/>
      <c r="H1247" s="156"/>
      <c r="I1247" s="156"/>
      <c r="J1247" s="156"/>
      <c r="K1247" s="163"/>
    </row>
    <row r="1248">
      <c r="A1248" s="154"/>
      <c r="B1248" s="155"/>
      <c r="C1248" s="155"/>
      <c r="D1248" s="156" t="s">
        <v>2039</v>
      </c>
      <c r="E1248" s="156" t="s">
        <v>2040</v>
      </c>
      <c r="F1248" s="155"/>
      <c r="G1248" s="157" t="n">
        <v>5.3</v>
      </c>
      <c r="H1248" s="155"/>
      <c r="I1248" s="155"/>
      <c r="J1248" s="155"/>
      <c r="K1248" s="146"/>
    </row>
    <row r="1249">
      <c r="A1249" s="154"/>
      <c r="B1249" s="155"/>
      <c r="C1249" s="155"/>
      <c r="D1249" s="156" t="s">
        <v>2041</v>
      </c>
      <c r="E1249" s="156" t="s">
        <v>2042</v>
      </c>
      <c r="F1249" s="155"/>
      <c r="G1249" s="157" t="n">
        <v>3.2</v>
      </c>
      <c r="H1249" s="155"/>
      <c r="I1249" s="155"/>
      <c r="J1249" s="155"/>
      <c r="K1249" s="146"/>
    </row>
    <row r="1250">
      <c r="A1250" s="154"/>
      <c r="B1250" s="155"/>
      <c r="C1250" s="155"/>
      <c r="D1250" s="156" t="s">
        <v>224</v>
      </c>
      <c r="E1250" s="156" t="s">
        <v>2043</v>
      </c>
      <c r="F1250" s="155"/>
      <c r="G1250" s="157" t="n">
        <v>15</v>
      </c>
      <c r="H1250" s="155"/>
      <c r="I1250" s="155"/>
      <c r="J1250" s="155"/>
      <c r="K1250" s="146"/>
    </row>
    <row r="1251">
      <c r="A1251" s="154"/>
      <c r="B1251" s="155"/>
      <c r="C1251" s="155"/>
      <c r="D1251" s="156" t="s">
        <v>156</v>
      </c>
      <c r="E1251" s="156" t="s">
        <v>2044</v>
      </c>
      <c r="F1251" s="155"/>
      <c r="G1251" s="157" t="n">
        <v>5</v>
      </c>
      <c r="H1251" s="155"/>
      <c r="I1251" s="155"/>
      <c r="J1251" s="155"/>
      <c r="K1251" s="146"/>
    </row>
    <row r="1252">
      <c r="A1252" s="9" t="s">
        <v>2045</v>
      </c>
      <c r="B1252" s="10" t="s">
        <v>84</v>
      </c>
      <c r="C1252" s="10" t="s">
        <v>2046</v>
      </c>
      <c r="D1252" s="14" t="s">
        <v>2047</v>
      </c>
      <c r="E1252" s="10"/>
      <c r="F1252" s="10" t="s">
        <v>282</v>
      </c>
      <c r="G1252" s="111">
        <f>'Stavební rozpočet'!G1252</f>
      </c>
      <c r="H1252" s="111">
        <f>'Stavební rozpočet'!H1252</f>
      </c>
      <c r="I1252" s="111">
        <f>G1252*H1252</f>
      </c>
      <c r="J1252" s="153" t="s">
        <v>134</v>
      </c>
      <c r="K1252" s="146"/>
      <c r="Z1252" s="111">
        <f>IF(AQ1252="5",BJ1252,0)</f>
      </c>
      <c r="AB1252" s="111">
        <f>IF(AQ1252="1",BH1252,0)</f>
      </c>
      <c r="AC1252" s="111">
        <f>IF(AQ1252="1",BI1252,0)</f>
      </c>
      <c r="AD1252" s="111">
        <f>IF(AQ1252="7",BH1252,0)</f>
      </c>
      <c r="AE1252" s="111">
        <f>IF(AQ1252="7",BI1252,0)</f>
      </c>
      <c r="AF1252" s="111">
        <f>IF(AQ1252="2",BH1252,0)</f>
      </c>
      <c r="AG1252" s="111">
        <f>IF(AQ1252="2",BI1252,0)</f>
      </c>
      <c r="AH1252" s="111">
        <f>IF(AQ1252="0",BJ1252,0)</f>
      </c>
      <c r="AI1252" s="132" t="s">
        <v>84</v>
      </c>
      <c r="AJ1252" s="111">
        <f>IF(AN1252=0,I1252,0)</f>
      </c>
      <c r="AK1252" s="111">
        <f>IF(AN1252=12,I1252,0)</f>
      </c>
      <c r="AL1252" s="111">
        <f>IF(AN1252=21,I1252,0)</f>
      </c>
      <c r="AN1252" s="111" t="n">
        <v>21</v>
      </c>
      <c r="AO1252" s="111">
        <f>H1252*0.232563667</f>
      </c>
      <c r="AP1252" s="111">
        <f>H1252*(1-0.232563667)</f>
      </c>
      <c r="AQ1252" s="153" t="s">
        <v>173</v>
      </c>
      <c r="AV1252" s="111">
        <f>AW1252+AX1252</f>
      </c>
      <c r="AW1252" s="111">
        <f>G1252*AO1252</f>
      </c>
      <c r="AX1252" s="111">
        <f>G1252*AP1252</f>
      </c>
      <c r="AY1252" s="153" t="s">
        <v>2032</v>
      </c>
      <c r="AZ1252" s="153" t="s">
        <v>1999</v>
      </c>
      <c r="BA1252" s="132" t="s">
        <v>137</v>
      </c>
      <c r="BC1252" s="111">
        <f>AW1252+AX1252</f>
      </c>
      <c r="BD1252" s="111">
        <f>H1252/(100-BE1252)*100</f>
      </c>
      <c r="BE1252" s="111" t="n">
        <v>0</v>
      </c>
      <c r="BF1252" s="111">
        <f>1252</f>
      </c>
      <c r="BH1252" s="111">
        <f>G1252*AO1252</f>
      </c>
      <c r="BI1252" s="111">
        <f>G1252*AP1252</f>
      </c>
      <c r="BJ1252" s="111">
        <f>G1252*H1252</f>
      </c>
      <c r="BK1252" s="111"/>
      <c r="BL1252" s="111" t="n">
        <v>764</v>
      </c>
      <c r="BW1252" s="111" t="n">
        <v>21</v>
      </c>
      <c r="BX1252" s="14" t="s">
        <v>2047</v>
      </c>
    </row>
    <row r="1253" customHeight="true" ht="13.5">
      <c r="A1253" s="159"/>
      <c r="C1253" s="160" t="s">
        <v>146</v>
      </c>
      <c r="D1253" s="161" t="s">
        <v>2033</v>
      </c>
      <c r="E1253" s="156"/>
      <c r="F1253" s="156"/>
      <c r="G1253" s="156"/>
      <c r="H1253" s="156"/>
      <c r="I1253" s="156"/>
      <c r="J1253" s="156"/>
      <c r="K1253" s="163"/>
    </row>
    <row r="1254">
      <c r="A1254" s="154"/>
      <c r="B1254" s="155"/>
      <c r="C1254" s="155"/>
      <c r="D1254" s="156" t="s">
        <v>239</v>
      </c>
      <c r="E1254" s="156" t="s">
        <v>2048</v>
      </c>
      <c r="F1254" s="155"/>
      <c r="G1254" s="157" t="n">
        <v>19</v>
      </c>
      <c r="H1254" s="155"/>
      <c r="I1254" s="155"/>
      <c r="J1254" s="155"/>
      <c r="K1254" s="146"/>
    </row>
    <row r="1255">
      <c r="A1255" s="9" t="s">
        <v>2049</v>
      </c>
      <c r="B1255" s="10" t="s">
        <v>84</v>
      </c>
      <c r="C1255" s="10" t="s">
        <v>2050</v>
      </c>
      <c r="D1255" s="14" t="s">
        <v>2051</v>
      </c>
      <c r="E1255" s="10"/>
      <c r="F1255" s="10" t="s">
        <v>282</v>
      </c>
      <c r="G1255" s="111">
        <f>'Stavební rozpočet'!G1255</f>
      </c>
      <c r="H1255" s="111">
        <f>'Stavební rozpočet'!H1255</f>
      </c>
      <c r="I1255" s="111">
        <f>G1255*H1255</f>
      </c>
      <c r="J1255" s="153" t="s">
        <v>134</v>
      </c>
      <c r="K1255" s="146"/>
      <c r="Z1255" s="111">
        <f>IF(AQ1255="5",BJ1255,0)</f>
      </c>
      <c r="AB1255" s="111">
        <f>IF(AQ1255="1",BH1255,0)</f>
      </c>
      <c r="AC1255" s="111">
        <f>IF(AQ1255="1",BI1255,0)</f>
      </c>
      <c r="AD1255" s="111">
        <f>IF(AQ1255="7",BH1255,0)</f>
      </c>
      <c r="AE1255" s="111">
        <f>IF(AQ1255="7",BI1255,0)</f>
      </c>
      <c r="AF1255" s="111">
        <f>IF(AQ1255="2",BH1255,0)</f>
      </c>
      <c r="AG1255" s="111">
        <f>IF(AQ1255="2",BI1255,0)</f>
      </c>
      <c r="AH1255" s="111">
        <f>IF(AQ1255="0",BJ1255,0)</f>
      </c>
      <c r="AI1255" s="132" t="s">
        <v>84</v>
      </c>
      <c r="AJ1255" s="111">
        <f>IF(AN1255=0,I1255,0)</f>
      </c>
      <c r="AK1255" s="111">
        <f>IF(AN1255=12,I1255,0)</f>
      </c>
      <c r="AL1255" s="111">
        <f>IF(AN1255=21,I1255,0)</f>
      </c>
      <c r="AN1255" s="111" t="n">
        <v>21</v>
      </c>
      <c r="AO1255" s="111">
        <f>H1255*0.520152091</f>
      </c>
      <c r="AP1255" s="111">
        <f>H1255*(1-0.520152091)</f>
      </c>
      <c r="AQ1255" s="153" t="s">
        <v>173</v>
      </c>
      <c r="AV1255" s="111">
        <f>AW1255+AX1255</f>
      </c>
      <c r="AW1255" s="111">
        <f>G1255*AO1255</f>
      </c>
      <c r="AX1255" s="111">
        <f>G1255*AP1255</f>
      </c>
      <c r="AY1255" s="153" t="s">
        <v>2032</v>
      </c>
      <c r="AZ1255" s="153" t="s">
        <v>1999</v>
      </c>
      <c r="BA1255" s="132" t="s">
        <v>137</v>
      </c>
      <c r="BC1255" s="111">
        <f>AW1255+AX1255</f>
      </c>
      <c r="BD1255" s="111">
        <f>H1255/(100-BE1255)*100</f>
      </c>
      <c r="BE1255" s="111" t="n">
        <v>0</v>
      </c>
      <c r="BF1255" s="111">
        <f>1255</f>
      </c>
      <c r="BH1255" s="111">
        <f>G1255*AO1255</f>
      </c>
      <c r="BI1255" s="111">
        <f>G1255*AP1255</f>
      </c>
      <c r="BJ1255" s="111">
        <f>G1255*H1255</f>
      </c>
      <c r="BK1255" s="111"/>
      <c r="BL1255" s="111" t="n">
        <v>764</v>
      </c>
      <c r="BW1255" s="111" t="n">
        <v>21</v>
      </c>
      <c r="BX1255" s="14" t="s">
        <v>2051</v>
      </c>
    </row>
    <row r="1256" customHeight="true" ht="13.5">
      <c r="A1256" s="159"/>
      <c r="C1256" s="160" t="s">
        <v>146</v>
      </c>
      <c r="D1256" s="161" t="s">
        <v>2052</v>
      </c>
      <c r="E1256" s="156"/>
      <c r="F1256" s="156"/>
      <c r="G1256" s="156"/>
      <c r="H1256" s="156"/>
      <c r="I1256" s="156"/>
      <c r="J1256" s="156"/>
      <c r="K1256" s="163"/>
    </row>
    <row r="1257">
      <c r="A1257" s="154"/>
      <c r="B1257" s="155"/>
      <c r="C1257" s="155"/>
      <c r="D1257" s="156" t="s">
        <v>825</v>
      </c>
      <c r="E1257" s="156" t="s">
        <v>2053</v>
      </c>
      <c r="F1257" s="155"/>
      <c r="G1257" s="157" t="n">
        <v>104</v>
      </c>
      <c r="H1257" s="155"/>
      <c r="I1257" s="155"/>
      <c r="J1257" s="155"/>
      <c r="K1257" s="146"/>
    </row>
    <row r="1258">
      <c r="A1258" s="9" t="s">
        <v>2054</v>
      </c>
      <c r="B1258" s="10" t="s">
        <v>84</v>
      </c>
      <c r="C1258" s="10" t="s">
        <v>2055</v>
      </c>
      <c r="D1258" s="14" t="s">
        <v>2056</v>
      </c>
      <c r="E1258" s="10"/>
      <c r="F1258" s="10" t="s">
        <v>282</v>
      </c>
      <c r="G1258" s="111">
        <f>'Stavební rozpočet'!G1258</f>
      </c>
      <c r="H1258" s="111">
        <f>'Stavební rozpočet'!H1258</f>
      </c>
      <c r="I1258" s="111">
        <f>G1258*H1258</f>
      </c>
      <c r="J1258" s="153" t="s">
        <v>134</v>
      </c>
      <c r="K1258" s="146"/>
      <c r="Z1258" s="111">
        <f>IF(AQ1258="5",BJ1258,0)</f>
      </c>
      <c r="AB1258" s="111">
        <f>IF(AQ1258="1",BH1258,0)</f>
      </c>
      <c r="AC1258" s="111">
        <f>IF(AQ1258="1",BI1258,0)</f>
      </c>
      <c r="AD1258" s="111">
        <f>IF(AQ1258="7",BH1258,0)</f>
      </c>
      <c r="AE1258" s="111">
        <f>IF(AQ1258="7",BI1258,0)</f>
      </c>
      <c r="AF1258" s="111">
        <f>IF(AQ1258="2",BH1258,0)</f>
      </c>
      <c r="AG1258" s="111">
        <f>IF(AQ1258="2",BI1258,0)</f>
      </c>
      <c r="AH1258" s="111">
        <f>IF(AQ1258="0",BJ1258,0)</f>
      </c>
      <c r="AI1258" s="132" t="s">
        <v>84</v>
      </c>
      <c r="AJ1258" s="111">
        <f>IF(AN1258=0,I1258,0)</f>
      </c>
      <c r="AK1258" s="111">
        <f>IF(AN1258=12,I1258,0)</f>
      </c>
      <c r="AL1258" s="111">
        <f>IF(AN1258=21,I1258,0)</f>
      </c>
      <c r="AN1258" s="111" t="n">
        <v>21</v>
      </c>
      <c r="AO1258" s="111">
        <f>H1258*0.432377241</f>
      </c>
      <c r="AP1258" s="111">
        <f>H1258*(1-0.432377241)</f>
      </c>
      <c r="AQ1258" s="153" t="s">
        <v>173</v>
      </c>
      <c r="AV1258" s="111">
        <f>AW1258+AX1258</f>
      </c>
      <c r="AW1258" s="111">
        <f>G1258*AO1258</f>
      </c>
      <c r="AX1258" s="111">
        <f>G1258*AP1258</f>
      </c>
      <c r="AY1258" s="153" t="s">
        <v>2032</v>
      </c>
      <c r="AZ1258" s="153" t="s">
        <v>1999</v>
      </c>
      <c r="BA1258" s="132" t="s">
        <v>137</v>
      </c>
      <c r="BC1258" s="111">
        <f>AW1258+AX1258</f>
      </c>
      <c r="BD1258" s="111">
        <f>H1258/(100-BE1258)*100</f>
      </c>
      <c r="BE1258" s="111" t="n">
        <v>0</v>
      </c>
      <c r="BF1258" s="111">
        <f>1258</f>
      </c>
      <c r="BH1258" s="111">
        <f>G1258*AO1258</f>
      </c>
      <c r="BI1258" s="111">
        <f>G1258*AP1258</f>
      </c>
      <c r="BJ1258" s="111">
        <f>G1258*H1258</f>
      </c>
      <c r="BK1258" s="111"/>
      <c r="BL1258" s="111" t="n">
        <v>764</v>
      </c>
      <c r="BW1258" s="111" t="n">
        <v>21</v>
      </c>
      <c r="BX1258" s="14" t="s">
        <v>2056</v>
      </c>
    </row>
    <row r="1259" customHeight="true" ht="13.5">
      <c r="A1259" s="159"/>
      <c r="C1259" s="160" t="s">
        <v>146</v>
      </c>
      <c r="D1259" s="161" t="s">
        <v>2052</v>
      </c>
      <c r="E1259" s="156"/>
      <c r="F1259" s="156"/>
      <c r="G1259" s="156"/>
      <c r="H1259" s="156"/>
      <c r="I1259" s="156"/>
      <c r="J1259" s="156"/>
      <c r="K1259" s="163"/>
    </row>
    <row r="1260">
      <c r="A1260" s="154"/>
      <c r="B1260" s="155"/>
      <c r="C1260" s="155"/>
      <c r="D1260" s="156" t="s">
        <v>138</v>
      </c>
      <c r="E1260" s="156" t="s">
        <v>2057</v>
      </c>
      <c r="F1260" s="155"/>
      <c r="G1260" s="157" t="n">
        <v>3</v>
      </c>
      <c r="H1260" s="155"/>
      <c r="I1260" s="155"/>
      <c r="J1260" s="155"/>
      <c r="K1260" s="146"/>
    </row>
    <row r="1261">
      <c r="A1261" s="9" t="s">
        <v>2058</v>
      </c>
      <c r="B1261" s="10" t="s">
        <v>84</v>
      </c>
      <c r="C1261" s="10" t="s">
        <v>2059</v>
      </c>
      <c r="D1261" s="14" t="s">
        <v>2060</v>
      </c>
      <c r="E1261" s="10"/>
      <c r="F1261" s="10" t="s">
        <v>282</v>
      </c>
      <c r="G1261" s="111">
        <f>'Stavební rozpočet'!G1261</f>
      </c>
      <c r="H1261" s="111">
        <f>'Stavební rozpočet'!H1261</f>
      </c>
      <c r="I1261" s="111">
        <f>G1261*H1261</f>
      </c>
      <c r="J1261" s="153" t="s">
        <v>134</v>
      </c>
      <c r="K1261" s="146"/>
      <c r="Z1261" s="111">
        <f>IF(AQ1261="5",BJ1261,0)</f>
      </c>
      <c r="AB1261" s="111">
        <f>IF(AQ1261="1",BH1261,0)</f>
      </c>
      <c r="AC1261" s="111">
        <f>IF(AQ1261="1",BI1261,0)</f>
      </c>
      <c r="AD1261" s="111">
        <f>IF(AQ1261="7",BH1261,0)</f>
      </c>
      <c r="AE1261" s="111">
        <f>IF(AQ1261="7",BI1261,0)</f>
      </c>
      <c r="AF1261" s="111">
        <f>IF(AQ1261="2",BH1261,0)</f>
      </c>
      <c r="AG1261" s="111">
        <f>IF(AQ1261="2",BI1261,0)</f>
      </c>
      <c r="AH1261" s="111">
        <f>IF(AQ1261="0",BJ1261,0)</f>
      </c>
      <c r="AI1261" s="132" t="s">
        <v>84</v>
      </c>
      <c r="AJ1261" s="111">
        <f>IF(AN1261=0,I1261,0)</f>
      </c>
      <c r="AK1261" s="111">
        <f>IF(AN1261=12,I1261,0)</f>
      </c>
      <c r="AL1261" s="111">
        <f>IF(AN1261=21,I1261,0)</f>
      </c>
      <c r="AN1261" s="111" t="n">
        <v>21</v>
      </c>
      <c r="AO1261" s="111">
        <f>H1261*0.659733066</f>
      </c>
      <c r="AP1261" s="111">
        <f>H1261*(1-0.659733066)</f>
      </c>
      <c r="AQ1261" s="153" t="s">
        <v>173</v>
      </c>
      <c r="AV1261" s="111">
        <f>AW1261+AX1261</f>
      </c>
      <c r="AW1261" s="111">
        <f>G1261*AO1261</f>
      </c>
      <c r="AX1261" s="111">
        <f>G1261*AP1261</f>
      </c>
      <c r="AY1261" s="153" t="s">
        <v>2032</v>
      </c>
      <c r="AZ1261" s="153" t="s">
        <v>1999</v>
      </c>
      <c r="BA1261" s="132" t="s">
        <v>137</v>
      </c>
      <c r="BC1261" s="111">
        <f>AW1261+AX1261</f>
      </c>
      <c r="BD1261" s="111">
        <f>H1261/(100-BE1261)*100</f>
      </c>
      <c r="BE1261" s="111" t="n">
        <v>0</v>
      </c>
      <c r="BF1261" s="111">
        <f>1261</f>
      </c>
      <c r="BH1261" s="111">
        <f>G1261*AO1261</f>
      </c>
      <c r="BI1261" s="111">
        <f>G1261*AP1261</f>
      </c>
      <c r="BJ1261" s="111">
        <f>G1261*H1261</f>
      </c>
      <c r="BK1261" s="111"/>
      <c r="BL1261" s="111" t="n">
        <v>764</v>
      </c>
      <c r="BW1261" s="111" t="n">
        <v>21</v>
      </c>
      <c r="BX1261" s="14" t="s">
        <v>2060</v>
      </c>
    </row>
    <row r="1262" customHeight="true" ht="13.5">
      <c r="A1262" s="159"/>
      <c r="C1262" s="160" t="s">
        <v>146</v>
      </c>
      <c r="D1262" s="161" t="s">
        <v>2033</v>
      </c>
      <c r="E1262" s="156"/>
      <c r="F1262" s="156"/>
      <c r="G1262" s="156"/>
      <c r="H1262" s="156"/>
      <c r="I1262" s="156"/>
      <c r="J1262" s="156"/>
      <c r="K1262" s="163"/>
    </row>
    <row r="1263">
      <c r="A1263" s="154"/>
      <c r="B1263" s="155"/>
      <c r="C1263" s="155"/>
      <c r="D1263" s="156" t="s">
        <v>176</v>
      </c>
      <c r="E1263" s="156" t="s">
        <v>2061</v>
      </c>
      <c r="F1263" s="155"/>
      <c r="G1263" s="157" t="n">
        <v>8</v>
      </c>
      <c r="H1263" s="155"/>
      <c r="I1263" s="155"/>
      <c r="J1263" s="155"/>
      <c r="K1263" s="146"/>
    </row>
    <row r="1264">
      <c r="A1264" s="9" t="s">
        <v>2062</v>
      </c>
      <c r="B1264" s="10" t="s">
        <v>84</v>
      </c>
      <c r="C1264" s="10" t="s">
        <v>2063</v>
      </c>
      <c r="D1264" s="14" t="s">
        <v>2064</v>
      </c>
      <c r="E1264" s="10"/>
      <c r="F1264" s="10" t="s">
        <v>282</v>
      </c>
      <c r="G1264" s="111">
        <f>'Stavební rozpočet'!G1264</f>
      </c>
      <c r="H1264" s="111">
        <f>'Stavební rozpočet'!H1264</f>
      </c>
      <c r="I1264" s="111">
        <f>G1264*H1264</f>
      </c>
      <c r="J1264" s="153" t="s">
        <v>134</v>
      </c>
      <c r="K1264" s="146"/>
      <c r="Z1264" s="111">
        <f>IF(AQ1264="5",BJ1264,0)</f>
      </c>
      <c r="AB1264" s="111">
        <f>IF(AQ1264="1",BH1264,0)</f>
      </c>
      <c r="AC1264" s="111">
        <f>IF(AQ1264="1",BI1264,0)</f>
      </c>
      <c r="AD1264" s="111">
        <f>IF(AQ1264="7",BH1264,0)</f>
      </c>
      <c r="AE1264" s="111">
        <f>IF(AQ1264="7",BI1264,0)</f>
      </c>
      <c r="AF1264" s="111">
        <f>IF(AQ1264="2",BH1264,0)</f>
      </c>
      <c r="AG1264" s="111">
        <f>IF(AQ1264="2",BI1264,0)</f>
      </c>
      <c r="AH1264" s="111">
        <f>IF(AQ1264="0",BJ1264,0)</f>
      </c>
      <c r="AI1264" s="132" t="s">
        <v>84</v>
      </c>
      <c r="AJ1264" s="111">
        <f>IF(AN1264=0,I1264,0)</f>
      </c>
      <c r="AK1264" s="111">
        <f>IF(AN1264=12,I1264,0)</f>
      </c>
      <c r="AL1264" s="111">
        <f>IF(AN1264=21,I1264,0)</f>
      </c>
      <c r="AN1264" s="111" t="n">
        <v>21</v>
      </c>
      <c r="AO1264" s="111">
        <f>H1264*0.632285714</f>
      </c>
      <c r="AP1264" s="111">
        <f>H1264*(1-0.632285714)</f>
      </c>
      <c r="AQ1264" s="153" t="s">
        <v>173</v>
      </c>
      <c r="AV1264" s="111">
        <f>AW1264+AX1264</f>
      </c>
      <c r="AW1264" s="111">
        <f>G1264*AO1264</f>
      </c>
      <c r="AX1264" s="111">
        <f>G1264*AP1264</f>
      </c>
      <c r="AY1264" s="153" t="s">
        <v>2032</v>
      </c>
      <c r="AZ1264" s="153" t="s">
        <v>1999</v>
      </c>
      <c r="BA1264" s="132" t="s">
        <v>137</v>
      </c>
      <c r="BC1264" s="111">
        <f>AW1264+AX1264</f>
      </c>
      <c r="BD1264" s="111">
        <f>H1264/(100-BE1264)*100</f>
      </c>
      <c r="BE1264" s="111" t="n">
        <v>0</v>
      </c>
      <c r="BF1264" s="111">
        <f>1264</f>
      </c>
      <c r="BH1264" s="111">
        <f>G1264*AO1264</f>
      </c>
      <c r="BI1264" s="111">
        <f>G1264*AP1264</f>
      </c>
      <c r="BJ1264" s="111">
        <f>G1264*H1264</f>
      </c>
      <c r="BK1264" s="111"/>
      <c r="BL1264" s="111" t="n">
        <v>764</v>
      </c>
      <c r="BW1264" s="111" t="n">
        <v>21</v>
      </c>
      <c r="BX1264" s="14" t="s">
        <v>2064</v>
      </c>
    </row>
    <row r="1265" customHeight="true" ht="13.5">
      <c r="A1265" s="159"/>
      <c r="C1265" s="160" t="s">
        <v>146</v>
      </c>
      <c r="D1265" s="161" t="s">
        <v>2033</v>
      </c>
      <c r="E1265" s="156"/>
      <c r="F1265" s="156"/>
      <c r="G1265" s="156"/>
      <c r="H1265" s="156"/>
      <c r="I1265" s="156"/>
      <c r="J1265" s="156"/>
      <c r="K1265" s="163"/>
    </row>
    <row r="1266">
      <c r="A1266" s="154"/>
      <c r="B1266" s="155"/>
      <c r="C1266" s="155"/>
      <c r="D1266" s="156" t="s">
        <v>186</v>
      </c>
      <c r="E1266" s="156" t="s">
        <v>2065</v>
      </c>
      <c r="F1266" s="155"/>
      <c r="G1266" s="157" t="n">
        <v>10</v>
      </c>
      <c r="H1266" s="155"/>
      <c r="I1266" s="155"/>
      <c r="J1266" s="155"/>
      <c r="K1266" s="146"/>
    </row>
    <row r="1267">
      <c r="A1267" s="9" t="s">
        <v>2066</v>
      </c>
      <c r="B1267" s="10" t="s">
        <v>84</v>
      </c>
      <c r="C1267" s="10" t="s">
        <v>2067</v>
      </c>
      <c r="D1267" s="14" t="s">
        <v>2068</v>
      </c>
      <c r="E1267" s="10"/>
      <c r="F1267" s="10" t="s">
        <v>282</v>
      </c>
      <c r="G1267" s="111">
        <f>'Stavební rozpočet'!G1267</f>
      </c>
      <c r="H1267" s="111">
        <f>'Stavební rozpočet'!H1267</f>
      </c>
      <c r="I1267" s="111">
        <f>G1267*H1267</f>
      </c>
      <c r="J1267" s="153" t="s">
        <v>134</v>
      </c>
      <c r="K1267" s="146"/>
      <c r="Z1267" s="111">
        <f>IF(AQ1267="5",BJ1267,0)</f>
      </c>
      <c r="AB1267" s="111">
        <f>IF(AQ1267="1",BH1267,0)</f>
      </c>
      <c r="AC1267" s="111">
        <f>IF(AQ1267="1",BI1267,0)</f>
      </c>
      <c r="AD1267" s="111">
        <f>IF(AQ1267="7",BH1267,0)</f>
      </c>
      <c r="AE1267" s="111">
        <f>IF(AQ1267="7",BI1267,0)</f>
      </c>
      <c r="AF1267" s="111">
        <f>IF(AQ1267="2",BH1267,0)</f>
      </c>
      <c r="AG1267" s="111">
        <f>IF(AQ1267="2",BI1267,0)</f>
      </c>
      <c r="AH1267" s="111">
        <f>IF(AQ1267="0",BJ1267,0)</f>
      </c>
      <c r="AI1267" s="132" t="s">
        <v>84</v>
      </c>
      <c r="AJ1267" s="111">
        <f>IF(AN1267=0,I1267,0)</f>
      </c>
      <c r="AK1267" s="111">
        <f>IF(AN1267=12,I1267,0)</f>
      </c>
      <c r="AL1267" s="111">
        <f>IF(AN1267=21,I1267,0)</f>
      </c>
      <c r="AN1267" s="111" t="n">
        <v>21</v>
      </c>
      <c r="AO1267" s="111">
        <f>H1267*0.029949477</f>
      </c>
      <c r="AP1267" s="111">
        <f>H1267*(1-0.029949477)</f>
      </c>
      <c r="AQ1267" s="153" t="s">
        <v>173</v>
      </c>
      <c r="AV1267" s="111">
        <f>AW1267+AX1267</f>
      </c>
      <c r="AW1267" s="111">
        <f>G1267*AO1267</f>
      </c>
      <c r="AX1267" s="111">
        <f>G1267*AP1267</f>
      </c>
      <c r="AY1267" s="153" t="s">
        <v>2032</v>
      </c>
      <c r="AZ1267" s="153" t="s">
        <v>1999</v>
      </c>
      <c r="BA1267" s="132" t="s">
        <v>137</v>
      </c>
      <c r="BC1267" s="111">
        <f>AW1267+AX1267</f>
      </c>
      <c r="BD1267" s="111">
        <f>H1267/(100-BE1267)*100</f>
      </c>
      <c r="BE1267" s="111" t="n">
        <v>0</v>
      </c>
      <c r="BF1267" s="111">
        <f>1267</f>
      </c>
      <c r="BH1267" s="111">
        <f>G1267*AO1267</f>
      </c>
      <c r="BI1267" s="111">
        <f>G1267*AP1267</f>
      </c>
      <c r="BJ1267" s="111">
        <f>G1267*H1267</f>
      </c>
      <c r="BK1267" s="111"/>
      <c r="BL1267" s="111" t="n">
        <v>764</v>
      </c>
      <c r="BW1267" s="111" t="n">
        <v>21</v>
      </c>
      <c r="BX1267" s="14" t="s">
        <v>2068</v>
      </c>
    </row>
    <row r="1268">
      <c r="A1268" s="154"/>
      <c r="B1268" s="155"/>
      <c r="C1268" s="155"/>
      <c r="D1268" s="156" t="s">
        <v>149</v>
      </c>
      <c r="E1268" s="156" t="s">
        <v>2069</v>
      </c>
      <c r="F1268" s="155"/>
      <c r="G1268" s="157" t="n">
        <v>4</v>
      </c>
      <c r="H1268" s="155"/>
      <c r="I1268" s="155"/>
      <c r="J1268" s="155"/>
      <c r="K1268" s="146"/>
    </row>
    <row r="1269">
      <c r="A1269" s="9" t="s">
        <v>2070</v>
      </c>
      <c r="B1269" s="10" t="s">
        <v>84</v>
      </c>
      <c r="C1269" s="10" t="s">
        <v>2071</v>
      </c>
      <c r="D1269" s="14" t="s">
        <v>2072</v>
      </c>
      <c r="E1269" s="10"/>
      <c r="F1269" s="10" t="s">
        <v>133</v>
      </c>
      <c r="G1269" s="111">
        <f>'Stavební rozpočet'!G1269</f>
      </c>
      <c r="H1269" s="111">
        <f>'Stavební rozpočet'!H1269</f>
      </c>
      <c r="I1269" s="111">
        <f>G1269*H1269</f>
      </c>
      <c r="J1269" s="153" t="s">
        <v>134</v>
      </c>
      <c r="K1269" s="146"/>
      <c r="Z1269" s="111">
        <f>IF(AQ1269="5",BJ1269,0)</f>
      </c>
      <c r="AB1269" s="111">
        <f>IF(AQ1269="1",BH1269,0)</f>
      </c>
      <c r="AC1269" s="111">
        <f>IF(AQ1269="1",BI1269,0)</f>
      </c>
      <c r="AD1269" s="111">
        <f>IF(AQ1269="7",BH1269,0)</f>
      </c>
      <c r="AE1269" s="111">
        <f>IF(AQ1269="7",BI1269,0)</f>
      </c>
      <c r="AF1269" s="111">
        <f>IF(AQ1269="2",BH1269,0)</f>
      </c>
      <c r="AG1269" s="111">
        <f>IF(AQ1269="2",BI1269,0)</f>
      </c>
      <c r="AH1269" s="111">
        <f>IF(AQ1269="0",BJ1269,0)</f>
      </c>
      <c r="AI1269" s="132" t="s">
        <v>84</v>
      </c>
      <c r="AJ1269" s="111">
        <f>IF(AN1269=0,I1269,0)</f>
      </c>
      <c r="AK1269" s="111">
        <f>IF(AN1269=12,I1269,0)</f>
      </c>
      <c r="AL1269" s="111">
        <f>IF(AN1269=21,I1269,0)</f>
      </c>
      <c r="AN1269" s="111" t="n">
        <v>21</v>
      </c>
      <c r="AO1269" s="111">
        <f>H1269*0.029949477</f>
      </c>
      <c r="AP1269" s="111">
        <f>H1269*(1-0.029949477)</f>
      </c>
      <c r="AQ1269" s="153" t="s">
        <v>173</v>
      </c>
      <c r="AV1269" s="111">
        <f>AW1269+AX1269</f>
      </c>
      <c r="AW1269" s="111">
        <f>G1269*AO1269</f>
      </c>
      <c r="AX1269" s="111">
        <f>G1269*AP1269</f>
      </c>
      <c r="AY1269" s="153" t="s">
        <v>2032</v>
      </c>
      <c r="AZ1269" s="153" t="s">
        <v>1999</v>
      </c>
      <c r="BA1269" s="132" t="s">
        <v>137</v>
      </c>
      <c r="BC1269" s="111">
        <f>AW1269+AX1269</f>
      </c>
      <c r="BD1269" s="111">
        <f>H1269/(100-BE1269)*100</f>
      </c>
      <c r="BE1269" s="111" t="n">
        <v>0</v>
      </c>
      <c r="BF1269" s="111">
        <f>1269</f>
      </c>
      <c r="BH1269" s="111">
        <f>G1269*AO1269</f>
      </c>
      <c r="BI1269" s="111">
        <f>G1269*AP1269</f>
      </c>
      <c r="BJ1269" s="111">
        <f>G1269*H1269</f>
      </c>
      <c r="BK1269" s="111"/>
      <c r="BL1269" s="111" t="n">
        <v>764</v>
      </c>
      <c r="BW1269" s="111" t="n">
        <v>21</v>
      </c>
      <c r="BX1269" s="14" t="s">
        <v>2072</v>
      </c>
    </row>
    <row r="1270">
      <c r="A1270" s="154"/>
      <c r="B1270" s="155"/>
      <c r="C1270" s="155"/>
      <c r="D1270" s="156" t="s">
        <v>130</v>
      </c>
      <c r="E1270" s="156" t="s">
        <v>2069</v>
      </c>
      <c r="F1270" s="155"/>
      <c r="G1270" s="157" t="n">
        <v>1</v>
      </c>
      <c r="H1270" s="155"/>
      <c r="I1270" s="155"/>
      <c r="J1270" s="155"/>
      <c r="K1270" s="146"/>
    </row>
    <row r="1271">
      <c r="A1271" s="9" t="s">
        <v>2073</v>
      </c>
      <c r="B1271" s="10" t="s">
        <v>84</v>
      </c>
      <c r="C1271" s="10" t="s">
        <v>2074</v>
      </c>
      <c r="D1271" s="14" t="s">
        <v>2075</v>
      </c>
      <c r="E1271" s="10"/>
      <c r="F1271" s="10" t="s">
        <v>133</v>
      </c>
      <c r="G1271" s="111">
        <f>'Stavební rozpočet'!G1271</f>
      </c>
      <c r="H1271" s="111">
        <f>'Stavební rozpočet'!H1271</f>
      </c>
      <c r="I1271" s="111">
        <f>G1271*H1271</f>
      </c>
      <c r="J1271" s="153" t="s">
        <v>134</v>
      </c>
      <c r="K1271" s="146"/>
      <c r="Z1271" s="111">
        <f>IF(AQ1271="5",BJ1271,0)</f>
      </c>
      <c r="AB1271" s="111">
        <f>IF(AQ1271="1",BH1271,0)</f>
      </c>
      <c r="AC1271" s="111">
        <f>IF(AQ1271="1",BI1271,0)</f>
      </c>
      <c r="AD1271" s="111">
        <f>IF(AQ1271="7",BH1271,0)</f>
      </c>
      <c r="AE1271" s="111">
        <f>IF(AQ1271="7",BI1271,0)</f>
      </c>
      <c r="AF1271" s="111">
        <f>IF(AQ1271="2",BH1271,0)</f>
      </c>
      <c r="AG1271" s="111">
        <f>IF(AQ1271="2",BI1271,0)</f>
      </c>
      <c r="AH1271" s="111">
        <f>IF(AQ1271="0",BJ1271,0)</f>
      </c>
      <c r="AI1271" s="132" t="s">
        <v>84</v>
      </c>
      <c r="AJ1271" s="111">
        <f>IF(AN1271=0,I1271,0)</f>
      </c>
      <c r="AK1271" s="111">
        <f>IF(AN1271=12,I1271,0)</f>
      </c>
      <c r="AL1271" s="111">
        <f>IF(AN1271=21,I1271,0)</f>
      </c>
      <c r="AN1271" s="111" t="n">
        <v>21</v>
      </c>
      <c r="AO1271" s="111">
        <f>H1271*0.031043284</f>
      </c>
      <c r="AP1271" s="111">
        <f>H1271*(1-0.031043284)</f>
      </c>
      <c r="AQ1271" s="153" t="s">
        <v>173</v>
      </c>
      <c r="AV1271" s="111">
        <f>AW1271+AX1271</f>
      </c>
      <c r="AW1271" s="111">
        <f>G1271*AO1271</f>
      </c>
      <c r="AX1271" s="111">
        <f>G1271*AP1271</f>
      </c>
      <c r="AY1271" s="153" t="s">
        <v>2032</v>
      </c>
      <c r="AZ1271" s="153" t="s">
        <v>1999</v>
      </c>
      <c r="BA1271" s="132" t="s">
        <v>137</v>
      </c>
      <c r="BC1271" s="111">
        <f>AW1271+AX1271</f>
      </c>
      <c r="BD1271" s="111">
        <f>H1271/(100-BE1271)*100</f>
      </c>
      <c r="BE1271" s="111" t="n">
        <v>0</v>
      </c>
      <c r="BF1271" s="111">
        <f>1271</f>
      </c>
      <c r="BH1271" s="111">
        <f>G1271*AO1271</f>
      </c>
      <c r="BI1271" s="111">
        <f>G1271*AP1271</f>
      </c>
      <c r="BJ1271" s="111">
        <f>G1271*H1271</f>
      </c>
      <c r="BK1271" s="111"/>
      <c r="BL1271" s="111" t="n">
        <v>764</v>
      </c>
      <c r="BW1271" s="111" t="n">
        <v>21</v>
      </c>
      <c r="BX1271" s="14" t="s">
        <v>2075</v>
      </c>
    </row>
    <row r="1272">
      <c r="A1272" s="154"/>
      <c r="B1272" s="155"/>
      <c r="C1272" s="155"/>
      <c r="D1272" s="156" t="s">
        <v>140</v>
      </c>
      <c r="E1272" s="156" t="s">
        <v>2069</v>
      </c>
      <c r="F1272" s="155"/>
      <c r="G1272" s="157" t="n">
        <v>2</v>
      </c>
      <c r="H1272" s="155"/>
      <c r="I1272" s="155"/>
      <c r="J1272" s="155"/>
      <c r="K1272" s="146"/>
    </row>
    <row r="1273">
      <c r="A1273" s="9" t="s">
        <v>2076</v>
      </c>
      <c r="B1273" s="10" t="s">
        <v>84</v>
      </c>
      <c r="C1273" s="10" t="s">
        <v>2077</v>
      </c>
      <c r="D1273" s="14" t="s">
        <v>2078</v>
      </c>
      <c r="E1273" s="10"/>
      <c r="F1273" s="10" t="s">
        <v>282</v>
      </c>
      <c r="G1273" s="111">
        <f>'Stavební rozpočet'!G1273</f>
      </c>
      <c r="H1273" s="111">
        <f>'Stavební rozpočet'!H1273</f>
      </c>
      <c r="I1273" s="111">
        <f>G1273*H1273</f>
      </c>
      <c r="J1273" s="153" t="s">
        <v>134</v>
      </c>
      <c r="K1273" s="146"/>
      <c r="Z1273" s="111">
        <f>IF(AQ1273="5",BJ1273,0)</f>
      </c>
      <c r="AB1273" s="111">
        <f>IF(AQ1273="1",BH1273,0)</f>
      </c>
      <c r="AC1273" s="111">
        <f>IF(AQ1273="1",BI1273,0)</f>
      </c>
      <c r="AD1273" s="111">
        <f>IF(AQ1273="7",BH1273,0)</f>
      </c>
      <c r="AE1273" s="111">
        <f>IF(AQ1273="7",BI1273,0)</f>
      </c>
      <c r="AF1273" s="111">
        <f>IF(AQ1273="2",BH1273,0)</f>
      </c>
      <c r="AG1273" s="111">
        <f>IF(AQ1273="2",BI1273,0)</f>
      </c>
      <c r="AH1273" s="111">
        <f>IF(AQ1273="0",BJ1273,0)</f>
      </c>
      <c r="AI1273" s="132" t="s">
        <v>84</v>
      </c>
      <c r="AJ1273" s="111">
        <f>IF(AN1273=0,I1273,0)</f>
      </c>
      <c r="AK1273" s="111">
        <f>IF(AN1273=12,I1273,0)</f>
      </c>
      <c r="AL1273" s="111">
        <f>IF(AN1273=21,I1273,0)</f>
      </c>
      <c r="AN1273" s="111" t="n">
        <v>21</v>
      </c>
      <c r="AO1273" s="111">
        <f>H1273*0.37096343</f>
      </c>
      <c r="AP1273" s="111">
        <f>H1273*(1-0.37096343)</f>
      </c>
      <c r="AQ1273" s="153" t="s">
        <v>173</v>
      </c>
      <c r="AV1273" s="111">
        <f>AW1273+AX1273</f>
      </c>
      <c r="AW1273" s="111">
        <f>G1273*AO1273</f>
      </c>
      <c r="AX1273" s="111">
        <f>G1273*AP1273</f>
      </c>
      <c r="AY1273" s="153" t="s">
        <v>2032</v>
      </c>
      <c r="AZ1273" s="153" t="s">
        <v>1999</v>
      </c>
      <c r="BA1273" s="132" t="s">
        <v>137</v>
      </c>
      <c r="BC1273" s="111">
        <f>AW1273+AX1273</f>
      </c>
      <c r="BD1273" s="111">
        <f>H1273/(100-BE1273)*100</f>
      </c>
      <c r="BE1273" s="111" t="n">
        <v>0</v>
      </c>
      <c r="BF1273" s="111">
        <f>1273</f>
      </c>
      <c r="BH1273" s="111">
        <f>G1273*AO1273</f>
      </c>
      <c r="BI1273" s="111">
        <f>G1273*AP1273</f>
      </c>
      <c r="BJ1273" s="111">
        <f>G1273*H1273</f>
      </c>
      <c r="BK1273" s="111"/>
      <c r="BL1273" s="111" t="n">
        <v>764</v>
      </c>
      <c r="BW1273" s="111" t="n">
        <v>21</v>
      </c>
      <c r="BX1273" s="14" t="s">
        <v>2078</v>
      </c>
    </row>
    <row r="1274" customHeight="true" ht="13.5">
      <c r="A1274" s="159"/>
      <c r="C1274" s="160" t="s">
        <v>146</v>
      </c>
      <c r="D1274" s="161" t="s">
        <v>2079</v>
      </c>
      <c r="E1274" s="156"/>
      <c r="F1274" s="156"/>
      <c r="G1274" s="156"/>
      <c r="H1274" s="156"/>
      <c r="I1274" s="156"/>
      <c r="J1274" s="156"/>
      <c r="K1274" s="163"/>
    </row>
    <row r="1275">
      <c r="A1275" s="154"/>
      <c r="B1275" s="155"/>
      <c r="C1275" s="155"/>
      <c r="D1275" s="156" t="s">
        <v>149</v>
      </c>
      <c r="E1275" s="156" t="s">
        <v>2080</v>
      </c>
      <c r="F1275" s="155"/>
      <c r="G1275" s="157" t="n">
        <v>4</v>
      </c>
      <c r="H1275" s="155"/>
      <c r="I1275" s="155"/>
      <c r="J1275" s="155"/>
      <c r="K1275" s="146"/>
    </row>
    <row r="1276">
      <c r="A1276" s="9" t="s">
        <v>2081</v>
      </c>
      <c r="B1276" s="10" t="s">
        <v>84</v>
      </c>
      <c r="C1276" s="10" t="s">
        <v>2082</v>
      </c>
      <c r="D1276" s="14" t="s">
        <v>2083</v>
      </c>
      <c r="E1276" s="10"/>
      <c r="F1276" s="10" t="s">
        <v>282</v>
      </c>
      <c r="G1276" s="111">
        <f>'Stavební rozpočet'!G1276</f>
      </c>
      <c r="H1276" s="111">
        <f>'Stavební rozpočet'!H1276</f>
      </c>
      <c r="I1276" s="111">
        <f>G1276*H1276</f>
      </c>
      <c r="J1276" s="153" t="s">
        <v>134</v>
      </c>
      <c r="K1276" s="146"/>
      <c r="Z1276" s="111">
        <f>IF(AQ1276="5",BJ1276,0)</f>
      </c>
      <c r="AB1276" s="111">
        <f>IF(AQ1276="1",BH1276,0)</f>
      </c>
      <c r="AC1276" s="111">
        <f>IF(AQ1276="1",BI1276,0)</f>
      </c>
      <c r="AD1276" s="111">
        <f>IF(AQ1276="7",BH1276,0)</f>
      </c>
      <c r="AE1276" s="111">
        <f>IF(AQ1276="7",BI1276,0)</f>
      </c>
      <c r="AF1276" s="111">
        <f>IF(AQ1276="2",BH1276,0)</f>
      </c>
      <c r="AG1276" s="111">
        <f>IF(AQ1276="2",BI1276,0)</f>
      </c>
      <c r="AH1276" s="111">
        <f>IF(AQ1276="0",BJ1276,0)</f>
      </c>
      <c r="AI1276" s="132" t="s">
        <v>84</v>
      </c>
      <c r="AJ1276" s="111">
        <f>IF(AN1276=0,I1276,0)</f>
      </c>
      <c r="AK1276" s="111">
        <f>IF(AN1276=12,I1276,0)</f>
      </c>
      <c r="AL1276" s="111">
        <f>IF(AN1276=21,I1276,0)</f>
      </c>
      <c r="AN1276" s="111" t="n">
        <v>21</v>
      </c>
      <c r="AO1276" s="111">
        <f>H1276*0.355427342</f>
      </c>
      <c r="AP1276" s="111">
        <f>H1276*(1-0.355427342)</f>
      </c>
      <c r="AQ1276" s="153" t="s">
        <v>173</v>
      </c>
      <c r="AV1276" s="111">
        <f>AW1276+AX1276</f>
      </c>
      <c r="AW1276" s="111">
        <f>G1276*AO1276</f>
      </c>
      <c r="AX1276" s="111">
        <f>G1276*AP1276</f>
      </c>
      <c r="AY1276" s="153" t="s">
        <v>2032</v>
      </c>
      <c r="AZ1276" s="153" t="s">
        <v>1999</v>
      </c>
      <c r="BA1276" s="132" t="s">
        <v>137</v>
      </c>
      <c r="BC1276" s="111">
        <f>AW1276+AX1276</f>
      </c>
      <c r="BD1276" s="111">
        <f>H1276/(100-BE1276)*100</f>
      </c>
      <c r="BE1276" s="111" t="n">
        <v>0</v>
      </c>
      <c r="BF1276" s="111">
        <f>1276</f>
      </c>
      <c r="BH1276" s="111">
        <f>G1276*AO1276</f>
      </c>
      <c r="BI1276" s="111">
        <f>G1276*AP1276</f>
      </c>
      <c r="BJ1276" s="111">
        <f>G1276*H1276</f>
      </c>
      <c r="BK1276" s="111"/>
      <c r="BL1276" s="111" t="n">
        <v>764</v>
      </c>
      <c r="BW1276" s="111" t="n">
        <v>21</v>
      </c>
      <c r="BX1276" s="14" t="s">
        <v>2083</v>
      </c>
    </row>
    <row r="1277" customHeight="true" ht="13.5">
      <c r="A1277" s="159"/>
      <c r="C1277" s="160" t="s">
        <v>146</v>
      </c>
      <c r="D1277" s="161" t="s">
        <v>2084</v>
      </c>
      <c r="E1277" s="156"/>
      <c r="F1277" s="156"/>
      <c r="G1277" s="156"/>
      <c r="H1277" s="156"/>
      <c r="I1277" s="156"/>
      <c r="J1277" s="156"/>
      <c r="K1277" s="163"/>
    </row>
    <row r="1278">
      <c r="A1278" s="154"/>
      <c r="B1278" s="155"/>
      <c r="C1278" s="155"/>
      <c r="D1278" s="156" t="s">
        <v>2085</v>
      </c>
      <c r="E1278" s="156" t="s">
        <v>2086</v>
      </c>
      <c r="F1278" s="155"/>
      <c r="G1278" s="157" t="n">
        <v>66.4</v>
      </c>
      <c r="H1278" s="155"/>
      <c r="I1278" s="155"/>
      <c r="J1278" s="155"/>
      <c r="K1278" s="146"/>
    </row>
    <row r="1279">
      <c r="A1279" s="9" t="s">
        <v>2087</v>
      </c>
      <c r="B1279" s="10" t="s">
        <v>84</v>
      </c>
      <c r="C1279" s="10" t="s">
        <v>2088</v>
      </c>
      <c r="D1279" s="14" t="s">
        <v>2089</v>
      </c>
      <c r="E1279" s="10"/>
      <c r="F1279" s="10" t="s">
        <v>282</v>
      </c>
      <c r="G1279" s="111">
        <f>'Stavební rozpočet'!G1279</f>
      </c>
      <c r="H1279" s="111">
        <f>'Stavební rozpočet'!H1279</f>
      </c>
      <c r="I1279" s="111">
        <f>G1279*H1279</f>
      </c>
      <c r="J1279" s="153" t="s">
        <v>134</v>
      </c>
      <c r="K1279" s="146"/>
      <c r="Z1279" s="111">
        <f>IF(AQ1279="5",BJ1279,0)</f>
      </c>
      <c r="AB1279" s="111">
        <f>IF(AQ1279="1",BH1279,0)</f>
      </c>
      <c r="AC1279" s="111">
        <f>IF(AQ1279="1",BI1279,0)</f>
      </c>
      <c r="AD1279" s="111">
        <f>IF(AQ1279="7",BH1279,0)</f>
      </c>
      <c r="AE1279" s="111">
        <f>IF(AQ1279="7",BI1279,0)</f>
      </c>
      <c r="AF1279" s="111">
        <f>IF(AQ1279="2",BH1279,0)</f>
      </c>
      <c r="AG1279" s="111">
        <f>IF(AQ1279="2",BI1279,0)</f>
      </c>
      <c r="AH1279" s="111">
        <f>IF(AQ1279="0",BJ1279,0)</f>
      </c>
      <c r="AI1279" s="132" t="s">
        <v>84</v>
      </c>
      <c r="AJ1279" s="111">
        <f>IF(AN1279=0,I1279,0)</f>
      </c>
      <c r="AK1279" s="111">
        <f>IF(AN1279=12,I1279,0)</f>
      </c>
      <c r="AL1279" s="111">
        <f>IF(AN1279=21,I1279,0)</f>
      </c>
      <c r="AN1279" s="111" t="n">
        <v>21</v>
      </c>
      <c r="AO1279" s="111">
        <f>H1279*0.3124</f>
      </c>
      <c r="AP1279" s="111">
        <f>H1279*(1-0.3124)</f>
      </c>
      <c r="AQ1279" s="153" t="s">
        <v>173</v>
      </c>
      <c r="AV1279" s="111">
        <f>AW1279+AX1279</f>
      </c>
      <c r="AW1279" s="111">
        <f>G1279*AO1279</f>
      </c>
      <c r="AX1279" s="111">
        <f>G1279*AP1279</f>
      </c>
      <c r="AY1279" s="153" t="s">
        <v>2032</v>
      </c>
      <c r="AZ1279" s="153" t="s">
        <v>1999</v>
      </c>
      <c r="BA1279" s="132" t="s">
        <v>137</v>
      </c>
      <c r="BC1279" s="111">
        <f>AW1279+AX1279</f>
      </c>
      <c r="BD1279" s="111">
        <f>H1279/(100-BE1279)*100</f>
      </c>
      <c r="BE1279" s="111" t="n">
        <v>0</v>
      </c>
      <c r="BF1279" s="111">
        <f>1279</f>
      </c>
      <c r="BH1279" s="111">
        <f>G1279*AO1279</f>
      </c>
      <c r="BI1279" s="111">
        <f>G1279*AP1279</f>
      </c>
      <c r="BJ1279" s="111">
        <f>G1279*H1279</f>
      </c>
      <c r="BK1279" s="111"/>
      <c r="BL1279" s="111" t="n">
        <v>764</v>
      </c>
      <c r="BW1279" s="111" t="n">
        <v>21</v>
      </c>
      <c r="BX1279" s="14" t="s">
        <v>2089</v>
      </c>
    </row>
    <row r="1280" customHeight="true" ht="13.5">
      <c r="A1280" s="159"/>
      <c r="C1280" s="160" t="s">
        <v>146</v>
      </c>
      <c r="D1280" s="161" t="s">
        <v>2033</v>
      </c>
      <c r="E1280" s="156"/>
      <c r="F1280" s="156"/>
      <c r="G1280" s="156"/>
      <c r="H1280" s="156"/>
      <c r="I1280" s="156"/>
      <c r="J1280" s="156"/>
      <c r="K1280" s="163"/>
    </row>
    <row r="1281">
      <c r="A1281" s="154"/>
      <c r="B1281" s="155"/>
      <c r="C1281" s="155"/>
      <c r="D1281" s="156" t="s">
        <v>2090</v>
      </c>
      <c r="E1281" s="156" t="s">
        <v>2091</v>
      </c>
      <c r="F1281" s="155"/>
      <c r="G1281" s="157" t="n">
        <v>64.84</v>
      </c>
      <c r="H1281" s="155"/>
      <c r="I1281" s="155"/>
      <c r="J1281" s="155"/>
      <c r="K1281" s="146"/>
    </row>
    <row r="1282">
      <c r="A1282" s="154"/>
      <c r="B1282" s="155"/>
      <c r="C1282" s="155"/>
      <c r="D1282" s="156" t="s">
        <v>2092</v>
      </c>
      <c r="E1282" s="156" t="s">
        <v>2093</v>
      </c>
      <c r="F1282" s="155"/>
      <c r="G1282" s="157" t="n">
        <v>7.68</v>
      </c>
      <c r="H1282" s="155"/>
      <c r="I1282" s="155"/>
      <c r="J1282" s="155"/>
      <c r="K1282" s="146"/>
    </row>
    <row r="1283">
      <c r="A1283" s="154"/>
      <c r="B1283" s="155"/>
      <c r="C1283" s="155"/>
      <c r="D1283" s="156" t="s">
        <v>2094</v>
      </c>
      <c r="E1283" s="156" t="s">
        <v>2095</v>
      </c>
      <c r="F1283" s="155"/>
      <c r="G1283" s="157" t="n">
        <v>28.295</v>
      </c>
      <c r="H1283" s="155"/>
      <c r="I1283" s="155"/>
      <c r="J1283" s="155"/>
      <c r="K1283" s="146"/>
    </row>
    <row r="1284">
      <c r="A1284" s="154"/>
      <c r="B1284" s="155"/>
      <c r="C1284" s="155"/>
      <c r="D1284" s="156" t="s">
        <v>2096</v>
      </c>
      <c r="E1284" s="156" t="s">
        <v>2097</v>
      </c>
      <c r="F1284" s="155"/>
      <c r="G1284" s="157" t="n">
        <v>18.62</v>
      </c>
      <c r="H1284" s="155"/>
      <c r="I1284" s="155"/>
      <c r="J1284" s="155"/>
      <c r="K1284" s="146"/>
    </row>
    <row r="1285">
      <c r="A1285" s="9" t="s">
        <v>2098</v>
      </c>
      <c r="B1285" s="10" t="s">
        <v>84</v>
      </c>
      <c r="C1285" s="10" t="s">
        <v>1740</v>
      </c>
      <c r="D1285" s="14" t="s">
        <v>2099</v>
      </c>
      <c r="E1285" s="10"/>
      <c r="F1285" s="10" t="s">
        <v>133</v>
      </c>
      <c r="G1285" s="111">
        <f>'Stavební rozpočet'!G1285</f>
      </c>
      <c r="H1285" s="111">
        <f>'Stavební rozpočet'!H1285</f>
      </c>
      <c r="I1285" s="111">
        <f>G1285*H1285</f>
      </c>
      <c r="J1285" s="153" t="s">
        <v>134</v>
      </c>
      <c r="K1285" s="146"/>
      <c r="Z1285" s="111">
        <f>IF(AQ1285="5",BJ1285,0)</f>
      </c>
      <c r="AB1285" s="111">
        <f>IF(AQ1285="1",BH1285,0)</f>
      </c>
      <c r="AC1285" s="111">
        <f>IF(AQ1285="1",BI1285,0)</f>
      </c>
      <c r="AD1285" s="111">
        <f>IF(AQ1285="7",BH1285,0)</f>
      </c>
      <c r="AE1285" s="111">
        <f>IF(AQ1285="7",BI1285,0)</f>
      </c>
      <c r="AF1285" s="111">
        <f>IF(AQ1285="2",BH1285,0)</f>
      </c>
      <c r="AG1285" s="111">
        <f>IF(AQ1285="2",BI1285,0)</f>
      </c>
      <c r="AH1285" s="111">
        <f>IF(AQ1285="0",BJ1285,0)</f>
      </c>
      <c r="AI1285" s="132" t="s">
        <v>84</v>
      </c>
      <c r="AJ1285" s="111">
        <f>IF(AN1285=0,I1285,0)</f>
      </c>
      <c r="AK1285" s="111">
        <f>IF(AN1285=12,I1285,0)</f>
      </c>
      <c r="AL1285" s="111">
        <f>IF(AN1285=21,I1285,0)</f>
      </c>
      <c r="AN1285" s="111" t="n">
        <v>21</v>
      </c>
      <c r="AO1285" s="111">
        <f>H1285*0.771839135</f>
      </c>
      <c r="AP1285" s="111">
        <f>H1285*(1-0.771839135)</f>
      </c>
      <c r="AQ1285" s="153" t="s">
        <v>173</v>
      </c>
      <c r="AV1285" s="111">
        <f>AW1285+AX1285</f>
      </c>
      <c r="AW1285" s="111">
        <f>G1285*AO1285</f>
      </c>
      <c r="AX1285" s="111">
        <f>G1285*AP1285</f>
      </c>
      <c r="AY1285" s="153" t="s">
        <v>2032</v>
      </c>
      <c r="AZ1285" s="153" t="s">
        <v>1999</v>
      </c>
      <c r="BA1285" s="132" t="s">
        <v>137</v>
      </c>
      <c r="BC1285" s="111">
        <f>AW1285+AX1285</f>
      </c>
      <c r="BD1285" s="111">
        <f>H1285/(100-BE1285)*100</f>
      </c>
      <c r="BE1285" s="111" t="n">
        <v>0</v>
      </c>
      <c r="BF1285" s="111">
        <f>1285</f>
      </c>
      <c r="BH1285" s="111">
        <f>G1285*AO1285</f>
      </c>
      <c r="BI1285" s="111">
        <f>G1285*AP1285</f>
      </c>
      <c r="BJ1285" s="111">
        <f>G1285*H1285</f>
      </c>
      <c r="BK1285" s="111"/>
      <c r="BL1285" s="111" t="n">
        <v>764</v>
      </c>
      <c r="BW1285" s="111" t="n">
        <v>21</v>
      </c>
      <c r="BX1285" s="14" t="s">
        <v>2099</v>
      </c>
    </row>
    <row r="1286" customHeight="true" ht="13.5">
      <c r="A1286" s="159"/>
      <c r="C1286" s="160" t="s">
        <v>146</v>
      </c>
      <c r="D1286" s="161" t="s">
        <v>2100</v>
      </c>
      <c r="E1286" s="156"/>
      <c r="F1286" s="156"/>
      <c r="G1286" s="156"/>
      <c r="H1286" s="156"/>
      <c r="I1286" s="156"/>
      <c r="J1286" s="156"/>
      <c r="K1286" s="163"/>
    </row>
    <row r="1287">
      <c r="A1287" s="154"/>
      <c r="B1287" s="155"/>
      <c r="C1287" s="155"/>
      <c r="D1287" s="156" t="s">
        <v>130</v>
      </c>
      <c r="E1287" s="156" t="s">
        <v>1748</v>
      </c>
      <c r="F1287" s="155"/>
      <c r="G1287" s="157" t="n">
        <v>1</v>
      </c>
      <c r="H1287" s="155"/>
      <c r="I1287" s="155"/>
      <c r="J1287" s="155"/>
      <c r="K1287" s="146"/>
    </row>
    <row r="1288">
      <c r="A1288" s="154"/>
      <c r="B1288" s="155"/>
      <c r="C1288" s="155"/>
      <c r="D1288" s="156" t="s">
        <v>130</v>
      </c>
      <c r="E1288" s="156" t="s">
        <v>1749</v>
      </c>
      <c r="F1288" s="155"/>
      <c r="G1288" s="157" t="n">
        <v>1</v>
      </c>
      <c r="H1288" s="155"/>
      <c r="I1288" s="155"/>
      <c r="J1288" s="155"/>
      <c r="K1288" s="146"/>
    </row>
    <row r="1289">
      <c r="A1289" s="9" t="s">
        <v>2101</v>
      </c>
      <c r="B1289" s="10" t="s">
        <v>84</v>
      </c>
      <c r="C1289" s="10" t="s">
        <v>2102</v>
      </c>
      <c r="D1289" s="14" t="s">
        <v>2103</v>
      </c>
      <c r="E1289" s="10"/>
      <c r="F1289" s="10" t="s">
        <v>282</v>
      </c>
      <c r="G1289" s="111">
        <f>'Stavební rozpočet'!G1289</f>
      </c>
      <c r="H1289" s="111">
        <f>'Stavební rozpočet'!H1289</f>
      </c>
      <c r="I1289" s="111">
        <f>G1289*H1289</f>
      </c>
      <c r="J1289" s="153" t="s">
        <v>134</v>
      </c>
      <c r="K1289" s="146"/>
      <c r="Z1289" s="111">
        <f>IF(AQ1289="5",BJ1289,0)</f>
      </c>
      <c r="AB1289" s="111">
        <f>IF(AQ1289="1",BH1289,0)</f>
      </c>
      <c r="AC1289" s="111">
        <f>IF(AQ1289="1",BI1289,0)</f>
      </c>
      <c r="AD1289" s="111">
        <f>IF(AQ1289="7",BH1289,0)</f>
      </c>
      <c r="AE1289" s="111">
        <f>IF(AQ1289="7",BI1289,0)</f>
      </c>
      <c r="AF1289" s="111">
        <f>IF(AQ1289="2",BH1289,0)</f>
      </c>
      <c r="AG1289" s="111">
        <f>IF(AQ1289="2",BI1289,0)</f>
      </c>
      <c r="AH1289" s="111">
        <f>IF(AQ1289="0",BJ1289,0)</f>
      </c>
      <c r="AI1289" s="132" t="s">
        <v>84</v>
      </c>
      <c r="AJ1289" s="111">
        <f>IF(AN1289=0,I1289,0)</f>
      </c>
      <c r="AK1289" s="111">
        <f>IF(AN1289=12,I1289,0)</f>
      </c>
      <c r="AL1289" s="111">
        <f>IF(AN1289=21,I1289,0)</f>
      </c>
      <c r="AN1289" s="111" t="n">
        <v>21</v>
      </c>
      <c r="AO1289" s="111">
        <f>H1289*0.638176895</f>
      </c>
      <c r="AP1289" s="111">
        <f>H1289*(1-0.638176895)</f>
      </c>
      <c r="AQ1289" s="153" t="s">
        <v>173</v>
      </c>
      <c r="AV1289" s="111">
        <f>AW1289+AX1289</f>
      </c>
      <c r="AW1289" s="111">
        <f>G1289*AO1289</f>
      </c>
      <c r="AX1289" s="111">
        <f>G1289*AP1289</f>
      </c>
      <c r="AY1289" s="153" t="s">
        <v>2032</v>
      </c>
      <c r="AZ1289" s="153" t="s">
        <v>1999</v>
      </c>
      <c r="BA1289" s="132" t="s">
        <v>137</v>
      </c>
      <c r="BC1289" s="111">
        <f>AW1289+AX1289</f>
      </c>
      <c r="BD1289" s="111">
        <f>H1289/(100-BE1289)*100</f>
      </c>
      <c r="BE1289" s="111" t="n">
        <v>0</v>
      </c>
      <c r="BF1289" s="111">
        <f>1289</f>
      </c>
      <c r="BH1289" s="111">
        <f>G1289*AO1289</f>
      </c>
      <c r="BI1289" s="111">
        <f>G1289*AP1289</f>
      </c>
      <c r="BJ1289" s="111">
        <f>G1289*H1289</f>
      </c>
      <c r="BK1289" s="111"/>
      <c r="BL1289" s="111" t="n">
        <v>764</v>
      </c>
      <c r="BW1289" s="111" t="n">
        <v>21</v>
      </c>
      <c r="BX1289" s="14" t="s">
        <v>2103</v>
      </c>
    </row>
    <row r="1290" customHeight="true" ht="13.5">
      <c r="A1290" s="159"/>
      <c r="C1290" s="160" t="s">
        <v>146</v>
      </c>
      <c r="D1290" s="161" t="s">
        <v>2033</v>
      </c>
      <c r="E1290" s="156"/>
      <c r="F1290" s="156"/>
      <c r="G1290" s="156"/>
      <c r="H1290" s="156"/>
      <c r="I1290" s="156"/>
      <c r="J1290" s="156"/>
      <c r="K1290" s="163"/>
    </row>
    <row r="1291">
      <c r="A1291" s="154"/>
      <c r="B1291" s="155"/>
      <c r="C1291" s="155"/>
      <c r="D1291" s="156" t="s">
        <v>149</v>
      </c>
      <c r="E1291" s="156" t="s">
        <v>2104</v>
      </c>
      <c r="F1291" s="155"/>
      <c r="G1291" s="157" t="n">
        <v>4</v>
      </c>
      <c r="H1291" s="155"/>
      <c r="I1291" s="155"/>
      <c r="J1291" s="155"/>
      <c r="K1291" s="146"/>
    </row>
    <row r="1292">
      <c r="A1292" s="9" t="s">
        <v>2105</v>
      </c>
      <c r="B1292" s="10" t="s">
        <v>84</v>
      </c>
      <c r="C1292" s="10" t="s">
        <v>2106</v>
      </c>
      <c r="D1292" s="14" t="s">
        <v>2107</v>
      </c>
      <c r="E1292" s="10"/>
      <c r="F1292" s="10" t="s">
        <v>282</v>
      </c>
      <c r="G1292" s="111">
        <f>'Stavební rozpočet'!G1292</f>
      </c>
      <c r="H1292" s="111">
        <f>'Stavební rozpočet'!H1292</f>
      </c>
      <c r="I1292" s="111">
        <f>G1292*H1292</f>
      </c>
      <c r="J1292" s="153" t="s">
        <v>134</v>
      </c>
      <c r="K1292" s="146"/>
      <c r="Z1292" s="111">
        <f>IF(AQ1292="5",BJ1292,0)</f>
      </c>
      <c r="AB1292" s="111">
        <f>IF(AQ1292="1",BH1292,0)</f>
      </c>
      <c r="AC1292" s="111">
        <f>IF(AQ1292="1",BI1292,0)</f>
      </c>
      <c r="AD1292" s="111">
        <f>IF(AQ1292="7",BH1292,0)</f>
      </c>
      <c r="AE1292" s="111">
        <f>IF(AQ1292="7",BI1292,0)</f>
      </c>
      <c r="AF1292" s="111">
        <f>IF(AQ1292="2",BH1292,0)</f>
      </c>
      <c r="AG1292" s="111">
        <f>IF(AQ1292="2",BI1292,0)</f>
      </c>
      <c r="AH1292" s="111">
        <f>IF(AQ1292="0",BJ1292,0)</f>
      </c>
      <c r="AI1292" s="132" t="s">
        <v>84</v>
      </c>
      <c r="AJ1292" s="111">
        <f>IF(AN1292=0,I1292,0)</f>
      </c>
      <c r="AK1292" s="111">
        <f>IF(AN1292=12,I1292,0)</f>
      </c>
      <c r="AL1292" s="111">
        <f>IF(AN1292=21,I1292,0)</f>
      </c>
      <c r="AN1292" s="111" t="n">
        <v>21</v>
      </c>
      <c r="AO1292" s="111">
        <f>H1292*0.489880026</f>
      </c>
      <c r="AP1292" s="111">
        <f>H1292*(1-0.489880026)</f>
      </c>
      <c r="AQ1292" s="153" t="s">
        <v>173</v>
      </c>
      <c r="AV1292" s="111">
        <f>AW1292+AX1292</f>
      </c>
      <c r="AW1292" s="111">
        <f>G1292*AO1292</f>
      </c>
      <c r="AX1292" s="111">
        <f>G1292*AP1292</f>
      </c>
      <c r="AY1292" s="153" t="s">
        <v>2032</v>
      </c>
      <c r="AZ1292" s="153" t="s">
        <v>1999</v>
      </c>
      <c r="BA1292" s="132" t="s">
        <v>137</v>
      </c>
      <c r="BC1292" s="111">
        <f>AW1292+AX1292</f>
      </c>
      <c r="BD1292" s="111">
        <f>H1292/(100-BE1292)*100</f>
      </c>
      <c r="BE1292" s="111" t="n">
        <v>0</v>
      </c>
      <c r="BF1292" s="111">
        <f>1292</f>
      </c>
      <c r="BH1292" s="111">
        <f>G1292*AO1292</f>
      </c>
      <c r="BI1292" s="111">
        <f>G1292*AP1292</f>
      </c>
      <c r="BJ1292" s="111">
        <f>G1292*H1292</f>
      </c>
      <c r="BK1292" s="111"/>
      <c r="BL1292" s="111" t="n">
        <v>764</v>
      </c>
      <c r="BW1292" s="111" t="n">
        <v>21</v>
      </c>
      <c r="BX1292" s="14" t="s">
        <v>2107</v>
      </c>
    </row>
    <row r="1293" customHeight="true" ht="13.5">
      <c r="A1293" s="159"/>
      <c r="C1293" s="160" t="s">
        <v>146</v>
      </c>
      <c r="D1293" s="161" t="s">
        <v>2108</v>
      </c>
      <c r="E1293" s="156"/>
      <c r="F1293" s="156"/>
      <c r="G1293" s="156"/>
      <c r="H1293" s="156"/>
      <c r="I1293" s="156"/>
      <c r="J1293" s="156"/>
      <c r="K1293" s="163"/>
    </row>
    <row r="1294">
      <c r="A1294" s="154"/>
      <c r="B1294" s="155"/>
      <c r="C1294" s="155"/>
      <c r="D1294" s="156" t="s">
        <v>2109</v>
      </c>
      <c r="E1294" s="156" t="s">
        <v>1075</v>
      </c>
      <c r="F1294" s="155"/>
      <c r="G1294" s="157" t="n">
        <v>21.7</v>
      </c>
      <c r="H1294" s="155"/>
      <c r="I1294" s="155"/>
      <c r="J1294" s="155"/>
      <c r="K1294" s="146"/>
    </row>
    <row r="1295">
      <c r="A1295" s="9" t="s">
        <v>2110</v>
      </c>
      <c r="B1295" s="10" t="s">
        <v>84</v>
      </c>
      <c r="C1295" s="10" t="s">
        <v>2111</v>
      </c>
      <c r="D1295" s="14" t="s">
        <v>2112</v>
      </c>
      <c r="E1295" s="10"/>
      <c r="F1295" s="10" t="s">
        <v>145</v>
      </c>
      <c r="G1295" s="111">
        <f>'Stavební rozpočet'!G1295</f>
      </c>
      <c r="H1295" s="111">
        <f>'Stavební rozpočet'!H1295</f>
      </c>
      <c r="I1295" s="111">
        <f>G1295*H1295</f>
      </c>
      <c r="J1295" s="153" t="s">
        <v>134</v>
      </c>
      <c r="K1295" s="146"/>
      <c r="Z1295" s="111">
        <f>IF(AQ1295="5",BJ1295,0)</f>
      </c>
      <c r="AB1295" s="111">
        <f>IF(AQ1295="1",BH1295,0)</f>
      </c>
      <c r="AC1295" s="111">
        <f>IF(AQ1295="1",BI1295,0)</f>
      </c>
      <c r="AD1295" s="111">
        <f>IF(AQ1295="7",BH1295,0)</f>
      </c>
      <c r="AE1295" s="111">
        <f>IF(AQ1295="7",BI1295,0)</f>
      </c>
      <c r="AF1295" s="111">
        <f>IF(AQ1295="2",BH1295,0)</f>
      </c>
      <c r="AG1295" s="111">
        <f>IF(AQ1295="2",BI1295,0)</f>
      </c>
      <c r="AH1295" s="111">
        <f>IF(AQ1295="0",BJ1295,0)</f>
      </c>
      <c r="AI1295" s="132" t="s">
        <v>84</v>
      </c>
      <c r="AJ1295" s="111">
        <f>IF(AN1295=0,I1295,0)</f>
      </c>
      <c r="AK1295" s="111">
        <f>IF(AN1295=12,I1295,0)</f>
      </c>
      <c r="AL1295" s="111">
        <f>IF(AN1295=21,I1295,0)</f>
      </c>
      <c r="AN1295" s="111" t="n">
        <v>21</v>
      </c>
      <c r="AO1295" s="111">
        <f>H1295*0</f>
      </c>
      <c r="AP1295" s="111">
        <f>H1295*(1-0)</f>
      </c>
      <c r="AQ1295" s="153" t="s">
        <v>173</v>
      </c>
      <c r="AV1295" s="111">
        <f>AW1295+AX1295</f>
      </c>
      <c r="AW1295" s="111">
        <f>G1295*AO1295</f>
      </c>
      <c r="AX1295" s="111">
        <f>G1295*AP1295</f>
      </c>
      <c r="AY1295" s="153" t="s">
        <v>2032</v>
      </c>
      <c r="AZ1295" s="153" t="s">
        <v>1999</v>
      </c>
      <c r="BA1295" s="132" t="s">
        <v>137</v>
      </c>
      <c r="BC1295" s="111">
        <f>AW1295+AX1295</f>
      </c>
      <c r="BD1295" s="111">
        <f>H1295/(100-BE1295)*100</f>
      </c>
      <c r="BE1295" s="111" t="n">
        <v>0</v>
      </c>
      <c r="BF1295" s="111">
        <f>1295</f>
      </c>
      <c r="BH1295" s="111">
        <f>G1295*AO1295</f>
      </c>
      <c r="BI1295" s="111">
        <f>G1295*AP1295</f>
      </c>
      <c r="BJ1295" s="111">
        <f>G1295*H1295</f>
      </c>
      <c r="BK1295" s="111"/>
      <c r="BL1295" s="111" t="n">
        <v>764</v>
      </c>
      <c r="BW1295" s="111" t="n">
        <v>21</v>
      </c>
      <c r="BX1295" s="14" t="s">
        <v>2112</v>
      </c>
    </row>
    <row r="1296">
      <c r="A1296" s="154"/>
      <c r="B1296" s="155"/>
      <c r="C1296" s="155"/>
      <c r="D1296" s="156" t="s">
        <v>2113</v>
      </c>
      <c r="E1296" s="156" t="s">
        <v>2114</v>
      </c>
      <c r="F1296" s="155"/>
      <c r="G1296" s="157" t="n">
        <v>10.77745</v>
      </c>
      <c r="H1296" s="155"/>
      <c r="I1296" s="155"/>
      <c r="J1296" s="155"/>
      <c r="K1296" s="146"/>
    </row>
    <row r="1297">
      <c r="A1297" s="9" t="s">
        <v>2115</v>
      </c>
      <c r="B1297" s="10" t="s">
        <v>84</v>
      </c>
      <c r="C1297" s="10" t="s">
        <v>2116</v>
      </c>
      <c r="D1297" s="14" t="s">
        <v>2117</v>
      </c>
      <c r="E1297" s="10"/>
      <c r="F1297" s="10" t="s">
        <v>282</v>
      </c>
      <c r="G1297" s="111">
        <f>'Stavební rozpočet'!G1297</f>
      </c>
      <c r="H1297" s="111">
        <f>'Stavební rozpočet'!H1297</f>
      </c>
      <c r="I1297" s="111">
        <f>G1297*H1297</f>
      </c>
      <c r="J1297" s="153" t="s">
        <v>134</v>
      </c>
      <c r="K1297" s="146"/>
      <c r="Z1297" s="111">
        <f>IF(AQ1297="5",BJ1297,0)</f>
      </c>
      <c r="AB1297" s="111">
        <f>IF(AQ1297="1",BH1297,0)</f>
      </c>
      <c r="AC1297" s="111">
        <f>IF(AQ1297="1",BI1297,0)</f>
      </c>
      <c r="AD1297" s="111">
        <f>IF(AQ1297="7",BH1297,0)</f>
      </c>
      <c r="AE1297" s="111">
        <f>IF(AQ1297="7",BI1297,0)</f>
      </c>
      <c r="AF1297" s="111">
        <f>IF(AQ1297="2",BH1297,0)</f>
      </c>
      <c r="AG1297" s="111">
        <f>IF(AQ1297="2",BI1297,0)</f>
      </c>
      <c r="AH1297" s="111">
        <f>IF(AQ1297="0",BJ1297,0)</f>
      </c>
      <c r="AI1297" s="132" t="s">
        <v>84</v>
      </c>
      <c r="AJ1297" s="111">
        <f>IF(AN1297=0,I1297,0)</f>
      </c>
      <c r="AK1297" s="111">
        <f>IF(AN1297=12,I1297,0)</f>
      </c>
      <c r="AL1297" s="111">
        <f>IF(AN1297=21,I1297,0)</f>
      </c>
      <c r="AN1297" s="111" t="n">
        <v>21</v>
      </c>
      <c r="AO1297" s="111">
        <f>H1297*0</f>
      </c>
      <c r="AP1297" s="111">
        <f>H1297*(1-0)</f>
      </c>
      <c r="AQ1297" s="153" t="s">
        <v>173</v>
      </c>
      <c r="AV1297" s="111">
        <f>AW1297+AX1297</f>
      </c>
      <c r="AW1297" s="111">
        <f>G1297*AO1297</f>
      </c>
      <c r="AX1297" s="111">
        <f>G1297*AP1297</f>
      </c>
      <c r="AY1297" s="153" t="s">
        <v>2032</v>
      </c>
      <c r="AZ1297" s="153" t="s">
        <v>1999</v>
      </c>
      <c r="BA1297" s="132" t="s">
        <v>137</v>
      </c>
      <c r="BC1297" s="111">
        <f>AW1297+AX1297</f>
      </c>
      <c r="BD1297" s="111">
        <f>H1297/(100-BE1297)*100</f>
      </c>
      <c r="BE1297" s="111" t="n">
        <v>0</v>
      </c>
      <c r="BF1297" s="111">
        <f>1297</f>
      </c>
      <c r="BH1297" s="111">
        <f>G1297*AO1297</f>
      </c>
      <c r="BI1297" s="111">
        <f>G1297*AP1297</f>
      </c>
      <c r="BJ1297" s="111">
        <f>G1297*H1297</f>
      </c>
      <c r="BK1297" s="111"/>
      <c r="BL1297" s="111" t="n">
        <v>764</v>
      </c>
      <c r="BW1297" s="111" t="n">
        <v>21</v>
      </c>
      <c r="BX1297" s="14" t="s">
        <v>2117</v>
      </c>
    </row>
    <row r="1298">
      <c r="A1298" s="154"/>
      <c r="B1298" s="155"/>
      <c r="C1298" s="155"/>
      <c r="D1298" s="156" t="s">
        <v>2118</v>
      </c>
      <c r="E1298" s="156" t="s">
        <v>2119</v>
      </c>
      <c r="F1298" s="155"/>
      <c r="G1298" s="157" t="n">
        <v>4.91</v>
      </c>
      <c r="H1298" s="155"/>
      <c r="I1298" s="155"/>
      <c r="J1298" s="155"/>
      <c r="K1298" s="146"/>
    </row>
    <row r="1299">
      <c r="A1299" s="9" t="s">
        <v>2120</v>
      </c>
      <c r="B1299" s="10" t="s">
        <v>84</v>
      </c>
      <c r="C1299" s="10" t="s">
        <v>2121</v>
      </c>
      <c r="D1299" s="14" t="s">
        <v>2122</v>
      </c>
      <c r="E1299" s="10"/>
      <c r="F1299" s="10" t="s">
        <v>133</v>
      </c>
      <c r="G1299" s="111">
        <f>'Stavební rozpočet'!G1299</f>
      </c>
      <c r="H1299" s="111">
        <f>'Stavební rozpočet'!H1299</f>
      </c>
      <c r="I1299" s="111">
        <f>G1299*H1299</f>
      </c>
      <c r="J1299" s="153" t="s">
        <v>134</v>
      </c>
      <c r="K1299" s="146"/>
      <c r="Z1299" s="111">
        <f>IF(AQ1299="5",BJ1299,0)</f>
      </c>
      <c r="AB1299" s="111">
        <f>IF(AQ1299="1",BH1299,0)</f>
      </c>
      <c r="AC1299" s="111">
        <f>IF(AQ1299="1",BI1299,0)</f>
      </c>
      <c r="AD1299" s="111">
        <f>IF(AQ1299="7",BH1299,0)</f>
      </c>
      <c r="AE1299" s="111">
        <f>IF(AQ1299="7",BI1299,0)</f>
      </c>
      <c r="AF1299" s="111">
        <f>IF(AQ1299="2",BH1299,0)</f>
      </c>
      <c r="AG1299" s="111">
        <f>IF(AQ1299="2",BI1299,0)</f>
      </c>
      <c r="AH1299" s="111">
        <f>IF(AQ1299="0",BJ1299,0)</f>
      </c>
      <c r="AI1299" s="132" t="s">
        <v>84</v>
      </c>
      <c r="AJ1299" s="111">
        <f>IF(AN1299=0,I1299,0)</f>
      </c>
      <c r="AK1299" s="111">
        <f>IF(AN1299=12,I1299,0)</f>
      </c>
      <c r="AL1299" s="111">
        <f>IF(AN1299=21,I1299,0)</f>
      </c>
      <c r="AN1299" s="111" t="n">
        <v>21</v>
      </c>
      <c r="AO1299" s="111">
        <f>H1299*0</f>
      </c>
      <c r="AP1299" s="111">
        <f>H1299*(1-0)</f>
      </c>
      <c r="AQ1299" s="153" t="s">
        <v>173</v>
      </c>
      <c r="AV1299" s="111">
        <f>AW1299+AX1299</f>
      </c>
      <c r="AW1299" s="111">
        <f>G1299*AO1299</f>
      </c>
      <c r="AX1299" s="111">
        <f>G1299*AP1299</f>
      </c>
      <c r="AY1299" s="153" t="s">
        <v>2032</v>
      </c>
      <c r="AZ1299" s="153" t="s">
        <v>1999</v>
      </c>
      <c r="BA1299" s="132" t="s">
        <v>137</v>
      </c>
      <c r="BC1299" s="111">
        <f>AW1299+AX1299</f>
      </c>
      <c r="BD1299" s="111">
        <f>H1299/(100-BE1299)*100</f>
      </c>
      <c r="BE1299" s="111" t="n">
        <v>0</v>
      </c>
      <c r="BF1299" s="111">
        <f>1299</f>
      </c>
      <c r="BH1299" s="111">
        <f>G1299*AO1299</f>
      </c>
      <c r="BI1299" s="111">
        <f>G1299*AP1299</f>
      </c>
      <c r="BJ1299" s="111">
        <f>G1299*H1299</f>
      </c>
      <c r="BK1299" s="111"/>
      <c r="BL1299" s="111" t="n">
        <v>764</v>
      </c>
      <c r="BW1299" s="111" t="n">
        <v>21</v>
      </c>
      <c r="BX1299" s="14" t="s">
        <v>2122</v>
      </c>
    </row>
    <row r="1300">
      <c r="A1300" s="154"/>
      <c r="B1300" s="155"/>
      <c r="C1300" s="155"/>
      <c r="D1300" s="156" t="s">
        <v>165</v>
      </c>
      <c r="E1300" s="156" t="s">
        <v>2119</v>
      </c>
      <c r="F1300" s="155"/>
      <c r="G1300" s="157" t="n">
        <v>6</v>
      </c>
      <c r="H1300" s="155"/>
      <c r="I1300" s="155"/>
      <c r="J1300" s="155"/>
      <c r="K1300" s="146"/>
    </row>
    <row r="1301">
      <c r="A1301" s="9" t="s">
        <v>2123</v>
      </c>
      <c r="B1301" s="10" t="s">
        <v>84</v>
      </c>
      <c r="C1301" s="10" t="s">
        <v>2124</v>
      </c>
      <c r="D1301" s="14" t="s">
        <v>2125</v>
      </c>
      <c r="E1301" s="10"/>
      <c r="F1301" s="10" t="s">
        <v>282</v>
      </c>
      <c r="G1301" s="111">
        <f>'Stavební rozpočet'!G1301</f>
      </c>
      <c r="H1301" s="111">
        <f>'Stavební rozpočet'!H1301</f>
      </c>
      <c r="I1301" s="111">
        <f>G1301*H1301</f>
      </c>
      <c r="J1301" s="153" t="s">
        <v>134</v>
      </c>
      <c r="K1301" s="146"/>
      <c r="Z1301" s="111">
        <f>IF(AQ1301="5",BJ1301,0)</f>
      </c>
      <c r="AB1301" s="111">
        <f>IF(AQ1301="1",BH1301,0)</f>
      </c>
      <c r="AC1301" s="111">
        <f>IF(AQ1301="1",BI1301,0)</f>
      </c>
      <c r="AD1301" s="111">
        <f>IF(AQ1301="7",BH1301,0)</f>
      </c>
      <c r="AE1301" s="111">
        <f>IF(AQ1301="7",BI1301,0)</f>
      </c>
      <c r="AF1301" s="111">
        <f>IF(AQ1301="2",BH1301,0)</f>
      </c>
      <c r="AG1301" s="111">
        <f>IF(AQ1301="2",BI1301,0)</f>
      </c>
      <c r="AH1301" s="111">
        <f>IF(AQ1301="0",BJ1301,0)</f>
      </c>
      <c r="AI1301" s="132" t="s">
        <v>84</v>
      </c>
      <c r="AJ1301" s="111">
        <f>IF(AN1301=0,I1301,0)</f>
      </c>
      <c r="AK1301" s="111">
        <f>IF(AN1301=12,I1301,0)</f>
      </c>
      <c r="AL1301" s="111">
        <f>IF(AN1301=21,I1301,0)</f>
      </c>
      <c r="AN1301" s="111" t="n">
        <v>21</v>
      </c>
      <c r="AO1301" s="111">
        <f>H1301*0</f>
      </c>
      <c r="AP1301" s="111">
        <f>H1301*(1-0)</f>
      </c>
      <c r="AQ1301" s="153" t="s">
        <v>173</v>
      </c>
      <c r="AV1301" s="111">
        <f>AW1301+AX1301</f>
      </c>
      <c r="AW1301" s="111">
        <f>G1301*AO1301</f>
      </c>
      <c r="AX1301" s="111">
        <f>G1301*AP1301</f>
      </c>
      <c r="AY1301" s="153" t="s">
        <v>2032</v>
      </c>
      <c r="AZ1301" s="153" t="s">
        <v>1999</v>
      </c>
      <c r="BA1301" s="132" t="s">
        <v>137</v>
      </c>
      <c r="BC1301" s="111">
        <f>AW1301+AX1301</f>
      </c>
      <c r="BD1301" s="111">
        <f>H1301/(100-BE1301)*100</f>
      </c>
      <c r="BE1301" s="111" t="n">
        <v>0</v>
      </c>
      <c r="BF1301" s="111">
        <f>1301</f>
      </c>
      <c r="BH1301" s="111">
        <f>G1301*AO1301</f>
      </c>
      <c r="BI1301" s="111">
        <f>G1301*AP1301</f>
      </c>
      <c r="BJ1301" s="111">
        <f>G1301*H1301</f>
      </c>
      <c r="BK1301" s="111"/>
      <c r="BL1301" s="111" t="n">
        <v>764</v>
      </c>
      <c r="BW1301" s="111" t="n">
        <v>21</v>
      </c>
      <c r="BX1301" s="14" t="s">
        <v>2125</v>
      </c>
    </row>
    <row r="1302">
      <c r="A1302" s="154"/>
      <c r="B1302" s="155"/>
      <c r="C1302" s="155"/>
      <c r="D1302" s="156" t="s">
        <v>2126</v>
      </c>
      <c r="E1302" s="156" t="s">
        <v>2127</v>
      </c>
      <c r="F1302" s="155"/>
      <c r="G1302" s="157" t="n">
        <v>4.4</v>
      </c>
      <c r="H1302" s="155"/>
      <c r="I1302" s="155"/>
      <c r="J1302" s="155"/>
      <c r="K1302" s="146"/>
    </row>
    <row r="1303">
      <c r="A1303" s="9" t="s">
        <v>2128</v>
      </c>
      <c r="B1303" s="10" t="s">
        <v>84</v>
      </c>
      <c r="C1303" s="10" t="s">
        <v>2129</v>
      </c>
      <c r="D1303" s="14" t="s">
        <v>2130</v>
      </c>
      <c r="E1303" s="10"/>
      <c r="F1303" s="10" t="s">
        <v>282</v>
      </c>
      <c r="G1303" s="111">
        <f>'Stavební rozpočet'!G1303</f>
      </c>
      <c r="H1303" s="111">
        <f>'Stavební rozpočet'!H1303</f>
      </c>
      <c r="I1303" s="111">
        <f>G1303*H1303</f>
      </c>
      <c r="J1303" s="153" t="s">
        <v>134</v>
      </c>
      <c r="K1303" s="146"/>
      <c r="Z1303" s="111">
        <f>IF(AQ1303="5",BJ1303,0)</f>
      </c>
      <c r="AB1303" s="111">
        <f>IF(AQ1303="1",BH1303,0)</f>
      </c>
      <c r="AC1303" s="111">
        <f>IF(AQ1303="1",BI1303,0)</f>
      </c>
      <c r="AD1303" s="111">
        <f>IF(AQ1303="7",BH1303,0)</f>
      </c>
      <c r="AE1303" s="111">
        <f>IF(AQ1303="7",BI1303,0)</f>
      </c>
      <c r="AF1303" s="111">
        <f>IF(AQ1303="2",BH1303,0)</f>
      </c>
      <c r="AG1303" s="111">
        <f>IF(AQ1303="2",BI1303,0)</f>
      </c>
      <c r="AH1303" s="111">
        <f>IF(AQ1303="0",BJ1303,0)</f>
      </c>
      <c r="AI1303" s="132" t="s">
        <v>84</v>
      </c>
      <c r="AJ1303" s="111">
        <f>IF(AN1303=0,I1303,0)</f>
      </c>
      <c r="AK1303" s="111">
        <f>IF(AN1303=12,I1303,0)</f>
      </c>
      <c r="AL1303" s="111">
        <f>IF(AN1303=21,I1303,0)</f>
      </c>
      <c r="AN1303" s="111" t="n">
        <v>21</v>
      </c>
      <c r="AO1303" s="111">
        <f>H1303*0</f>
      </c>
      <c r="AP1303" s="111">
        <f>H1303*(1-0)</f>
      </c>
      <c r="AQ1303" s="153" t="s">
        <v>173</v>
      </c>
      <c r="AV1303" s="111">
        <f>AW1303+AX1303</f>
      </c>
      <c r="AW1303" s="111">
        <f>G1303*AO1303</f>
      </c>
      <c r="AX1303" s="111">
        <f>G1303*AP1303</f>
      </c>
      <c r="AY1303" s="153" t="s">
        <v>2032</v>
      </c>
      <c r="AZ1303" s="153" t="s">
        <v>1999</v>
      </c>
      <c r="BA1303" s="132" t="s">
        <v>137</v>
      </c>
      <c r="BC1303" s="111">
        <f>AW1303+AX1303</f>
      </c>
      <c r="BD1303" s="111">
        <f>H1303/(100-BE1303)*100</f>
      </c>
      <c r="BE1303" s="111" t="n">
        <v>0</v>
      </c>
      <c r="BF1303" s="111">
        <f>1303</f>
      </c>
      <c r="BH1303" s="111">
        <f>G1303*AO1303</f>
      </c>
      <c r="BI1303" s="111">
        <f>G1303*AP1303</f>
      </c>
      <c r="BJ1303" s="111">
        <f>G1303*H1303</f>
      </c>
      <c r="BK1303" s="111"/>
      <c r="BL1303" s="111" t="n">
        <v>764</v>
      </c>
      <c r="BW1303" s="111" t="n">
        <v>21</v>
      </c>
      <c r="BX1303" s="14" t="s">
        <v>2130</v>
      </c>
    </row>
    <row r="1304">
      <c r="A1304" s="154"/>
      <c r="B1304" s="155"/>
      <c r="C1304" s="155"/>
      <c r="D1304" s="156" t="s">
        <v>165</v>
      </c>
      <c r="E1304" s="156" t="s">
        <v>2131</v>
      </c>
      <c r="F1304" s="155"/>
      <c r="G1304" s="157" t="n">
        <v>6</v>
      </c>
      <c r="H1304" s="155"/>
      <c r="I1304" s="155"/>
      <c r="J1304" s="155"/>
      <c r="K1304" s="146"/>
    </row>
    <row r="1305">
      <c r="A1305" s="9" t="s">
        <v>2132</v>
      </c>
      <c r="B1305" s="10" t="s">
        <v>84</v>
      </c>
      <c r="C1305" s="10" t="s">
        <v>2133</v>
      </c>
      <c r="D1305" s="14" t="s">
        <v>2134</v>
      </c>
      <c r="E1305" s="10"/>
      <c r="F1305" s="10" t="s">
        <v>61</v>
      </c>
      <c r="G1305" s="111">
        <f>'Stavební rozpočet'!G1305</f>
      </c>
      <c r="H1305" s="111">
        <f>'Stavební rozpočet'!H1305</f>
      </c>
      <c r="I1305" s="111">
        <f>G1305*H1305</f>
      </c>
      <c r="J1305" s="153" t="s">
        <v>134</v>
      </c>
      <c r="K1305" s="146"/>
      <c r="Z1305" s="111">
        <f>IF(AQ1305="5",BJ1305,0)</f>
      </c>
      <c r="AB1305" s="111">
        <f>IF(AQ1305="1",BH1305,0)</f>
      </c>
      <c r="AC1305" s="111">
        <f>IF(AQ1305="1",BI1305,0)</f>
      </c>
      <c r="AD1305" s="111">
        <f>IF(AQ1305="7",BH1305,0)</f>
      </c>
      <c r="AE1305" s="111">
        <f>IF(AQ1305="7",BI1305,0)</f>
      </c>
      <c r="AF1305" s="111">
        <f>IF(AQ1305="2",BH1305,0)</f>
      </c>
      <c r="AG1305" s="111">
        <f>IF(AQ1305="2",BI1305,0)</f>
      </c>
      <c r="AH1305" s="111">
        <f>IF(AQ1305="0",BJ1305,0)</f>
      </c>
      <c r="AI1305" s="132" t="s">
        <v>84</v>
      </c>
      <c r="AJ1305" s="111">
        <f>IF(AN1305=0,I1305,0)</f>
      </c>
      <c r="AK1305" s="111">
        <f>IF(AN1305=12,I1305,0)</f>
      </c>
      <c r="AL1305" s="111">
        <f>IF(AN1305=21,I1305,0)</f>
      </c>
      <c r="AN1305" s="111" t="n">
        <v>21</v>
      </c>
      <c r="AO1305" s="111">
        <f>H1305*0</f>
      </c>
      <c r="AP1305" s="111">
        <f>H1305*(1-0)</f>
      </c>
      <c r="AQ1305" s="153" t="s">
        <v>156</v>
      </c>
      <c r="AV1305" s="111">
        <f>AW1305+AX1305</f>
      </c>
      <c r="AW1305" s="111">
        <f>G1305*AO1305</f>
      </c>
      <c r="AX1305" s="111">
        <f>G1305*AP1305</f>
      </c>
      <c r="AY1305" s="153" t="s">
        <v>2032</v>
      </c>
      <c r="AZ1305" s="153" t="s">
        <v>1999</v>
      </c>
      <c r="BA1305" s="132" t="s">
        <v>137</v>
      </c>
      <c r="BC1305" s="111">
        <f>AW1305+AX1305</f>
      </c>
      <c r="BD1305" s="111">
        <f>H1305/(100-BE1305)*100</f>
      </c>
      <c r="BE1305" s="111" t="n">
        <v>0</v>
      </c>
      <c r="BF1305" s="111">
        <f>1305</f>
      </c>
      <c r="BH1305" s="111">
        <f>G1305*AO1305</f>
      </c>
      <c r="BI1305" s="111">
        <f>G1305*AP1305</f>
      </c>
      <c r="BJ1305" s="111">
        <f>G1305*H1305</f>
      </c>
      <c r="BK1305" s="111"/>
      <c r="BL1305" s="111" t="n">
        <v>764</v>
      </c>
      <c r="BW1305" s="111" t="n">
        <v>21</v>
      </c>
      <c r="BX1305" s="14" t="s">
        <v>2134</v>
      </c>
    </row>
    <row r="1306">
      <c r="A1306" s="9" t="s">
        <v>2135</v>
      </c>
      <c r="B1306" s="10" t="s">
        <v>84</v>
      </c>
      <c r="C1306" s="10" t="s">
        <v>2136</v>
      </c>
      <c r="D1306" s="14" t="s">
        <v>2137</v>
      </c>
      <c r="E1306" s="10"/>
      <c r="F1306" s="10" t="s">
        <v>61</v>
      </c>
      <c r="G1306" s="111">
        <f>'Stavební rozpočet'!G1306</f>
      </c>
      <c r="H1306" s="111">
        <f>'Stavební rozpočet'!H1306</f>
      </c>
      <c r="I1306" s="111">
        <f>G1306*H1306</f>
      </c>
      <c r="J1306" s="153" t="s">
        <v>134</v>
      </c>
      <c r="K1306" s="146"/>
      <c r="Z1306" s="111">
        <f>IF(AQ1306="5",BJ1306,0)</f>
      </c>
      <c r="AB1306" s="111">
        <f>IF(AQ1306="1",BH1306,0)</f>
      </c>
      <c r="AC1306" s="111">
        <f>IF(AQ1306="1",BI1306,0)</f>
      </c>
      <c r="AD1306" s="111">
        <f>IF(AQ1306="7",BH1306,0)</f>
      </c>
      <c r="AE1306" s="111">
        <f>IF(AQ1306="7",BI1306,0)</f>
      </c>
      <c r="AF1306" s="111">
        <f>IF(AQ1306="2",BH1306,0)</f>
      </c>
      <c r="AG1306" s="111">
        <f>IF(AQ1306="2",BI1306,0)</f>
      </c>
      <c r="AH1306" s="111">
        <f>IF(AQ1306="0",BJ1306,0)</f>
      </c>
      <c r="AI1306" s="132" t="s">
        <v>84</v>
      </c>
      <c r="AJ1306" s="111">
        <f>IF(AN1306=0,I1306,0)</f>
      </c>
      <c r="AK1306" s="111">
        <f>IF(AN1306=12,I1306,0)</f>
      </c>
      <c r="AL1306" s="111">
        <f>IF(AN1306=21,I1306,0)</f>
      </c>
      <c r="AN1306" s="111" t="n">
        <v>21</v>
      </c>
      <c r="AO1306" s="111">
        <f>H1306*0</f>
      </c>
      <c r="AP1306" s="111">
        <f>H1306*(1-0)</f>
      </c>
      <c r="AQ1306" s="153" t="s">
        <v>156</v>
      </c>
      <c r="AV1306" s="111">
        <f>AW1306+AX1306</f>
      </c>
      <c r="AW1306" s="111">
        <f>G1306*AO1306</f>
      </c>
      <c r="AX1306" s="111">
        <f>G1306*AP1306</f>
      </c>
      <c r="AY1306" s="153" t="s">
        <v>2032</v>
      </c>
      <c r="AZ1306" s="153" t="s">
        <v>1999</v>
      </c>
      <c r="BA1306" s="132" t="s">
        <v>137</v>
      </c>
      <c r="BC1306" s="111">
        <f>AW1306+AX1306</f>
      </c>
      <c r="BD1306" s="111">
        <f>H1306/(100-BE1306)*100</f>
      </c>
      <c r="BE1306" s="111" t="n">
        <v>0</v>
      </c>
      <c r="BF1306" s="111">
        <f>1306</f>
      </c>
      <c r="BH1306" s="111">
        <f>G1306*AO1306</f>
      </c>
      <c r="BI1306" s="111">
        <f>G1306*AP1306</f>
      </c>
      <c r="BJ1306" s="111">
        <f>G1306*H1306</f>
      </c>
      <c r="BK1306" s="111"/>
      <c r="BL1306" s="111" t="n">
        <v>764</v>
      </c>
      <c r="BW1306" s="111" t="n">
        <v>21</v>
      </c>
      <c r="BX1306" s="14" t="s">
        <v>2137</v>
      </c>
    </row>
    <row r="1307">
      <c r="A1307" s="147" t="s">
        <v>4</v>
      </c>
      <c r="B1307" s="148" t="s">
        <v>84</v>
      </c>
      <c r="C1307" s="148" t="s">
        <v>2138</v>
      </c>
      <c r="D1307" s="149" t="s">
        <v>2139</v>
      </c>
      <c r="E1307" s="148"/>
      <c r="F1307" s="150" t="s">
        <v>79</v>
      </c>
      <c r="G1307" s="150" t="s">
        <v>79</v>
      </c>
      <c r="H1307" s="150" t="s">
        <v>79</v>
      </c>
      <c r="I1307" s="117">
        <f>SUM(I1308:I1387)</f>
      </c>
      <c r="J1307" s="132" t="s">
        <v>4</v>
      </c>
      <c r="K1307" s="146"/>
      <c r="AI1307" s="132" t="s">
        <v>84</v>
      </c>
      <c r="AS1307" s="117">
        <f>SUM(AJ1308:AJ1387)</f>
      </c>
      <c r="AT1307" s="117">
        <f>SUM(AK1308:AK1387)</f>
      </c>
      <c r="AU1307" s="117">
        <f>SUM(AL1308:AL1387)</f>
      </c>
    </row>
    <row r="1308">
      <c r="A1308" s="9" t="s">
        <v>2140</v>
      </c>
      <c r="B1308" s="10" t="s">
        <v>84</v>
      </c>
      <c r="C1308" s="10" t="s">
        <v>2141</v>
      </c>
      <c r="D1308" s="14" t="s">
        <v>2142</v>
      </c>
      <c r="E1308" s="10"/>
      <c r="F1308" s="10" t="s">
        <v>145</v>
      </c>
      <c r="G1308" s="111">
        <f>'Stavební rozpočet'!G1308</f>
      </c>
      <c r="H1308" s="111">
        <f>'Stavební rozpočet'!H1308</f>
      </c>
      <c r="I1308" s="111">
        <f>G1308*H1308</f>
      </c>
      <c r="J1308" s="153" t="s">
        <v>134</v>
      </c>
      <c r="K1308" s="146"/>
      <c r="Z1308" s="111">
        <f>IF(AQ1308="5",BJ1308,0)</f>
      </c>
      <c r="AB1308" s="111">
        <f>IF(AQ1308="1",BH1308,0)</f>
      </c>
      <c r="AC1308" s="111">
        <f>IF(AQ1308="1",BI1308,0)</f>
      </c>
      <c r="AD1308" s="111">
        <f>IF(AQ1308="7",BH1308,0)</f>
      </c>
      <c r="AE1308" s="111">
        <f>IF(AQ1308="7",BI1308,0)</f>
      </c>
      <c r="AF1308" s="111">
        <f>IF(AQ1308="2",BH1308,0)</f>
      </c>
      <c r="AG1308" s="111">
        <f>IF(AQ1308="2",BI1308,0)</f>
      </c>
      <c r="AH1308" s="111">
        <f>IF(AQ1308="0",BJ1308,0)</f>
      </c>
      <c r="AI1308" s="132" t="s">
        <v>84</v>
      </c>
      <c r="AJ1308" s="111">
        <f>IF(AN1308=0,I1308,0)</f>
      </c>
      <c r="AK1308" s="111">
        <f>IF(AN1308=12,I1308,0)</f>
      </c>
      <c r="AL1308" s="111">
        <f>IF(AN1308=21,I1308,0)</f>
      </c>
      <c r="AN1308" s="111" t="n">
        <v>21</v>
      </c>
      <c r="AO1308" s="111">
        <f>H1308*0.263227723</f>
      </c>
      <c r="AP1308" s="111">
        <f>H1308*(1-0.263227723)</f>
      </c>
      <c r="AQ1308" s="153" t="s">
        <v>173</v>
      </c>
      <c r="AV1308" s="111">
        <f>AW1308+AX1308</f>
      </c>
      <c r="AW1308" s="111">
        <f>G1308*AO1308</f>
      </c>
      <c r="AX1308" s="111">
        <f>G1308*AP1308</f>
      </c>
      <c r="AY1308" s="153" t="s">
        <v>2143</v>
      </c>
      <c r="AZ1308" s="153" t="s">
        <v>1999</v>
      </c>
      <c r="BA1308" s="132" t="s">
        <v>137</v>
      </c>
      <c r="BC1308" s="111">
        <f>AW1308+AX1308</f>
      </c>
      <c r="BD1308" s="111">
        <f>H1308/(100-BE1308)*100</f>
      </c>
      <c r="BE1308" s="111" t="n">
        <v>0</v>
      </c>
      <c r="BF1308" s="111">
        <f>1308</f>
      </c>
      <c r="BH1308" s="111">
        <f>G1308*AO1308</f>
      </c>
      <c r="BI1308" s="111">
        <f>G1308*AP1308</f>
      </c>
      <c r="BJ1308" s="111">
        <f>G1308*H1308</f>
      </c>
      <c r="BK1308" s="111"/>
      <c r="BL1308" s="111" t="n">
        <v>766</v>
      </c>
      <c r="BW1308" s="111" t="n">
        <v>21</v>
      </c>
      <c r="BX1308" s="14" t="s">
        <v>2142</v>
      </c>
    </row>
    <row r="1309">
      <c r="A1309" s="9" t="s">
        <v>2144</v>
      </c>
      <c r="B1309" s="10" t="s">
        <v>84</v>
      </c>
      <c r="C1309" s="10" t="s">
        <v>2145</v>
      </c>
      <c r="D1309" s="14" t="s">
        <v>2146</v>
      </c>
      <c r="E1309" s="10"/>
      <c r="F1309" s="10" t="s">
        <v>133</v>
      </c>
      <c r="G1309" s="111">
        <f>'Stavební rozpočet'!G1309</f>
      </c>
      <c r="H1309" s="111">
        <f>'Stavební rozpočet'!H1309</f>
      </c>
      <c r="I1309" s="111">
        <f>G1309*H1309</f>
      </c>
      <c r="J1309" s="153" t="s">
        <v>134</v>
      </c>
      <c r="K1309" s="146"/>
      <c r="Z1309" s="111">
        <f>IF(AQ1309="5",BJ1309,0)</f>
      </c>
      <c r="AB1309" s="111">
        <f>IF(AQ1309="1",BH1309,0)</f>
      </c>
      <c r="AC1309" s="111">
        <f>IF(AQ1309="1",BI1309,0)</f>
      </c>
      <c r="AD1309" s="111">
        <f>IF(AQ1309="7",BH1309,0)</f>
      </c>
      <c r="AE1309" s="111">
        <f>IF(AQ1309="7",BI1309,0)</f>
      </c>
      <c r="AF1309" s="111">
        <f>IF(AQ1309="2",BH1309,0)</f>
      </c>
      <c r="AG1309" s="111">
        <f>IF(AQ1309="2",BI1309,0)</f>
      </c>
      <c r="AH1309" s="111">
        <f>IF(AQ1309="0",BJ1309,0)</f>
      </c>
      <c r="AI1309" s="132" t="s">
        <v>84</v>
      </c>
      <c r="AJ1309" s="111">
        <f>IF(AN1309=0,I1309,0)</f>
      </c>
      <c r="AK1309" s="111">
        <f>IF(AN1309=12,I1309,0)</f>
      </c>
      <c r="AL1309" s="111">
        <f>IF(AN1309=21,I1309,0)</f>
      </c>
      <c r="AN1309" s="111" t="n">
        <v>21</v>
      </c>
      <c r="AO1309" s="111">
        <f>H1309*0</f>
      </c>
      <c r="AP1309" s="111">
        <f>H1309*(1-0)</f>
      </c>
      <c r="AQ1309" s="153" t="s">
        <v>173</v>
      </c>
      <c r="AV1309" s="111">
        <f>AW1309+AX1309</f>
      </c>
      <c r="AW1309" s="111">
        <f>G1309*AO1309</f>
      </c>
      <c r="AX1309" s="111">
        <f>G1309*AP1309</f>
      </c>
      <c r="AY1309" s="153" t="s">
        <v>2143</v>
      </c>
      <c r="AZ1309" s="153" t="s">
        <v>1999</v>
      </c>
      <c r="BA1309" s="132" t="s">
        <v>137</v>
      </c>
      <c r="BC1309" s="111">
        <f>AW1309+AX1309</f>
      </c>
      <c r="BD1309" s="111">
        <f>H1309/(100-BE1309)*100</f>
      </c>
      <c r="BE1309" s="111" t="n">
        <v>0</v>
      </c>
      <c r="BF1309" s="111">
        <f>1309</f>
      </c>
      <c r="BH1309" s="111">
        <f>G1309*AO1309</f>
      </c>
      <c r="BI1309" s="111">
        <f>G1309*AP1309</f>
      </c>
      <c r="BJ1309" s="111">
        <f>G1309*H1309</f>
      </c>
      <c r="BK1309" s="111"/>
      <c r="BL1309" s="111" t="n">
        <v>766</v>
      </c>
      <c r="BW1309" s="111" t="n">
        <v>21</v>
      </c>
      <c r="BX1309" s="14" t="s">
        <v>2146</v>
      </c>
    </row>
    <row r="1310">
      <c r="A1310" s="154"/>
      <c r="B1310" s="155"/>
      <c r="C1310" s="155"/>
      <c r="D1310" s="156" t="s">
        <v>2147</v>
      </c>
      <c r="E1310" s="156" t="s">
        <v>2148</v>
      </c>
      <c r="F1310" s="155"/>
      <c r="G1310" s="157" t="n">
        <v>9</v>
      </c>
      <c r="H1310" s="155"/>
      <c r="I1310" s="155"/>
      <c r="J1310" s="155"/>
      <c r="K1310" s="146"/>
    </row>
    <row r="1311">
      <c r="A1311" s="9" t="s">
        <v>2149</v>
      </c>
      <c r="B1311" s="10" t="s">
        <v>84</v>
      </c>
      <c r="C1311" s="10" t="s">
        <v>2150</v>
      </c>
      <c r="D1311" s="14" t="s">
        <v>2151</v>
      </c>
      <c r="E1311" s="10"/>
      <c r="F1311" s="10" t="s">
        <v>133</v>
      </c>
      <c r="G1311" s="111">
        <f>'Stavební rozpočet'!G1311</f>
      </c>
      <c r="H1311" s="111">
        <f>'Stavební rozpočet'!H1311</f>
      </c>
      <c r="I1311" s="111">
        <f>G1311*H1311</f>
      </c>
      <c r="J1311" s="153" t="s">
        <v>134</v>
      </c>
      <c r="K1311" s="146"/>
      <c r="Z1311" s="111">
        <f>IF(AQ1311="5",BJ1311,0)</f>
      </c>
      <c r="AB1311" s="111">
        <f>IF(AQ1311="1",BH1311,0)</f>
      </c>
      <c r="AC1311" s="111">
        <f>IF(AQ1311="1",BI1311,0)</f>
      </c>
      <c r="AD1311" s="111">
        <f>IF(AQ1311="7",BH1311,0)</f>
      </c>
      <c r="AE1311" s="111">
        <f>IF(AQ1311="7",BI1311,0)</f>
      </c>
      <c r="AF1311" s="111">
        <f>IF(AQ1311="2",BH1311,0)</f>
      </c>
      <c r="AG1311" s="111">
        <f>IF(AQ1311="2",BI1311,0)</f>
      </c>
      <c r="AH1311" s="111">
        <f>IF(AQ1311="0",BJ1311,0)</f>
      </c>
      <c r="AI1311" s="132" t="s">
        <v>84</v>
      </c>
      <c r="AJ1311" s="111">
        <f>IF(AN1311=0,I1311,0)</f>
      </c>
      <c r="AK1311" s="111">
        <f>IF(AN1311=12,I1311,0)</f>
      </c>
      <c r="AL1311" s="111">
        <f>IF(AN1311=21,I1311,0)</f>
      </c>
      <c r="AN1311" s="111" t="n">
        <v>21</v>
      </c>
      <c r="AO1311" s="111">
        <f>H1311*1</f>
      </c>
      <c r="AP1311" s="111">
        <f>H1311*(1-1)</f>
      </c>
      <c r="AQ1311" s="153" t="s">
        <v>173</v>
      </c>
      <c r="AV1311" s="111">
        <f>AW1311+AX1311</f>
      </c>
      <c r="AW1311" s="111">
        <f>G1311*AO1311</f>
      </c>
      <c r="AX1311" s="111">
        <f>G1311*AP1311</f>
      </c>
      <c r="AY1311" s="153" t="s">
        <v>2143</v>
      </c>
      <c r="AZ1311" s="153" t="s">
        <v>1999</v>
      </c>
      <c r="BA1311" s="132" t="s">
        <v>137</v>
      </c>
      <c r="BC1311" s="111">
        <f>AW1311+AX1311</f>
      </c>
      <c r="BD1311" s="111">
        <f>H1311/(100-BE1311)*100</f>
      </c>
      <c r="BE1311" s="111" t="n">
        <v>0</v>
      </c>
      <c r="BF1311" s="111">
        <f>1311</f>
      </c>
      <c r="BH1311" s="111">
        <f>G1311*AO1311</f>
      </c>
      <c r="BI1311" s="111">
        <f>G1311*AP1311</f>
      </c>
      <c r="BJ1311" s="111">
        <f>G1311*H1311</f>
      </c>
      <c r="BK1311" s="111"/>
      <c r="BL1311" s="111" t="n">
        <v>766</v>
      </c>
      <c r="BW1311" s="111" t="n">
        <v>21</v>
      </c>
      <c r="BX1311" s="14" t="s">
        <v>2151</v>
      </c>
    </row>
    <row r="1312">
      <c r="A1312" s="154"/>
      <c r="B1312" s="155"/>
      <c r="C1312" s="155"/>
      <c r="D1312" s="156" t="s">
        <v>149</v>
      </c>
      <c r="E1312" s="156" t="s">
        <v>2152</v>
      </c>
      <c r="F1312" s="155"/>
      <c r="G1312" s="157" t="n">
        <v>4</v>
      </c>
      <c r="H1312" s="155"/>
      <c r="I1312" s="155"/>
      <c r="J1312" s="155"/>
      <c r="K1312" s="146"/>
    </row>
    <row r="1313">
      <c r="A1313" s="154"/>
      <c r="B1313" s="155"/>
      <c r="C1313" s="155"/>
      <c r="D1313" s="156" t="s">
        <v>4</v>
      </c>
      <c r="E1313" s="156" t="s">
        <v>2153</v>
      </c>
      <c r="F1313" s="155"/>
      <c r="G1313" s="157" t="n">
        <v>0</v>
      </c>
      <c r="H1313" s="155"/>
      <c r="I1313" s="155"/>
      <c r="J1313" s="155"/>
      <c r="K1313" s="146"/>
    </row>
    <row r="1314">
      <c r="A1314" s="9" t="s">
        <v>2154</v>
      </c>
      <c r="B1314" s="10" t="s">
        <v>84</v>
      </c>
      <c r="C1314" s="10" t="s">
        <v>2155</v>
      </c>
      <c r="D1314" s="14" t="s">
        <v>2156</v>
      </c>
      <c r="E1314" s="10"/>
      <c r="F1314" s="10" t="s">
        <v>133</v>
      </c>
      <c r="G1314" s="111">
        <f>'Stavební rozpočet'!G1314</f>
      </c>
      <c r="H1314" s="111">
        <f>'Stavební rozpočet'!H1314</f>
      </c>
      <c r="I1314" s="111">
        <f>G1314*H1314</f>
      </c>
      <c r="J1314" s="153" t="s">
        <v>134</v>
      </c>
      <c r="K1314" s="146"/>
      <c r="Z1314" s="111">
        <f>IF(AQ1314="5",BJ1314,0)</f>
      </c>
      <c r="AB1314" s="111">
        <f>IF(AQ1314="1",BH1314,0)</f>
      </c>
      <c r="AC1314" s="111">
        <f>IF(AQ1314="1",BI1314,0)</f>
      </c>
      <c r="AD1314" s="111">
        <f>IF(AQ1314="7",BH1314,0)</f>
      </c>
      <c r="AE1314" s="111">
        <f>IF(AQ1314="7",BI1314,0)</f>
      </c>
      <c r="AF1314" s="111">
        <f>IF(AQ1314="2",BH1314,0)</f>
      </c>
      <c r="AG1314" s="111">
        <f>IF(AQ1314="2",BI1314,0)</f>
      </c>
      <c r="AH1314" s="111">
        <f>IF(AQ1314="0",BJ1314,0)</f>
      </c>
      <c r="AI1314" s="132" t="s">
        <v>84</v>
      </c>
      <c r="AJ1314" s="111">
        <f>IF(AN1314=0,I1314,0)</f>
      </c>
      <c r="AK1314" s="111">
        <f>IF(AN1314=12,I1314,0)</f>
      </c>
      <c r="AL1314" s="111">
        <f>IF(AN1314=21,I1314,0)</f>
      </c>
      <c r="AN1314" s="111" t="n">
        <v>21</v>
      </c>
      <c r="AO1314" s="111">
        <f>H1314*1</f>
      </c>
      <c r="AP1314" s="111">
        <f>H1314*(1-1)</f>
      </c>
      <c r="AQ1314" s="153" t="s">
        <v>173</v>
      </c>
      <c r="AV1314" s="111">
        <f>AW1314+AX1314</f>
      </c>
      <c r="AW1314" s="111">
        <f>G1314*AO1314</f>
      </c>
      <c r="AX1314" s="111">
        <f>G1314*AP1314</f>
      </c>
      <c r="AY1314" s="153" t="s">
        <v>2143</v>
      </c>
      <c r="AZ1314" s="153" t="s">
        <v>1999</v>
      </c>
      <c r="BA1314" s="132" t="s">
        <v>137</v>
      </c>
      <c r="BC1314" s="111">
        <f>AW1314+AX1314</f>
      </c>
      <c r="BD1314" s="111">
        <f>H1314/(100-BE1314)*100</f>
      </c>
      <c r="BE1314" s="111" t="n">
        <v>0</v>
      </c>
      <c r="BF1314" s="111">
        <f>1314</f>
      </c>
      <c r="BH1314" s="111">
        <f>G1314*AO1314</f>
      </c>
      <c r="BI1314" s="111">
        <f>G1314*AP1314</f>
      </c>
      <c r="BJ1314" s="111">
        <f>G1314*H1314</f>
      </c>
      <c r="BK1314" s="111"/>
      <c r="BL1314" s="111" t="n">
        <v>766</v>
      </c>
      <c r="BW1314" s="111" t="n">
        <v>21</v>
      </c>
      <c r="BX1314" s="14" t="s">
        <v>2156</v>
      </c>
    </row>
    <row r="1315">
      <c r="A1315" s="154"/>
      <c r="B1315" s="155"/>
      <c r="C1315" s="155"/>
      <c r="D1315" s="156" t="s">
        <v>156</v>
      </c>
      <c r="E1315" s="156" t="s">
        <v>2157</v>
      </c>
      <c r="F1315" s="155"/>
      <c r="G1315" s="157" t="n">
        <v>5</v>
      </c>
      <c r="H1315" s="155"/>
      <c r="I1315" s="155"/>
      <c r="J1315" s="155"/>
      <c r="K1315" s="146"/>
    </row>
    <row r="1316">
      <c r="A1316" s="9" t="s">
        <v>2158</v>
      </c>
      <c r="B1316" s="10" t="s">
        <v>84</v>
      </c>
      <c r="C1316" s="10" t="s">
        <v>2159</v>
      </c>
      <c r="D1316" s="14" t="s">
        <v>2160</v>
      </c>
      <c r="E1316" s="10"/>
      <c r="F1316" s="10" t="s">
        <v>133</v>
      </c>
      <c r="G1316" s="111">
        <f>'Stavební rozpočet'!G1316</f>
      </c>
      <c r="H1316" s="111">
        <f>'Stavební rozpočet'!H1316</f>
      </c>
      <c r="I1316" s="111">
        <f>G1316*H1316</f>
      </c>
      <c r="J1316" s="153" t="s">
        <v>134</v>
      </c>
      <c r="K1316" s="146"/>
      <c r="Z1316" s="111">
        <f>IF(AQ1316="5",BJ1316,0)</f>
      </c>
      <c r="AB1316" s="111">
        <f>IF(AQ1316="1",BH1316,0)</f>
      </c>
      <c r="AC1316" s="111">
        <f>IF(AQ1316="1",BI1316,0)</f>
      </c>
      <c r="AD1316" s="111">
        <f>IF(AQ1316="7",BH1316,0)</f>
      </c>
      <c r="AE1316" s="111">
        <f>IF(AQ1316="7",BI1316,0)</f>
      </c>
      <c r="AF1316" s="111">
        <f>IF(AQ1316="2",BH1316,0)</f>
      </c>
      <c r="AG1316" s="111">
        <f>IF(AQ1316="2",BI1316,0)</f>
      </c>
      <c r="AH1316" s="111">
        <f>IF(AQ1316="0",BJ1316,0)</f>
      </c>
      <c r="AI1316" s="132" t="s">
        <v>84</v>
      </c>
      <c r="AJ1316" s="111">
        <f>IF(AN1316=0,I1316,0)</f>
      </c>
      <c r="AK1316" s="111">
        <f>IF(AN1316=12,I1316,0)</f>
      </c>
      <c r="AL1316" s="111">
        <f>IF(AN1316=21,I1316,0)</f>
      </c>
      <c r="AN1316" s="111" t="n">
        <v>21</v>
      </c>
      <c r="AO1316" s="111">
        <f>H1316*0</f>
      </c>
      <c r="AP1316" s="111">
        <f>H1316*(1-0)</f>
      </c>
      <c r="AQ1316" s="153" t="s">
        <v>173</v>
      </c>
      <c r="AV1316" s="111">
        <f>AW1316+AX1316</f>
      </c>
      <c r="AW1316" s="111">
        <f>G1316*AO1316</f>
      </c>
      <c r="AX1316" s="111">
        <f>G1316*AP1316</f>
      </c>
      <c r="AY1316" s="153" t="s">
        <v>2143</v>
      </c>
      <c r="AZ1316" s="153" t="s">
        <v>1999</v>
      </c>
      <c r="BA1316" s="132" t="s">
        <v>137</v>
      </c>
      <c r="BC1316" s="111">
        <f>AW1316+AX1316</f>
      </c>
      <c r="BD1316" s="111">
        <f>H1316/(100-BE1316)*100</f>
      </c>
      <c r="BE1316" s="111" t="n">
        <v>0</v>
      </c>
      <c r="BF1316" s="111">
        <f>1316</f>
      </c>
      <c r="BH1316" s="111">
        <f>G1316*AO1316</f>
      </c>
      <c r="BI1316" s="111">
        <f>G1316*AP1316</f>
      </c>
      <c r="BJ1316" s="111">
        <f>G1316*H1316</f>
      </c>
      <c r="BK1316" s="111"/>
      <c r="BL1316" s="111" t="n">
        <v>766</v>
      </c>
      <c r="BW1316" s="111" t="n">
        <v>21</v>
      </c>
      <c r="BX1316" s="14" t="s">
        <v>2160</v>
      </c>
    </row>
    <row r="1317">
      <c r="A1317" s="154"/>
      <c r="B1317" s="155"/>
      <c r="C1317" s="155"/>
      <c r="D1317" s="156" t="s">
        <v>522</v>
      </c>
      <c r="E1317" s="156" t="s">
        <v>1311</v>
      </c>
      <c r="F1317" s="155"/>
      <c r="G1317" s="157" t="n">
        <v>3</v>
      </c>
      <c r="H1317" s="155"/>
      <c r="I1317" s="155"/>
      <c r="J1317" s="155"/>
      <c r="K1317" s="146"/>
    </row>
    <row r="1318">
      <c r="A1318" s="9" t="s">
        <v>2161</v>
      </c>
      <c r="B1318" s="10" t="s">
        <v>84</v>
      </c>
      <c r="C1318" s="10" t="s">
        <v>2162</v>
      </c>
      <c r="D1318" s="14" t="s">
        <v>2163</v>
      </c>
      <c r="E1318" s="10"/>
      <c r="F1318" s="10" t="s">
        <v>133</v>
      </c>
      <c r="G1318" s="111">
        <f>'Stavební rozpočet'!G1318</f>
      </c>
      <c r="H1318" s="111">
        <f>'Stavební rozpočet'!H1318</f>
      </c>
      <c r="I1318" s="111">
        <f>G1318*H1318</f>
      </c>
      <c r="J1318" s="153" t="s">
        <v>134</v>
      </c>
      <c r="K1318" s="146"/>
      <c r="Z1318" s="111">
        <f>IF(AQ1318="5",BJ1318,0)</f>
      </c>
      <c r="AB1318" s="111">
        <f>IF(AQ1318="1",BH1318,0)</f>
      </c>
      <c r="AC1318" s="111">
        <f>IF(AQ1318="1",BI1318,0)</f>
      </c>
      <c r="AD1318" s="111">
        <f>IF(AQ1318="7",BH1318,0)</f>
      </c>
      <c r="AE1318" s="111">
        <f>IF(AQ1318="7",BI1318,0)</f>
      </c>
      <c r="AF1318" s="111">
        <f>IF(AQ1318="2",BH1318,0)</f>
      </c>
      <c r="AG1318" s="111">
        <f>IF(AQ1318="2",BI1318,0)</f>
      </c>
      <c r="AH1318" s="111">
        <f>IF(AQ1318="0",BJ1318,0)</f>
      </c>
      <c r="AI1318" s="132" t="s">
        <v>84</v>
      </c>
      <c r="AJ1318" s="111">
        <f>IF(AN1318=0,I1318,0)</f>
      </c>
      <c r="AK1318" s="111">
        <f>IF(AN1318=12,I1318,0)</f>
      </c>
      <c r="AL1318" s="111">
        <f>IF(AN1318=21,I1318,0)</f>
      </c>
      <c r="AN1318" s="111" t="n">
        <v>21</v>
      </c>
      <c r="AO1318" s="111">
        <f>H1318*1</f>
      </c>
      <c r="AP1318" s="111">
        <f>H1318*(1-1)</f>
      </c>
      <c r="AQ1318" s="153" t="s">
        <v>173</v>
      </c>
      <c r="AV1318" s="111">
        <f>AW1318+AX1318</f>
      </c>
      <c r="AW1318" s="111">
        <f>G1318*AO1318</f>
      </c>
      <c r="AX1318" s="111">
        <f>G1318*AP1318</f>
      </c>
      <c r="AY1318" s="153" t="s">
        <v>2143</v>
      </c>
      <c r="AZ1318" s="153" t="s">
        <v>1999</v>
      </c>
      <c r="BA1318" s="132" t="s">
        <v>137</v>
      </c>
      <c r="BC1318" s="111">
        <f>AW1318+AX1318</f>
      </c>
      <c r="BD1318" s="111">
        <f>H1318/(100-BE1318)*100</f>
      </c>
      <c r="BE1318" s="111" t="n">
        <v>0</v>
      </c>
      <c r="BF1318" s="111">
        <f>1318</f>
      </c>
      <c r="BH1318" s="111">
        <f>G1318*AO1318</f>
      </c>
      <c r="BI1318" s="111">
        <f>G1318*AP1318</f>
      </c>
      <c r="BJ1318" s="111">
        <f>G1318*H1318</f>
      </c>
      <c r="BK1318" s="111"/>
      <c r="BL1318" s="111" t="n">
        <v>766</v>
      </c>
      <c r="BW1318" s="111" t="n">
        <v>21</v>
      </c>
      <c r="BX1318" s="14" t="s">
        <v>2163</v>
      </c>
    </row>
    <row r="1319">
      <c r="A1319" s="154"/>
      <c r="B1319" s="155"/>
      <c r="C1319" s="155"/>
      <c r="D1319" s="156" t="s">
        <v>130</v>
      </c>
      <c r="E1319" s="156" t="s">
        <v>2164</v>
      </c>
      <c r="F1319" s="155"/>
      <c r="G1319" s="157" t="n">
        <v>1</v>
      </c>
      <c r="H1319" s="155"/>
      <c r="I1319" s="155"/>
      <c r="J1319" s="155"/>
      <c r="K1319" s="146"/>
    </row>
    <row r="1320">
      <c r="A1320" s="154"/>
      <c r="B1320" s="155"/>
      <c r="C1320" s="155"/>
      <c r="D1320" s="156" t="s">
        <v>4</v>
      </c>
      <c r="E1320" s="156" t="s">
        <v>2165</v>
      </c>
      <c r="F1320" s="155"/>
      <c r="G1320" s="157" t="n">
        <v>0</v>
      </c>
      <c r="H1320" s="155"/>
      <c r="I1320" s="155"/>
      <c r="J1320" s="155"/>
      <c r="K1320" s="146"/>
    </row>
    <row r="1321">
      <c r="A1321" s="9" t="s">
        <v>2166</v>
      </c>
      <c r="B1321" s="10" t="s">
        <v>84</v>
      </c>
      <c r="C1321" s="10" t="s">
        <v>2167</v>
      </c>
      <c r="D1321" s="14" t="s">
        <v>2163</v>
      </c>
      <c r="E1321" s="10"/>
      <c r="F1321" s="10" t="s">
        <v>133</v>
      </c>
      <c r="G1321" s="111">
        <f>'Stavební rozpočet'!G1321</f>
      </c>
      <c r="H1321" s="111">
        <f>'Stavební rozpočet'!H1321</f>
      </c>
      <c r="I1321" s="111">
        <f>G1321*H1321</f>
      </c>
      <c r="J1321" s="153" t="s">
        <v>134</v>
      </c>
      <c r="K1321" s="146"/>
      <c r="Z1321" s="111">
        <f>IF(AQ1321="5",BJ1321,0)</f>
      </c>
      <c r="AB1321" s="111">
        <f>IF(AQ1321="1",BH1321,0)</f>
      </c>
      <c r="AC1321" s="111">
        <f>IF(AQ1321="1",BI1321,0)</f>
      </c>
      <c r="AD1321" s="111">
        <f>IF(AQ1321="7",BH1321,0)</f>
      </c>
      <c r="AE1321" s="111">
        <f>IF(AQ1321="7",BI1321,0)</f>
      </c>
      <c r="AF1321" s="111">
        <f>IF(AQ1321="2",BH1321,0)</f>
      </c>
      <c r="AG1321" s="111">
        <f>IF(AQ1321="2",BI1321,0)</f>
      </c>
      <c r="AH1321" s="111">
        <f>IF(AQ1321="0",BJ1321,0)</f>
      </c>
      <c r="AI1321" s="132" t="s">
        <v>84</v>
      </c>
      <c r="AJ1321" s="111">
        <f>IF(AN1321=0,I1321,0)</f>
      </c>
      <c r="AK1321" s="111">
        <f>IF(AN1321=12,I1321,0)</f>
      </c>
      <c r="AL1321" s="111">
        <f>IF(AN1321=21,I1321,0)</f>
      </c>
      <c r="AN1321" s="111" t="n">
        <v>21</v>
      </c>
      <c r="AO1321" s="111">
        <f>H1321*1</f>
      </c>
      <c r="AP1321" s="111">
        <f>H1321*(1-1)</f>
      </c>
      <c r="AQ1321" s="153" t="s">
        <v>173</v>
      </c>
      <c r="AV1321" s="111">
        <f>AW1321+AX1321</f>
      </c>
      <c r="AW1321" s="111">
        <f>G1321*AO1321</f>
      </c>
      <c r="AX1321" s="111">
        <f>G1321*AP1321</f>
      </c>
      <c r="AY1321" s="153" t="s">
        <v>2143</v>
      </c>
      <c r="AZ1321" s="153" t="s">
        <v>1999</v>
      </c>
      <c r="BA1321" s="132" t="s">
        <v>137</v>
      </c>
      <c r="BC1321" s="111">
        <f>AW1321+AX1321</f>
      </c>
      <c r="BD1321" s="111">
        <f>H1321/(100-BE1321)*100</f>
      </c>
      <c r="BE1321" s="111" t="n">
        <v>0</v>
      </c>
      <c r="BF1321" s="111">
        <f>1321</f>
      </c>
      <c r="BH1321" s="111">
        <f>G1321*AO1321</f>
      </c>
      <c r="BI1321" s="111">
        <f>G1321*AP1321</f>
      </c>
      <c r="BJ1321" s="111">
        <f>G1321*H1321</f>
      </c>
      <c r="BK1321" s="111"/>
      <c r="BL1321" s="111" t="n">
        <v>766</v>
      </c>
      <c r="BW1321" s="111" t="n">
        <v>21</v>
      </c>
      <c r="BX1321" s="14" t="s">
        <v>2163</v>
      </c>
    </row>
    <row r="1322">
      <c r="A1322" s="154"/>
      <c r="B1322" s="155"/>
      <c r="C1322" s="155"/>
      <c r="D1322" s="156" t="s">
        <v>130</v>
      </c>
      <c r="E1322" s="156" t="s">
        <v>2168</v>
      </c>
      <c r="F1322" s="155"/>
      <c r="G1322" s="157" t="n">
        <v>1</v>
      </c>
      <c r="H1322" s="155"/>
      <c r="I1322" s="155"/>
      <c r="J1322" s="155"/>
      <c r="K1322" s="146"/>
    </row>
    <row r="1323">
      <c r="A1323" s="154"/>
      <c r="B1323" s="155"/>
      <c r="C1323" s="155"/>
      <c r="D1323" s="156" t="s">
        <v>4</v>
      </c>
      <c r="E1323" s="156" t="s">
        <v>2169</v>
      </c>
      <c r="F1323" s="155"/>
      <c r="G1323" s="157" t="n">
        <v>0</v>
      </c>
      <c r="H1323" s="155"/>
      <c r="I1323" s="155"/>
      <c r="J1323" s="155"/>
      <c r="K1323" s="146"/>
    </row>
    <row r="1324">
      <c r="A1324" s="9" t="s">
        <v>2170</v>
      </c>
      <c r="B1324" s="10" t="s">
        <v>84</v>
      </c>
      <c r="C1324" s="10" t="s">
        <v>2171</v>
      </c>
      <c r="D1324" s="14" t="s">
        <v>2163</v>
      </c>
      <c r="E1324" s="10"/>
      <c r="F1324" s="10" t="s">
        <v>133</v>
      </c>
      <c r="G1324" s="111">
        <f>'Stavební rozpočet'!G1324</f>
      </c>
      <c r="H1324" s="111">
        <f>'Stavební rozpočet'!H1324</f>
      </c>
      <c r="I1324" s="111">
        <f>G1324*H1324</f>
      </c>
      <c r="J1324" s="153" t="s">
        <v>134</v>
      </c>
      <c r="K1324" s="146"/>
      <c r="Z1324" s="111">
        <f>IF(AQ1324="5",BJ1324,0)</f>
      </c>
      <c r="AB1324" s="111">
        <f>IF(AQ1324="1",BH1324,0)</f>
      </c>
      <c r="AC1324" s="111">
        <f>IF(AQ1324="1",BI1324,0)</f>
      </c>
      <c r="AD1324" s="111">
        <f>IF(AQ1324="7",BH1324,0)</f>
      </c>
      <c r="AE1324" s="111">
        <f>IF(AQ1324="7",BI1324,0)</f>
      </c>
      <c r="AF1324" s="111">
        <f>IF(AQ1324="2",BH1324,0)</f>
      </c>
      <c r="AG1324" s="111">
        <f>IF(AQ1324="2",BI1324,0)</f>
      </c>
      <c r="AH1324" s="111">
        <f>IF(AQ1324="0",BJ1324,0)</f>
      </c>
      <c r="AI1324" s="132" t="s">
        <v>84</v>
      </c>
      <c r="AJ1324" s="111">
        <f>IF(AN1324=0,I1324,0)</f>
      </c>
      <c r="AK1324" s="111">
        <f>IF(AN1324=12,I1324,0)</f>
      </c>
      <c r="AL1324" s="111">
        <f>IF(AN1324=21,I1324,0)</f>
      </c>
      <c r="AN1324" s="111" t="n">
        <v>21</v>
      </c>
      <c r="AO1324" s="111">
        <f>H1324*1</f>
      </c>
      <c r="AP1324" s="111">
        <f>H1324*(1-1)</f>
      </c>
      <c r="AQ1324" s="153" t="s">
        <v>173</v>
      </c>
      <c r="AV1324" s="111">
        <f>AW1324+AX1324</f>
      </c>
      <c r="AW1324" s="111">
        <f>G1324*AO1324</f>
      </c>
      <c r="AX1324" s="111">
        <f>G1324*AP1324</f>
      </c>
      <c r="AY1324" s="153" t="s">
        <v>2143</v>
      </c>
      <c r="AZ1324" s="153" t="s">
        <v>1999</v>
      </c>
      <c r="BA1324" s="132" t="s">
        <v>137</v>
      </c>
      <c r="BC1324" s="111">
        <f>AW1324+AX1324</f>
      </c>
      <c r="BD1324" s="111">
        <f>H1324/(100-BE1324)*100</f>
      </c>
      <c r="BE1324" s="111" t="n">
        <v>0</v>
      </c>
      <c r="BF1324" s="111">
        <f>1324</f>
      </c>
      <c r="BH1324" s="111">
        <f>G1324*AO1324</f>
      </c>
      <c r="BI1324" s="111">
        <f>G1324*AP1324</f>
      </c>
      <c r="BJ1324" s="111">
        <f>G1324*H1324</f>
      </c>
      <c r="BK1324" s="111"/>
      <c r="BL1324" s="111" t="n">
        <v>766</v>
      </c>
      <c r="BW1324" s="111" t="n">
        <v>21</v>
      </c>
      <c r="BX1324" s="14" t="s">
        <v>2163</v>
      </c>
    </row>
    <row r="1325">
      <c r="A1325" s="154"/>
      <c r="B1325" s="155"/>
      <c r="C1325" s="155"/>
      <c r="D1325" s="156" t="s">
        <v>130</v>
      </c>
      <c r="E1325" s="156" t="s">
        <v>2172</v>
      </c>
      <c r="F1325" s="155"/>
      <c r="G1325" s="157" t="n">
        <v>1</v>
      </c>
      <c r="H1325" s="155"/>
      <c r="I1325" s="155"/>
      <c r="J1325" s="155"/>
      <c r="K1325" s="146"/>
    </row>
    <row r="1326">
      <c r="A1326" s="154"/>
      <c r="B1326" s="155"/>
      <c r="C1326" s="155"/>
      <c r="D1326" s="156" t="s">
        <v>4</v>
      </c>
      <c r="E1326" s="156" t="s">
        <v>2169</v>
      </c>
      <c r="F1326" s="155"/>
      <c r="G1326" s="157" t="n">
        <v>0</v>
      </c>
      <c r="H1326" s="155"/>
      <c r="I1326" s="155"/>
      <c r="J1326" s="155"/>
      <c r="K1326" s="146"/>
    </row>
    <row r="1327">
      <c r="A1327" s="9" t="s">
        <v>2173</v>
      </c>
      <c r="B1327" s="10" t="s">
        <v>84</v>
      </c>
      <c r="C1327" s="10" t="s">
        <v>2174</v>
      </c>
      <c r="D1327" s="14" t="s">
        <v>2175</v>
      </c>
      <c r="E1327" s="10"/>
      <c r="F1327" s="10" t="s">
        <v>133</v>
      </c>
      <c r="G1327" s="111">
        <f>'Stavební rozpočet'!G1327</f>
      </c>
      <c r="H1327" s="111">
        <f>'Stavební rozpočet'!H1327</f>
      </c>
      <c r="I1327" s="111">
        <f>G1327*H1327</f>
      </c>
      <c r="J1327" s="153" t="s">
        <v>134</v>
      </c>
      <c r="K1327" s="146"/>
      <c r="Z1327" s="111">
        <f>IF(AQ1327="5",BJ1327,0)</f>
      </c>
      <c r="AB1327" s="111">
        <f>IF(AQ1327="1",BH1327,0)</f>
      </c>
      <c r="AC1327" s="111">
        <f>IF(AQ1327="1",BI1327,0)</f>
      </c>
      <c r="AD1327" s="111">
        <f>IF(AQ1327="7",BH1327,0)</f>
      </c>
      <c r="AE1327" s="111">
        <f>IF(AQ1327="7",BI1327,0)</f>
      </c>
      <c r="AF1327" s="111">
        <f>IF(AQ1327="2",BH1327,0)</f>
      </c>
      <c r="AG1327" s="111">
        <f>IF(AQ1327="2",BI1327,0)</f>
      </c>
      <c r="AH1327" s="111">
        <f>IF(AQ1327="0",BJ1327,0)</f>
      </c>
      <c r="AI1327" s="132" t="s">
        <v>84</v>
      </c>
      <c r="AJ1327" s="111">
        <f>IF(AN1327=0,I1327,0)</f>
      </c>
      <c r="AK1327" s="111">
        <f>IF(AN1327=12,I1327,0)</f>
      </c>
      <c r="AL1327" s="111">
        <f>IF(AN1327=21,I1327,0)</f>
      </c>
      <c r="AN1327" s="111" t="n">
        <v>21</v>
      </c>
      <c r="AO1327" s="111">
        <f>H1327*0</f>
      </c>
      <c r="AP1327" s="111">
        <f>H1327*(1-0)</f>
      </c>
      <c r="AQ1327" s="153" t="s">
        <v>173</v>
      </c>
      <c r="AV1327" s="111">
        <f>AW1327+AX1327</f>
      </c>
      <c r="AW1327" s="111">
        <f>G1327*AO1327</f>
      </c>
      <c r="AX1327" s="111">
        <f>G1327*AP1327</f>
      </c>
      <c r="AY1327" s="153" t="s">
        <v>2143</v>
      </c>
      <c r="AZ1327" s="153" t="s">
        <v>1999</v>
      </c>
      <c r="BA1327" s="132" t="s">
        <v>137</v>
      </c>
      <c r="BC1327" s="111">
        <f>AW1327+AX1327</f>
      </c>
      <c r="BD1327" s="111">
        <f>H1327/(100-BE1327)*100</f>
      </c>
      <c r="BE1327" s="111" t="n">
        <v>0</v>
      </c>
      <c r="BF1327" s="111">
        <f>1327</f>
      </c>
      <c r="BH1327" s="111">
        <f>G1327*AO1327</f>
      </c>
      <c r="BI1327" s="111">
        <f>G1327*AP1327</f>
      </c>
      <c r="BJ1327" s="111">
        <f>G1327*H1327</f>
      </c>
      <c r="BK1327" s="111"/>
      <c r="BL1327" s="111" t="n">
        <v>766</v>
      </c>
      <c r="BW1327" s="111" t="n">
        <v>21</v>
      </c>
      <c r="BX1327" s="14" t="s">
        <v>2175</v>
      </c>
    </row>
    <row r="1328">
      <c r="A1328" s="154"/>
      <c r="B1328" s="155"/>
      <c r="C1328" s="155"/>
      <c r="D1328" s="156" t="s">
        <v>130</v>
      </c>
      <c r="E1328" s="156" t="s">
        <v>1315</v>
      </c>
      <c r="F1328" s="155"/>
      <c r="G1328" s="157" t="n">
        <v>1</v>
      </c>
      <c r="H1328" s="155"/>
      <c r="I1328" s="155"/>
      <c r="J1328" s="155"/>
      <c r="K1328" s="146"/>
    </row>
    <row r="1329">
      <c r="A1329" s="9" t="s">
        <v>2176</v>
      </c>
      <c r="B1329" s="10" t="s">
        <v>84</v>
      </c>
      <c r="C1329" s="10" t="s">
        <v>2177</v>
      </c>
      <c r="D1329" s="14" t="s">
        <v>2178</v>
      </c>
      <c r="E1329" s="10"/>
      <c r="F1329" s="10" t="s">
        <v>133</v>
      </c>
      <c r="G1329" s="111">
        <f>'Stavební rozpočet'!G1329</f>
      </c>
      <c r="H1329" s="111">
        <f>'Stavební rozpočet'!H1329</f>
      </c>
      <c r="I1329" s="111">
        <f>G1329*H1329</f>
      </c>
      <c r="J1329" s="153" t="s">
        <v>134</v>
      </c>
      <c r="K1329" s="146"/>
      <c r="Z1329" s="111">
        <f>IF(AQ1329="5",BJ1329,0)</f>
      </c>
      <c r="AB1329" s="111">
        <f>IF(AQ1329="1",BH1329,0)</f>
      </c>
      <c r="AC1329" s="111">
        <f>IF(AQ1329="1",BI1329,0)</f>
      </c>
      <c r="AD1329" s="111">
        <f>IF(AQ1329="7",BH1329,0)</f>
      </c>
      <c r="AE1329" s="111">
        <f>IF(AQ1329="7",BI1329,0)</f>
      </c>
      <c r="AF1329" s="111">
        <f>IF(AQ1329="2",BH1329,0)</f>
      </c>
      <c r="AG1329" s="111">
        <f>IF(AQ1329="2",BI1329,0)</f>
      </c>
      <c r="AH1329" s="111">
        <f>IF(AQ1329="0",BJ1329,0)</f>
      </c>
      <c r="AI1329" s="132" t="s">
        <v>84</v>
      </c>
      <c r="AJ1329" s="111">
        <f>IF(AN1329=0,I1329,0)</f>
      </c>
      <c r="AK1329" s="111">
        <f>IF(AN1329=12,I1329,0)</f>
      </c>
      <c r="AL1329" s="111">
        <f>IF(AN1329=21,I1329,0)</f>
      </c>
      <c r="AN1329" s="111" t="n">
        <v>21</v>
      </c>
      <c r="AO1329" s="111">
        <f>H1329*1</f>
      </c>
      <c r="AP1329" s="111">
        <f>H1329*(1-1)</f>
      </c>
      <c r="AQ1329" s="153" t="s">
        <v>173</v>
      </c>
      <c r="AV1329" s="111">
        <f>AW1329+AX1329</f>
      </c>
      <c r="AW1329" s="111">
        <f>G1329*AO1329</f>
      </c>
      <c r="AX1329" s="111">
        <f>G1329*AP1329</f>
      </c>
      <c r="AY1329" s="153" t="s">
        <v>2143</v>
      </c>
      <c r="AZ1329" s="153" t="s">
        <v>1999</v>
      </c>
      <c r="BA1329" s="132" t="s">
        <v>137</v>
      </c>
      <c r="BC1329" s="111">
        <f>AW1329+AX1329</f>
      </c>
      <c r="BD1329" s="111">
        <f>H1329/(100-BE1329)*100</f>
      </c>
      <c r="BE1329" s="111" t="n">
        <v>0</v>
      </c>
      <c r="BF1329" s="111">
        <f>1329</f>
      </c>
      <c r="BH1329" s="111">
        <f>G1329*AO1329</f>
      </c>
      <c r="BI1329" s="111">
        <f>G1329*AP1329</f>
      </c>
      <c r="BJ1329" s="111">
        <f>G1329*H1329</f>
      </c>
      <c r="BK1329" s="111"/>
      <c r="BL1329" s="111" t="n">
        <v>766</v>
      </c>
      <c r="BW1329" s="111" t="n">
        <v>21</v>
      </c>
      <c r="BX1329" s="14" t="s">
        <v>2178</v>
      </c>
    </row>
    <row r="1330">
      <c r="A1330" s="154"/>
      <c r="B1330" s="155"/>
      <c r="C1330" s="155"/>
      <c r="D1330" s="156" t="s">
        <v>130</v>
      </c>
      <c r="E1330" s="156" t="s">
        <v>2179</v>
      </c>
      <c r="F1330" s="155"/>
      <c r="G1330" s="157" t="n">
        <v>1</v>
      </c>
      <c r="H1330" s="155"/>
      <c r="I1330" s="155"/>
      <c r="J1330" s="155"/>
      <c r="K1330" s="146"/>
    </row>
    <row r="1331">
      <c r="A1331" s="154"/>
      <c r="B1331" s="155"/>
      <c r="C1331" s="155"/>
      <c r="D1331" s="156" t="s">
        <v>4</v>
      </c>
      <c r="E1331" s="156" t="s">
        <v>2180</v>
      </c>
      <c r="F1331" s="155"/>
      <c r="G1331" s="157" t="n">
        <v>0</v>
      </c>
      <c r="H1331" s="155"/>
      <c r="I1331" s="155"/>
      <c r="J1331" s="155"/>
      <c r="K1331" s="146"/>
    </row>
    <row r="1332">
      <c r="A1332" s="9" t="s">
        <v>2181</v>
      </c>
      <c r="B1332" s="10" t="s">
        <v>84</v>
      </c>
      <c r="C1332" s="10" t="s">
        <v>2182</v>
      </c>
      <c r="D1332" s="14" t="s">
        <v>2183</v>
      </c>
      <c r="E1332" s="10"/>
      <c r="F1332" s="10" t="s">
        <v>133</v>
      </c>
      <c r="G1332" s="111">
        <f>'Stavební rozpočet'!G1332</f>
      </c>
      <c r="H1332" s="111">
        <f>'Stavební rozpočet'!H1332</f>
      </c>
      <c r="I1332" s="111">
        <f>G1332*H1332</f>
      </c>
      <c r="J1332" s="153" t="s">
        <v>134</v>
      </c>
      <c r="K1332" s="146"/>
      <c r="Z1332" s="111">
        <f>IF(AQ1332="5",BJ1332,0)</f>
      </c>
      <c r="AB1332" s="111">
        <f>IF(AQ1332="1",BH1332,0)</f>
      </c>
      <c r="AC1332" s="111">
        <f>IF(AQ1332="1",BI1332,0)</f>
      </c>
      <c r="AD1332" s="111">
        <f>IF(AQ1332="7",BH1332,0)</f>
      </c>
      <c r="AE1332" s="111">
        <f>IF(AQ1332="7",BI1332,0)</f>
      </c>
      <c r="AF1332" s="111">
        <f>IF(AQ1332="2",BH1332,0)</f>
      </c>
      <c r="AG1332" s="111">
        <f>IF(AQ1332="2",BI1332,0)</f>
      </c>
      <c r="AH1332" s="111">
        <f>IF(AQ1332="0",BJ1332,0)</f>
      </c>
      <c r="AI1332" s="132" t="s">
        <v>84</v>
      </c>
      <c r="AJ1332" s="111">
        <f>IF(AN1332=0,I1332,0)</f>
      </c>
      <c r="AK1332" s="111">
        <f>IF(AN1332=12,I1332,0)</f>
      </c>
      <c r="AL1332" s="111">
        <f>IF(AN1332=21,I1332,0)</f>
      </c>
      <c r="AN1332" s="111" t="n">
        <v>21</v>
      </c>
      <c r="AO1332" s="111">
        <f>H1332*0</f>
      </c>
      <c r="AP1332" s="111">
        <f>H1332*(1-0)</f>
      </c>
      <c r="AQ1332" s="153" t="s">
        <v>173</v>
      </c>
      <c r="AV1332" s="111">
        <f>AW1332+AX1332</f>
      </c>
      <c r="AW1332" s="111">
        <f>G1332*AO1332</f>
      </c>
      <c r="AX1332" s="111">
        <f>G1332*AP1332</f>
      </c>
      <c r="AY1332" s="153" t="s">
        <v>2143</v>
      </c>
      <c r="AZ1332" s="153" t="s">
        <v>1999</v>
      </c>
      <c r="BA1332" s="132" t="s">
        <v>137</v>
      </c>
      <c r="BC1332" s="111">
        <f>AW1332+AX1332</f>
      </c>
      <c r="BD1332" s="111">
        <f>H1332/(100-BE1332)*100</f>
      </c>
      <c r="BE1332" s="111" t="n">
        <v>0</v>
      </c>
      <c r="BF1332" s="111">
        <f>1332</f>
      </c>
      <c r="BH1332" s="111">
        <f>G1332*AO1332</f>
      </c>
      <c r="BI1332" s="111">
        <f>G1332*AP1332</f>
      </c>
      <c r="BJ1332" s="111">
        <f>G1332*H1332</f>
      </c>
      <c r="BK1332" s="111"/>
      <c r="BL1332" s="111" t="n">
        <v>766</v>
      </c>
      <c r="BW1332" s="111" t="n">
        <v>21</v>
      </c>
      <c r="BX1332" s="14" t="s">
        <v>2183</v>
      </c>
    </row>
    <row r="1333">
      <c r="A1333" s="154"/>
      <c r="B1333" s="155"/>
      <c r="C1333" s="155"/>
      <c r="D1333" s="156" t="s">
        <v>130</v>
      </c>
      <c r="E1333" s="156" t="s">
        <v>1319</v>
      </c>
      <c r="F1333" s="155"/>
      <c r="G1333" s="157" t="n">
        <v>1</v>
      </c>
      <c r="H1333" s="155"/>
      <c r="I1333" s="155"/>
      <c r="J1333" s="155"/>
      <c r="K1333" s="146"/>
    </row>
    <row r="1334">
      <c r="A1334" s="9" t="s">
        <v>2184</v>
      </c>
      <c r="B1334" s="10" t="s">
        <v>84</v>
      </c>
      <c r="C1334" s="10" t="s">
        <v>2185</v>
      </c>
      <c r="D1334" s="14" t="s">
        <v>2186</v>
      </c>
      <c r="E1334" s="10"/>
      <c r="F1334" s="10" t="s">
        <v>133</v>
      </c>
      <c r="G1334" s="111">
        <f>'Stavební rozpočet'!G1334</f>
      </c>
      <c r="H1334" s="111">
        <f>'Stavební rozpočet'!H1334</f>
      </c>
      <c r="I1334" s="111">
        <f>G1334*H1334</f>
      </c>
      <c r="J1334" s="153" t="s">
        <v>134</v>
      </c>
      <c r="K1334" s="146"/>
      <c r="Z1334" s="111">
        <f>IF(AQ1334="5",BJ1334,0)</f>
      </c>
      <c r="AB1334" s="111">
        <f>IF(AQ1334="1",BH1334,0)</f>
      </c>
      <c r="AC1334" s="111">
        <f>IF(AQ1334="1",BI1334,0)</f>
      </c>
      <c r="AD1334" s="111">
        <f>IF(AQ1334="7",BH1334,0)</f>
      </c>
      <c r="AE1334" s="111">
        <f>IF(AQ1334="7",BI1334,0)</f>
      </c>
      <c r="AF1334" s="111">
        <f>IF(AQ1334="2",BH1334,0)</f>
      </c>
      <c r="AG1334" s="111">
        <f>IF(AQ1334="2",BI1334,0)</f>
      </c>
      <c r="AH1334" s="111">
        <f>IF(AQ1334="0",BJ1334,0)</f>
      </c>
      <c r="AI1334" s="132" t="s">
        <v>84</v>
      </c>
      <c r="AJ1334" s="111">
        <f>IF(AN1334=0,I1334,0)</f>
      </c>
      <c r="AK1334" s="111">
        <f>IF(AN1334=12,I1334,0)</f>
      </c>
      <c r="AL1334" s="111">
        <f>IF(AN1334=21,I1334,0)</f>
      </c>
      <c r="AN1334" s="111" t="n">
        <v>21</v>
      </c>
      <c r="AO1334" s="111">
        <f>H1334*1</f>
      </c>
      <c r="AP1334" s="111">
        <f>H1334*(1-1)</f>
      </c>
      <c r="AQ1334" s="153" t="s">
        <v>173</v>
      </c>
      <c r="AV1334" s="111">
        <f>AW1334+AX1334</f>
      </c>
      <c r="AW1334" s="111">
        <f>G1334*AO1334</f>
      </c>
      <c r="AX1334" s="111">
        <f>G1334*AP1334</f>
      </c>
      <c r="AY1334" s="153" t="s">
        <v>2143</v>
      </c>
      <c r="AZ1334" s="153" t="s">
        <v>1999</v>
      </c>
      <c r="BA1334" s="132" t="s">
        <v>137</v>
      </c>
      <c r="BC1334" s="111">
        <f>AW1334+AX1334</f>
      </c>
      <c r="BD1334" s="111">
        <f>H1334/(100-BE1334)*100</f>
      </c>
      <c r="BE1334" s="111" t="n">
        <v>0</v>
      </c>
      <c r="BF1334" s="111">
        <f>1334</f>
      </c>
      <c r="BH1334" s="111">
        <f>G1334*AO1334</f>
      </c>
      <c r="BI1334" s="111">
        <f>G1334*AP1334</f>
      </c>
      <c r="BJ1334" s="111">
        <f>G1334*H1334</f>
      </c>
      <c r="BK1334" s="111"/>
      <c r="BL1334" s="111" t="n">
        <v>766</v>
      </c>
      <c r="BW1334" s="111" t="n">
        <v>21</v>
      </c>
      <c r="BX1334" s="14" t="s">
        <v>2186</v>
      </c>
    </row>
    <row r="1335">
      <c r="A1335" s="154"/>
      <c r="B1335" s="155"/>
      <c r="C1335" s="155"/>
      <c r="D1335" s="156" t="s">
        <v>130</v>
      </c>
      <c r="E1335" s="156" t="s">
        <v>2187</v>
      </c>
      <c r="F1335" s="155"/>
      <c r="G1335" s="157" t="n">
        <v>1</v>
      </c>
      <c r="H1335" s="155"/>
      <c r="I1335" s="155"/>
      <c r="J1335" s="155"/>
      <c r="K1335" s="146"/>
    </row>
    <row r="1336">
      <c r="A1336" s="154"/>
      <c r="B1336" s="155"/>
      <c r="C1336" s="155"/>
      <c r="D1336" s="156" t="s">
        <v>4</v>
      </c>
      <c r="E1336" s="156" t="s">
        <v>2180</v>
      </c>
      <c r="F1336" s="155"/>
      <c r="G1336" s="157" t="n">
        <v>0</v>
      </c>
      <c r="H1336" s="155"/>
      <c r="I1336" s="155"/>
      <c r="J1336" s="155"/>
      <c r="K1336" s="146"/>
    </row>
    <row r="1337">
      <c r="A1337" s="9" t="s">
        <v>2188</v>
      </c>
      <c r="B1337" s="10" t="s">
        <v>84</v>
      </c>
      <c r="C1337" s="10" t="s">
        <v>2189</v>
      </c>
      <c r="D1337" s="14" t="s">
        <v>2190</v>
      </c>
      <c r="E1337" s="10"/>
      <c r="F1337" s="10" t="s">
        <v>133</v>
      </c>
      <c r="G1337" s="111">
        <f>'Stavební rozpočet'!G1337</f>
      </c>
      <c r="H1337" s="111">
        <f>'Stavební rozpočet'!H1337</f>
      </c>
      <c r="I1337" s="111">
        <f>G1337*H1337</f>
      </c>
      <c r="J1337" s="153" t="s">
        <v>134</v>
      </c>
      <c r="K1337" s="146"/>
      <c r="Z1337" s="111">
        <f>IF(AQ1337="5",BJ1337,0)</f>
      </c>
      <c r="AB1337" s="111">
        <f>IF(AQ1337="1",BH1337,0)</f>
      </c>
      <c r="AC1337" s="111">
        <f>IF(AQ1337="1",BI1337,0)</f>
      </c>
      <c r="AD1337" s="111">
        <f>IF(AQ1337="7",BH1337,0)</f>
      </c>
      <c r="AE1337" s="111">
        <f>IF(AQ1337="7",BI1337,0)</f>
      </c>
      <c r="AF1337" s="111">
        <f>IF(AQ1337="2",BH1337,0)</f>
      </c>
      <c r="AG1337" s="111">
        <f>IF(AQ1337="2",BI1337,0)</f>
      </c>
      <c r="AH1337" s="111">
        <f>IF(AQ1337="0",BJ1337,0)</f>
      </c>
      <c r="AI1337" s="132" t="s">
        <v>84</v>
      </c>
      <c r="AJ1337" s="111">
        <f>IF(AN1337=0,I1337,0)</f>
      </c>
      <c r="AK1337" s="111">
        <f>IF(AN1337=12,I1337,0)</f>
      </c>
      <c r="AL1337" s="111">
        <f>IF(AN1337=21,I1337,0)</f>
      </c>
      <c r="AN1337" s="111" t="n">
        <v>21</v>
      </c>
      <c r="AO1337" s="111">
        <f>H1337*0</f>
      </c>
      <c r="AP1337" s="111">
        <f>H1337*(1-0)</f>
      </c>
      <c r="AQ1337" s="153" t="s">
        <v>173</v>
      </c>
      <c r="AV1337" s="111">
        <f>AW1337+AX1337</f>
      </c>
      <c r="AW1337" s="111">
        <f>G1337*AO1337</f>
      </c>
      <c r="AX1337" s="111">
        <f>G1337*AP1337</f>
      </c>
      <c r="AY1337" s="153" t="s">
        <v>2143</v>
      </c>
      <c r="AZ1337" s="153" t="s">
        <v>1999</v>
      </c>
      <c r="BA1337" s="132" t="s">
        <v>137</v>
      </c>
      <c r="BC1337" s="111">
        <f>AW1337+AX1337</f>
      </c>
      <c r="BD1337" s="111">
        <f>H1337/(100-BE1337)*100</f>
      </c>
      <c r="BE1337" s="111" t="n">
        <v>0</v>
      </c>
      <c r="BF1337" s="111">
        <f>1337</f>
      </c>
      <c r="BH1337" s="111">
        <f>G1337*AO1337</f>
      </c>
      <c r="BI1337" s="111">
        <f>G1337*AP1337</f>
      </c>
      <c r="BJ1337" s="111">
        <f>G1337*H1337</f>
      </c>
      <c r="BK1337" s="111"/>
      <c r="BL1337" s="111" t="n">
        <v>766</v>
      </c>
      <c r="BW1337" s="111" t="n">
        <v>21</v>
      </c>
      <c r="BX1337" s="14" t="s">
        <v>2190</v>
      </c>
    </row>
    <row r="1338" customHeight="true" ht="13.5">
      <c r="A1338" s="159"/>
      <c r="C1338" s="160" t="s">
        <v>146</v>
      </c>
      <c r="D1338" s="161" t="s">
        <v>2191</v>
      </c>
      <c r="E1338" s="156"/>
      <c r="F1338" s="156"/>
      <c r="G1338" s="156"/>
      <c r="H1338" s="156"/>
      <c r="I1338" s="156"/>
      <c r="J1338" s="156"/>
      <c r="K1338" s="163"/>
    </row>
    <row r="1339">
      <c r="A1339" s="154"/>
      <c r="B1339" s="155"/>
      <c r="C1339" s="155"/>
      <c r="D1339" s="156" t="s">
        <v>2192</v>
      </c>
      <c r="E1339" s="156" t="s">
        <v>2193</v>
      </c>
      <c r="F1339" s="155"/>
      <c r="G1339" s="157" t="n">
        <v>14</v>
      </c>
      <c r="H1339" s="155"/>
      <c r="I1339" s="155"/>
      <c r="J1339" s="155"/>
      <c r="K1339" s="146"/>
    </row>
    <row r="1340">
      <c r="A1340" s="9" t="s">
        <v>2194</v>
      </c>
      <c r="B1340" s="10" t="s">
        <v>84</v>
      </c>
      <c r="C1340" s="10" t="s">
        <v>2195</v>
      </c>
      <c r="D1340" s="14" t="s">
        <v>2196</v>
      </c>
      <c r="E1340" s="10"/>
      <c r="F1340" s="10" t="s">
        <v>133</v>
      </c>
      <c r="G1340" s="111">
        <f>'Stavební rozpočet'!G1340</f>
      </c>
      <c r="H1340" s="111">
        <f>'Stavební rozpočet'!H1340</f>
      </c>
      <c r="I1340" s="111">
        <f>G1340*H1340</f>
      </c>
      <c r="J1340" s="153" t="s">
        <v>134</v>
      </c>
      <c r="K1340" s="146"/>
      <c r="Z1340" s="111">
        <f>IF(AQ1340="5",BJ1340,0)</f>
      </c>
      <c r="AB1340" s="111">
        <f>IF(AQ1340="1",BH1340,0)</f>
      </c>
      <c r="AC1340" s="111">
        <f>IF(AQ1340="1",BI1340,0)</f>
      </c>
      <c r="AD1340" s="111">
        <f>IF(AQ1340="7",BH1340,0)</f>
      </c>
      <c r="AE1340" s="111">
        <f>IF(AQ1340="7",BI1340,0)</f>
      </c>
      <c r="AF1340" s="111">
        <f>IF(AQ1340="2",BH1340,0)</f>
      </c>
      <c r="AG1340" s="111">
        <f>IF(AQ1340="2",BI1340,0)</f>
      </c>
      <c r="AH1340" s="111">
        <f>IF(AQ1340="0",BJ1340,0)</f>
      </c>
      <c r="AI1340" s="132" t="s">
        <v>84</v>
      </c>
      <c r="AJ1340" s="111">
        <f>IF(AN1340=0,I1340,0)</f>
      </c>
      <c r="AK1340" s="111">
        <f>IF(AN1340=12,I1340,0)</f>
      </c>
      <c r="AL1340" s="111">
        <f>IF(AN1340=21,I1340,0)</f>
      </c>
      <c r="AN1340" s="111" t="n">
        <v>21</v>
      </c>
      <c r="AO1340" s="111">
        <f>H1340*1</f>
      </c>
      <c r="AP1340" s="111">
        <f>H1340*(1-1)</f>
      </c>
      <c r="AQ1340" s="153" t="s">
        <v>173</v>
      </c>
      <c r="AV1340" s="111">
        <f>AW1340+AX1340</f>
      </c>
      <c r="AW1340" s="111">
        <f>G1340*AO1340</f>
      </c>
      <c r="AX1340" s="111">
        <f>G1340*AP1340</f>
      </c>
      <c r="AY1340" s="153" t="s">
        <v>2143</v>
      </c>
      <c r="AZ1340" s="153" t="s">
        <v>1999</v>
      </c>
      <c r="BA1340" s="132" t="s">
        <v>137</v>
      </c>
      <c r="BC1340" s="111">
        <f>AW1340+AX1340</f>
      </c>
      <c r="BD1340" s="111">
        <f>H1340/(100-BE1340)*100</f>
      </c>
      <c r="BE1340" s="111" t="n">
        <v>0</v>
      </c>
      <c r="BF1340" s="111">
        <f>1340</f>
      </c>
      <c r="BH1340" s="111">
        <f>G1340*AO1340</f>
      </c>
      <c r="BI1340" s="111">
        <f>G1340*AP1340</f>
      </c>
      <c r="BJ1340" s="111">
        <f>G1340*H1340</f>
      </c>
      <c r="BK1340" s="111"/>
      <c r="BL1340" s="111" t="n">
        <v>766</v>
      </c>
      <c r="BW1340" s="111" t="n">
        <v>21</v>
      </c>
      <c r="BX1340" s="14" t="s">
        <v>2196</v>
      </c>
    </row>
    <row r="1341">
      <c r="A1341" s="154"/>
      <c r="B1341" s="155"/>
      <c r="C1341" s="155"/>
      <c r="D1341" s="156" t="s">
        <v>2192</v>
      </c>
      <c r="E1341" s="156" t="s">
        <v>2193</v>
      </c>
      <c r="F1341" s="155"/>
      <c r="G1341" s="157" t="n">
        <v>14</v>
      </c>
      <c r="H1341" s="155"/>
      <c r="I1341" s="155"/>
      <c r="J1341" s="155"/>
      <c r="K1341" s="146"/>
    </row>
    <row r="1342">
      <c r="A1342" s="9" t="s">
        <v>2197</v>
      </c>
      <c r="B1342" s="10" t="s">
        <v>84</v>
      </c>
      <c r="C1342" s="10" t="s">
        <v>2198</v>
      </c>
      <c r="D1342" s="14" t="s">
        <v>2199</v>
      </c>
      <c r="E1342" s="10"/>
      <c r="F1342" s="10" t="s">
        <v>133</v>
      </c>
      <c r="G1342" s="111">
        <f>'Stavební rozpočet'!G1342</f>
      </c>
      <c r="H1342" s="111">
        <f>'Stavební rozpočet'!H1342</f>
      </c>
      <c r="I1342" s="111">
        <f>G1342*H1342</f>
      </c>
      <c r="J1342" s="153" t="s">
        <v>134</v>
      </c>
      <c r="K1342" s="146"/>
      <c r="Z1342" s="111">
        <f>IF(AQ1342="5",BJ1342,0)</f>
      </c>
      <c r="AB1342" s="111">
        <f>IF(AQ1342="1",BH1342,0)</f>
      </c>
      <c r="AC1342" s="111">
        <f>IF(AQ1342="1",BI1342,0)</f>
      </c>
      <c r="AD1342" s="111">
        <f>IF(AQ1342="7",BH1342,0)</f>
      </c>
      <c r="AE1342" s="111">
        <f>IF(AQ1342="7",BI1342,0)</f>
      </c>
      <c r="AF1342" s="111">
        <f>IF(AQ1342="2",BH1342,0)</f>
      </c>
      <c r="AG1342" s="111">
        <f>IF(AQ1342="2",BI1342,0)</f>
      </c>
      <c r="AH1342" s="111">
        <f>IF(AQ1342="0",BJ1342,0)</f>
      </c>
      <c r="AI1342" s="132" t="s">
        <v>84</v>
      </c>
      <c r="AJ1342" s="111">
        <f>IF(AN1342=0,I1342,0)</f>
      </c>
      <c r="AK1342" s="111">
        <f>IF(AN1342=12,I1342,0)</f>
      </c>
      <c r="AL1342" s="111">
        <f>IF(AN1342=21,I1342,0)</f>
      </c>
      <c r="AN1342" s="111" t="n">
        <v>21</v>
      </c>
      <c r="AO1342" s="111">
        <f>H1342*0.034375252</f>
      </c>
      <c r="AP1342" s="111">
        <f>H1342*(1-0.034375252)</f>
      </c>
      <c r="AQ1342" s="153" t="s">
        <v>173</v>
      </c>
      <c r="AV1342" s="111">
        <f>AW1342+AX1342</f>
      </c>
      <c r="AW1342" s="111">
        <f>G1342*AO1342</f>
      </c>
      <c r="AX1342" s="111">
        <f>G1342*AP1342</f>
      </c>
      <c r="AY1342" s="153" t="s">
        <v>2143</v>
      </c>
      <c r="AZ1342" s="153" t="s">
        <v>1999</v>
      </c>
      <c r="BA1342" s="132" t="s">
        <v>137</v>
      </c>
      <c r="BC1342" s="111">
        <f>AW1342+AX1342</f>
      </c>
      <c r="BD1342" s="111">
        <f>H1342/(100-BE1342)*100</f>
      </c>
      <c r="BE1342" s="111" t="n">
        <v>0</v>
      </c>
      <c r="BF1342" s="111">
        <f>1342</f>
      </c>
      <c r="BH1342" s="111">
        <f>G1342*AO1342</f>
      </c>
      <c r="BI1342" s="111">
        <f>G1342*AP1342</f>
      </c>
      <c r="BJ1342" s="111">
        <f>G1342*H1342</f>
      </c>
      <c r="BK1342" s="111"/>
      <c r="BL1342" s="111" t="n">
        <v>766</v>
      </c>
      <c r="BW1342" s="111" t="n">
        <v>21</v>
      </c>
      <c r="BX1342" s="14" t="s">
        <v>2199</v>
      </c>
    </row>
    <row r="1343" customHeight="true" ht="13.5">
      <c r="A1343" s="159"/>
      <c r="C1343" s="160" t="s">
        <v>146</v>
      </c>
      <c r="D1343" s="161" t="s">
        <v>2200</v>
      </c>
      <c r="E1343" s="156"/>
      <c r="F1343" s="156"/>
      <c r="G1343" s="156"/>
      <c r="H1343" s="156"/>
      <c r="I1343" s="156"/>
      <c r="J1343" s="156"/>
      <c r="K1343" s="163"/>
    </row>
    <row r="1344">
      <c r="A1344" s="154"/>
      <c r="B1344" s="155"/>
      <c r="C1344" s="155"/>
      <c r="D1344" s="156" t="s">
        <v>130</v>
      </c>
      <c r="E1344" s="156" t="s">
        <v>2201</v>
      </c>
      <c r="F1344" s="155"/>
      <c r="G1344" s="157" t="n">
        <v>1</v>
      </c>
      <c r="H1344" s="155"/>
      <c r="I1344" s="155"/>
      <c r="J1344" s="155"/>
      <c r="K1344" s="146"/>
    </row>
    <row r="1345">
      <c r="A1345" s="9" t="s">
        <v>2202</v>
      </c>
      <c r="B1345" s="10" t="s">
        <v>84</v>
      </c>
      <c r="C1345" s="10" t="s">
        <v>2203</v>
      </c>
      <c r="D1345" s="14" t="s">
        <v>2199</v>
      </c>
      <c r="E1345" s="10"/>
      <c r="F1345" s="10" t="s">
        <v>133</v>
      </c>
      <c r="G1345" s="111">
        <f>'Stavební rozpočet'!G1345</f>
      </c>
      <c r="H1345" s="111">
        <f>'Stavební rozpočet'!H1345</f>
      </c>
      <c r="I1345" s="111">
        <f>G1345*H1345</f>
      </c>
      <c r="J1345" s="153" t="s">
        <v>134</v>
      </c>
      <c r="K1345" s="146"/>
      <c r="Z1345" s="111">
        <f>IF(AQ1345="5",BJ1345,0)</f>
      </c>
      <c r="AB1345" s="111">
        <f>IF(AQ1345="1",BH1345,0)</f>
      </c>
      <c r="AC1345" s="111">
        <f>IF(AQ1345="1",BI1345,0)</f>
      </c>
      <c r="AD1345" s="111">
        <f>IF(AQ1345="7",BH1345,0)</f>
      </c>
      <c r="AE1345" s="111">
        <f>IF(AQ1345="7",BI1345,0)</f>
      </c>
      <c r="AF1345" s="111">
        <f>IF(AQ1345="2",BH1345,0)</f>
      </c>
      <c r="AG1345" s="111">
        <f>IF(AQ1345="2",BI1345,0)</f>
      </c>
      <c r="AH1345" s="111">
        <f>IF(AQ1345="0",BJ1345,0)</f>
      </c>
      <c r="AI1345" s="132" t="s">
        <v>84</v>
      </c>
      <c r="AJ1345" s="111">
        <f>IF(AN1345=0,I1345,0)</f>
      </c>
      <c r="AK1345" s="111">
        <f>IF(AN1345=12,I1345,0)</f>
      </c>
      <c r="AL1345" s="111">
        <f>IF(AN1345=21,I1345,0)</f>
      </c>
      <c r="AN1345" s="111" t="n">
        <v>21</v>
      </c>
      <c r="AO1345" s="111">
        <f>H1345*0.034375252</f>
      </c>
      <c r="AP1345" s="111">
        <f>H1345*(1-0.034375252)</f>
      </c>
      <c r="AQ1345" s="153" t="s">
        <v>173</v>
      </c>
      <c r="AV1345" s="111">
        <f>AW1345+AX1345</f>
      </c>
      <c r="AW1345" s="111">
        <f>G1345*AO1345</f>
      </c>
      <c r="AX1345" s="111">
        <f>G1345*AP1345</f>
      </c>
      <c r="AY1345" s="153" t="s">
        <v>2143</v>
      </c>
      <c r="AZ1345" s="153" t="s">
        <v>1999</v>
      </c>
      <c r="BA1345" s="132" t="s">
        <v>137</v>
      </c>
      <c r="BC1345" s="111">
        <f>AW1345+AX1345</f>
      </c>
      <c r="BD1345" s="111">
        <f>H1345/(100-BE1345)*100</f>
      </c>
      <c r="BE1345" s="111" t="n">
        <v>0</v>
      </c>
      <c r="BF1345" s="111">
        <f>1345</f>
      </c>
      <c r="BH1345" s="111">
        <f>G1345*AO1345</f>
      </c>
      <c r="BI1345" s="111">
        <f>G1345*AP1345</f>
      </c>
      <c r="BJ1345" s="111">
        <f>G1345*H1345</f>
      </c>
      <c r="BK1345" s="111"/>
      <c r="BL1345" s="111" t="n">
        <v>766</v>
      </c>
      <c r="BW1345" s="111" t="n">
        <v>21</v>
      </c>
      <c r="BX1345" s="14" t="s">
        <v>2199</v>
      </c>
    </row>
    <row r="1346" customHeight="true" ht="13.5">
      <c r="A1346" s="159"/>
      <c r="C1346" s="160" t="s">
        <v>146</v>
      </c>
      <c r="D1346" s="161" t="s">
        <v>2200</v>
      </c>
      <c r="E1346" s="156"/>
      <c r="F1346" s="156"/>
      <c r="G1346" s="156"/>
      <c r="H1346" s="156"/>
      <c r="I1346" s="156"/>
      <c r="J1346" s="156"/>
      <c r="K1346" s="163"/>
    </row>
    <row r="1347">
      <c r="A1347" s="154"/>
      <c r="B1347" s="155"/>
      <c r="C1347" s="155"/>
      <c r="D1347" s="156" t="s">
        <v>130</v>
      </c>
      <c r="E1347" s="156" t="s">
        <v>2204</v>
      </c>
      <c r="F1347" s="155"/>
      <c r="G1347" s="157" t="n">
        <v>1</v>
      </c>
      <c r="H1347" s="155"/>
      <c r="I1347" s="155"/>
      <c r="J1347" s="155"/>
      <c r="K1347" s="146"/>
    </row>
    <row r="1348">
      <c r="A1348" s="9" t="s">
        <v>2205</v>
      </c>
      <c r="B1348" s="10" t="s">
        <v>84</v>
      </c>
      <c r="C1348" s="10" t="s">
        <v>2206</v>
      </c>
      <c r="D1348" s="14" t="s">
        <v>2199</v>
      </c>
      <c r="E1348" s="10"/>
      <c r="F1348" s="10" t="s">
        <v>133</v>
      </c>
      <c r="G1348" s="111">
        <f>'Stavební rozpočet'!G1348</f>
      </c>
      <c r="H1348" s="111">
        <f>'Stavební rozpočet'!H1348</f>
      </c>
      <c r="I1348" s="111">
        <f>G1348*H1348</f>
      </c>
      <c r="J1348" s="153" t="s">
        <v>134</v>
      </c>
      <c r="K1348" s="146"/>
      <c r="Z1348" s="111">
        <f>IF(AQ1348="5",BJ1348,0)</f>
      </c>
      <c r="AB1348" s="111">
        <f>IF(AQ1348="1",BH1348,0)</f>
      </c>
      <c r="AC1348" s="111">
        <f>IF(AQ1348="1",BI1348,0)</f>
      </c>
      <c r="AD1348" s="111">
        <f>IF(AQ1348="7",BH1348,0)</f>
      </c>
      <c r="AE1348" s="111">
        <f>IF(AQ1348="7",BI1348,0)</f>
      </c>
      <c r="AF1348" s="111">
        <f>IF(AQ1348="2",BH1348,0)</f>
      </c>
      <c r="AG1348" s="111">
        <f>IF(AQ1348="2",BI1348,0)</f>
      </c>
      <c r="AH1348" s="111">
        <f>IF(AQ1348="0",BJ1348,0)</f>
      </c>
      <c r="AI1348" s="132" t="s">
        <v>84</v>
      </c>
      <c r="AJ1348" s="111">
        <f>IF(AN1348=0,I1348,0)</f>
      </c>
      <c r="AK1348" s="111">
        <f>IF(AN1348=12,I1348,0)</f>
      </c>
      <c r="AL1348" s="111">
        <f>IF(AN1348=21,I1348,0)</f>
      </c>
      <c r="AN1348" s="111" t="n">
        <v>21</v>
      </c>
      <c r="AO1348" s="111">
        <f>H1348*0.034375055</f>
      </c>
      <c r="AP1348" s="111">
        <f>H1348*(1-0.034375055)</f>
      </c>
      <c r="AQ1348" s="153" t="s">
        <v>173</v>
      </c>
      <c r="AV1348" s="111">
        <f>AW1348+AX1348</f>
      </c>
      <c r="AW1348" s="111">
        <f>G1348*AO1348</f>
      </c>
      <c r="AX1348" s="111">
        <f>G1348*AP1348</f>
      </c>
      <c r="AY1348" s="153" t="s">
        <v>2143</v>
      </c>
      <c r="AZ1348" s="153" t="s">
        <v>1999</v>
      </c>
      <c r="BA1348" s="132" t="s">
        <v>137</v>
      </c>
      <c r="BC1348" s="111">
        <f>AW1348+AX1348</f>
      </c>
      <c r="BD1348" s="111">
        <f>H1348/(100-BE1348)*100</f>
      </c>
      <c r="BE1348" s="111" t="n">
        <v>0</v>
      </c>
      <c r="BF1348" s="111">
        <f>1348</f>
      </c>
      <c r="BH1348" s="111">
        <f>G1348*AO1348</f>
      </c>
      <c r="BI1348" s="111">
        <f>G1348*AP1348</f>
      </c>
      <c r="BJ1348" s="111">
        <f>G1348*H1348</f>
      </c>
      <c r="BK1348" s="111"/>
      <c r="BL1348" s="111" t="n">
        <v>766</v>
      </c>
      <c r="BW1348" s="111" t="n">
        <v>21</v>
      </c>
      <c r="BX1348" s="14" t="s">
        <v>2199</v>
      </c>
    </row>
    <row r="1349" customHeight="true" ht="13.5">
      <c r="A1349" s="159"/>
      <c r="C1349" s="160" t="s">
        <v>146</v>
      </c>
      <c r="D1349" s="161" t="s">
        <v>2200</v>
      </c>
      <c r="E1349" s="156"/>
      <c r="F1349" s="156"/>
      <c r="G1349" s="156"/>
      <c r="H1349" s="156"/>
      <c r="I1349" s="156"/>
      <c r="J1349" s="156"/>
      <c r="K1349" s="163"/>
    </row>
    <row r="1350">
      <c r="A1350" s="154"/>
      <c r="B1350" s="155"/>
      <c r="C1350" s="155"/>
      <c r="D1350" s="156" t="s">
        <v>130</v>
      </c>
      <c r="E1350" s="156" t="s">
        <v>2207</v>
      </c>
      <c r="F1350" s="155"/>
      <c r="G1350" s="157" t="n">
        <v>1</v>
      </c>
      <c r="H1350" s="155"/>
      <c r="I1350" s="155"/>
      <c r="J1350" s="155"/>
      <c r="K1350" s="146"/>
    </row>
    <row r="1351">
      <c r="A1351" s="9" t="s">
        <v>2208</v>
      </c>
      <c r="B1351" s="10" t="s">
        <v>84</v>
      </c>
      <c r="C1351" s="10" t="s">
        <v>2209</v>
      </c>
      <c r="D1351" s="14" t="s">
        <v>2199</v>
      </c>
      <c r="E1351" s="10"/>
      <c r="F1351" s="10" t="s">
        <v>133</v>
      </c>
      <c r="G1351" s="111">
        <f>'Stavební rozpočet'!G1351</f>
      </c>
      <c r="H1351" s="111">
        <f>'Stavební rozpočet'!H1351</f>
      </c>
      <c r="I1351" s="111">
        <f>G1351*H1351</f>
      </c>
      <c r="J1351" s="153" t="s">
        <v>134</v>
      </c>
      <c r="K1351" s="146"/>
      <c r="Z1351" s="111">
        <f>IF(AQ1351="5",BJ1351,0)</f>
      </c>
      <c r="AB1351" s="111">
        <f>IF(AQ1351="1",BH1351,0)</f>
      </c>
      <c r="AC1351" s="111">
        <f>IF(AQ1351="1",BI1351,0)</f>
      </c>
      <c r="AD1351" s="111">
        <f>IF(AQ1351="7",BH1351,0)</f>
      </c>
      <c r="AE1351" s="111">
        <f>IF(AQ1351="7",BI1351,0)</f>
      </c>
      <c r="AF1351" s="111">
        <f>IF(AQ1351="2",BH1351,0)</f>
      </c>
      <c r="AG1351" s="111">
        <f>IF(AQ1351="2",BI1351,0)</f>
      </c>
      <c r="AH1351" s="111">
        <f>IF(AQ1351="0",BJ1351,0)</f>
      </c>
      <c r="AI1351" s="132" t="s">
        <v>84</v>
      </c>
      <c r="AJ1351" s="111">
        <f>IF(AN1351=0,I1351,0)</f>
      </c>
      <c r="AK1351" s="111">
        <f>IF(AN1351=12,I1351,0)</f>
      </c>
      <c r="AL1351" s="111">
        <f>IF(AN1351=21,I1351,0)</f>
      </c>
      <c r="AN1351" s="111" t="n">
        <v>21</v>
      </c>
      <c r="AO1351" s="111">
        <f>H1351*0.034375438</f>
      </c>
      <c r="AP1351" s="111">
        <f>H1351*(1-0.034375438)</f>
      </c>
      <c r="AQ1351" s="153" t="s">
        <v>173</v>
      </c>
      <c r="AV1351" s="111">
        <f>AW1351+AX1351</f>
      </c>
      <c r="AW1351" s="111">
        <f>G1351*AO1351</f>
      </c>
      <c r="AX1351" s="111">
        <f>G1351*AP1351</f>
      </c>
      <c r="AY1351" s="153" t="s">
        <v>2143</v>
      </c>
      <c r="AZ1351" s="153" t="s">
        <v>1999</v>
      </c>
      <c r="BA1351" s="132" t="s">
        <v>137</v>
      </c>
      <c r="BC1351" s="111">
        <f>AW1351+AX1351</f>
      </c>
      <c r="BD1351" s="111">
        <f>H1351/(100-BE1351)*100</f>
      </c>
      <c r="BE1351" s="111" t="n">
        <v>0</v>
      </c>
      <c r="BF1351" s="111">
        <f>1351</f>
      </c>
      <c r="BH1351" s="111">
        <f>G1351*AO1351</f>
      </c>
      <c r="BI1351" s="111">
        <f>G1351*AP1351</f>
      </c>
      <c r="BJ1351" s="111">
        <f>G1351*H1351</f>
      </c>
      <c r="BK1351" s="111"/>
      <c r="BL1351" s="111" t="n">
        <v>766</v>
      </c>
      <c r="BW1351" s="111" t="n">
        <v>21</v>
      </c>
      <c r="BX1351" s="14" t="s">
        <v>2199</v>
      </c>
    </row>
    <row r="1352" customHeight="true" ht="13.5">
      <c r="A1352" s="159"/>
      <c r="C1352" s="160" t="s">
        <v>146</v>
      </c>
      <c r="D1352" s="161" t="s">
        <v>2200</v>
      </c>
      <c r="E1352" s="156"/>
      <c r="F1352" s="156"/>
      <c r="G1352" s="156"/>
      <c r="H1352" s="156"/>
      <c r="I1352" s="156"/>
      <c r="J1352" s="156"/>
      <c r="K1352" s="163"/>
    </row>
    <row r="1353">
      <c r="A1353" s="154"/>
      <c r="B1353" s="155"/>
      <c r="C1353" s="155"/>
      <c r="D1353" s="156" t="s">
        <v>130</v>
      </c>
      <c r="E1353" s="156" t="s">
        <v>2210</v>
      </c>
      <c r="F1353" s="155"/>
      <c r="G1353" s="157" t="n">
        <v>1</v>
      </c>
      <c r="H1353" s="155"/>
      <c r="I1353" s="155"/>
      <c r="J1353" s="155"/>
      <c r="K1353" s="146"/>
    </row>
    <row r="1354">
      <c r="A1354" s="9" t="s">
        <v>2211</v>
      </c>
      <c r="B1354" s="10" t="s">
        <v>84</v>
      </c>
      <c r="C1354" s="10" t="s">
        <v>2212</v>
      </c>
      <c r="D1354" s="14" t="s">
        <v>2199</v>
      </c>
      <c r="E1354" s="10"/>
      <c r="F1354" s="10" t="s">
        <v>133</v>
      </c>
      <c r="G1354" s="111">
        <f>'Stavební rozpočet'!G1354</f>
      </c>
      <c r="H1354" s="111">
        <f>'Stavební rozpočet'!H1354</f>
      </c>
      <c r="I1354" s="111">
        <f>G1354*H1354</f>
      </c>
      <c r="J1354" s="153" t="s">
        <v>134</v>
      </c>
      <c r="K1354" s="146"/>
      <c r="Z1354" s="111">
        <f>IF(AQ1354="5",BJ1354,0)</f>
      </c>
      <c r="AB1354" s="111">
        <f>IF(AQ1354="1",BH1354,0)</f>
      </c>
      <c r="AC1354" s="111">
        <f>IF(AQ1354="1",BI1354,0)</f>
      </c>
      <c r="AD1354" s="111">
        <f>IF(AQ1354="7",BH1354,0)</f>
      </c>
      <c r="AE1354" s="111">
        <f>IF(AQ1354="7",BI1354,0)</f>
      </c>
      <c r="AF1354" s="111">
        <f>IF(AQ1354="2",BH1354,0)</f>
      </c>
      <c r="AG1354" s="111">
        <f>IF(AQ1354="2",BI1354,0)</f>
      </c>
      <c r="AH1354" s="111">
        <f>IF(AQ1354="0",BJ1354,0)</f>
      </c>
      <c r="AI1354" s="132" t="s">
        <v>84</v>
      </c>
      <c r="AJ1354" s="111">
        <f>IF(AN1354=0,I1354,0)</f>
      </c>
      <c r="AK1354" s="111">
        <f>IF(AN1354=12,I1354,0)</f>
      </c>
      <c r="AL1354" s="111">
        <f>IF(AN1354=21,I1354,0)</f>
      </c>
      <c r="AN1354" s="111" t="n">
        <v>21</v>
      </c>
      <c r="AO1354" s="111">
        <f>H1354*0.034375438</f>
      </c>
      <c r="AP1354" s="111">
        <f>H1354*(1-0.034375438)</f>
      </c>
      <c r="AQ1354" s="153" t="s">
        <v>173</v>
      </c>
      <c r="AV1354" s="111">
        <f>AW1354+AX1354</f>
      </c>
      <c r="AW1354" s="111">
        <f>G1354*AO1354</f>
      </c>
      <c r="AX1354" s="111">
        <f>G1354*AP1354</f>
      </c>
      <c r="AY1354" s="153" t="s">
        <v>2143</v>
      </c>
      <c r="AZ1354" s="153" t="s">
        <v>1999</v>
      </c>
      <c r="BA1354" s="132" t="s">
        <v>137</v>
      </c>
      <c r="BC1354" s="111">
        <f>AW1354+AX1354</f>
      </c>
      <c r="BD1354" s="111">
        <f>H1354/(100-BE1354)*100</f>
      </c>
      <c r="BE1354" s="111" t="n">
        <v>0</v>
      </c>
      <c r="BF1354" s="111">
        <f>1354</f>
      </c>
      <c r="BH1354" s="111">
        <f>G1354*AO1354</f>
      </c>
      <c r="BI1354" s="111">
        <f>G1354*AP1354</f>
      </c>
      <c r="BJ1354" s="111">
        <f>G1354*H1354</f>
      </c>
      <c r="BK1354" s="111"/>
      <c r="BL1354" s="111" t="n">
        <v>766</v>
      </c>
      <c r="BW1354" s="111" t="n">
        <v>21</v>
      </c>
      <c r="BX1354" s="14" t="s">
        <v>2199</v>
      </c>
    </row>
    <row r="1355" customHeight="true" ht="13.5">
      <c r="A1355" s="159"/>
      <c r="C1355" s="160" t="s">
        <v>146</v>
      </c>
      <c r="D1355" s="161" t="s">
        <v>2200</v>
      </c>
      <c r="E1355" s="156"/>
      <c r="F1355" s="156"/>
      <c r="G1355" s="156"/>
      <c r="H1355" s="156"/>
      <c r="I1355" s="156"/>
      <c r="J1355" s="156"/>
      <c r="K1355" s="163"/>
    </row>
    <row r="1356">
      <c r="A1356" s="154"/>
      <c r="B1356" s="155"/>
      <c r="C1356" s="155"/>
      <c r="D1356" s="156" t="s">
        <v>130</v>
      </c>
      <c r="E1356" s="156" t="s">
        <v>2213</v>
      </c>
      <c r="F1356" s="155"/>
      <c r="G1356" s="157" t="n">
        <v>1</v>
      </c>
      <c r="H1356" s="155"/>
      <c r="I1356" s="155"/>
      <c r="J1356" s="155"/>
      <c r="K1356" s="146"/>
    </row>
    <row r="1357">
      <c r="A1357" s="9" t="s">
        <v>2214</v>
      </c>
      <c r="B1357" s="10" t="s">
        <v>84</v>
      </c>
      <c r="C1357" s="10" t="s">
        <v>2215</v>
      </c>
      <c r="D1357" s="14" t="s">
        <v>2216</v>
      </c>
      <c r="E1357" s="10"/>
      <c r="F1357" s="10" t="s">
        <v>133</v>
      </c>
      <c r="G1357" s="111">
        <f>'Stavební rozpočet'!G1357</f>
      </c>
      <c r="H1357" s="111">
        <f>'Stavební rozpočet'!H1357</f>
      </c>
      <c r="I1357" s="111">
        <f>G1357*H1357</f>
      </c>
      <c r="J1357" s="153" t="s">
        <v>134</v>
      </c>
      <c r="K1357" s="146"/>
      <c r="Z1357" s="111">
        <f>IF(AQ1357="5",BJ1357,0)</f>
      </c>
      <c r="AB1357" s="111">
        <f>IF(AQ1357="1",BH1357,0)</f>
      </c>
      <c r="AC1357" s="111">
        <f>IF(AQ1357="1",BI1357,0)</f>
      </c>
      <c r="AD1357" s="111">
        <f>IF(AQ1357="7",BH1357,0)</f>
      </c>
      <c r="AE1357" s="111">
        <f>IF(AQ1357="7",BI1357,0)</f>
      </c>
      <c r="AF1357" s="111">
        <f>IF(AQ1357="2",BH1357,0)</f>
      </c>
      <c r="AG1357" s="111">
        <f>IF(AQ1357="2",BI1357,0)</f>
      </c>
      <c r="AH1357" s="111">
        <f>IF(AQ1357="0",BJ1357,0)</f>
      </c>
      <c r="AI1357" s="132" t="s">
        <v>84</v>
      </c>
      <c r="AJ1357" s="111">
        <f>IF(AN1357=0,I1357,0)</f>
      </c>
      <c r="AK1357" s="111">
        <f>IF(AN1357=12,I1357,0)</f>
      </c>
      <c r="AL1357" s="111">
        <f>IF(AN1357=21,I1357,0)</f>
      </c>
      <c r="AN1357" s="111" t="n">
        <v>21</v>
      </c>
      <c r="AO1357" s="111">
        <f>H1357*0</f>
      </c>
      <c r="AP1357" s="111">
        <f>H1357*(1-0)</f>
      </c>
      <c r="AQ1357" s="153" t="s">
        <v>173</v>
      </c>
      <c r="AV1357" s="111">
        <f>AW1357+AX1357</f>
      </c>
      <c r="AW1357" s="111">
        <f>G1357*AO1357</f>
      </c>
      <c r="AX1357" s="111">
        <f>G1357*AP1357</f>
      </c>
      <c r="AY1357" s="153" t="s">
        <v>2143</v>
      </c>
      <c r="AZ1357" s="153" t="s">
        <v>1999</v>
      </c>
      <c r="BA1357" s="132" t="s">
        <v>137</v>
      </c>
      <c r="BC1357" s="111">
        <f>AW1357+AX1357</f>
      </c>
      <c r="BD1357" s="111">
        <f>H1357/(100-BE1357)*100</f>
      </c>
      <c r="BE1357" s="111" t="n">
        <v>0</v>
      </c>
      <c r="BF1357" s="111">
        <f>1357</f>
      </c>
      <c r="BH1357" s="111">
        <f>G1357*AO1357</f>
      </c>
      <c r="BI1357" s="111">
        <f>G1357*AP1357</f>
      </c>
      <c r="BJ1357" s="111">
        <f>G1357*H1357</f>
      </c>
      <c r="BK1357" s="111"/>
      <c r="BL1357" s="111" t="n">
        <v>766</v>
      </c>
      <c r="BW1357" s="111" t="n">
        <v>21</v>
      </c>
      <c r="BX1357" s="14" t="s">
        <v>2216</v>
      </c>
    </row>
    <row r="1358" customHeight="true" ht="13.5">
      <c r="A1358" s="159"/>
      <c r="C1358" s="160" t="s">
        <v>146</v>
      </c>
      <c r="D1358" s="161" t="s">
        <v>2217</v>
      </c>
      <c r="E1358" s="156"/>
      <c r="F1358" s="156"/>
      <c r="G1358" s="156"/>
      <c r="H1358" s="156"/>
      <c r="I1358" s="156"/>
      <c r="J1358" s="156"/>
      <c r="K1358" s="163"/>
    </row>
    <row r="1359">
      <c r="A1359" s="154"/>
      <c r="B1359" s="155"/>
      <c r="C1359" s="155"/>
      <c r="D1359" s="156" t="s">
        <v>140</v>
      </c>
      <c r="E1359" s="156" t="s">
        <v>2218</v>
      </c>
      <c r="F1359" s="155"/>
      <c r="G1359" s="157" t="n">
        <v>2</v>
      </c>
      <c r="H1359" s="155"/>
      <c r="I1359" s="155"/>
      <c r="J1359" s="155"/>
      <c r="K1359" s="146"/>
    </row>
    <row r="1360">
      <c r="A1360" s="9" t="s">
        <v>2219</v>
      </c>
      <c r="B1360" s="10" t="s">
        <v>84</v>
      </c>
      <c r="C1360" s="10" t="s">
        <v>2220</v>
      </c>
      <c r="D1360" s="14" t="s">
        <v>2221</v>
      </c>
      <c r="E1360" s="10"/>
      <c r="F1360" s="10" t="s">
        <v>145</v>
      </c>
      <c r="G1360" s="111">
        <f>'Stavební rozpočet'!G1360</f>
      </c>
      <c r="H1360" s="111">
        <f>'Stavební rozpočet'!H1360</f>
      </c>
      <c r="I1360" s="111">
        <f>G1360*H1360</f>
      </c>
      <c r="J1360" s="153" t="s">
        <v>134</v>
      </c>
      <c r="K1360" s="146"/>
      <c r="Z1360" s="111">
        <f>IF(AQ1360="5",BJ1360,0)</f>
      </c>
      <c r="AB1360" s="111">
        <f>IF(AQ1360="1",BH1360,0)</f>
      </c>
      <c r="AC1360" s="111">
        <f>IF(AQ1360="1",BI1360,0)</f>
      </c>
      <c r="AD1360" s="111">
        <f>IF(AQ1360="7",BH1360,0)</f>
      </c>
      <c r="AE1360" s="111">
        <f>IF(AQ1360="7",BI1360,0)</f>
      </c>
      <c r="AF1360" s="111">
        <f>IF(AQ1360="2",BH1360,0)</f>
      </c>
      <c r="AG1360" s="111">
        <f>IF(AQ1360="2",BI1360,0)</f>
      </c>
      <c r="AH1360" s="111">
        <f>IF(AQ1360="0",BJ1360,0)</f>
      </c>
      <c r="AI1360" s="132" t="s">
        <v>84</v>
      </c>
      <c r="AJ1360" s="111">
        <f>IF(AN1360=0,I1360,0)</f>
      </c>
      <c r="AK1360" s="111">
        <f>IF(AN1360=12,I1360,0)</f>
      </c>
      <c r="AL1360" s="111">
        <f>IF(AN1360=21,I1360,0)</f>
      </c>
      <c r="AN1360" s="111" t="n">
        <v>21</v>
      </c>
      <c r="AO1360" s="111">
        <f>H1360*0.016230937</f>
      </c>
      <c r="AP1360" s="111">
        <f>H1360*(1-0.016230937)</f>
      </c>
      <c r="AQ1360" s="153" t="s">
        <v>173</v>
      </c>
      <c r="AV1360" s="111">
        <f>AW1360+AX1360</f>
      </c>
      <c r="AW1360" s="111">
        <f>G1360*AO1360</f>
      </c>
      <c r="AX1360" s="111">
        <f>G1360*AP1360</f>
      </c>
      <c r="AY1360" s="153" t="s">
        <v>2143</v>
      </c>
      <c r="AZ1360" s="153" t="s">
        <v>1999</v>
      </c>
      <c r="BA1360" s="132" t="s">
        <v>137</v>
      </c>
      <c r="BC1360" s="111">
        <f>AW1360+AX1360</f>
      </c>
      <c r="BD1360" s="111">
        <f>H1360/(100-BE1360)*100</f>
      </c>
      <c r="BE1360" s="111" t="n">
        <v>0</v>
      </c>
      <c r="BF1360" s="111">
        <f>1360</f>
      </c>
      <c r="BH1360" s="111">
        <f>G1360*AO1360</f>
      </c>
      <c r="BI1360" s="111">
        <f>G1360*AP1360</f>
      </c>
      <c r="BJ1360" s="111">
        <f>G1360*H1360</f>
      </c>
      <c r="BK1360" s="111"/>
      <c r="BL1360" s="111" t="n">
        <v>766</v>
      </c>
      <c r="BW1360" s="111" t="n">
        <v>21</v>
      </c>
      <c r="BX1360" s="14" t="s">
        <v>2221</v>
      </c>
    </row>
    <row r="1361" customHeight="true" ht="13.5">
      <c r="A1361" s="159"/>
      <c r="C1361" s="160" t="s">
        <v>146</v>
      </c>
      <c r="D1361" s="161" t="s">
        <v>2222</v>
      </c>
      <c r="E1361" s="156"/>
      <c r="F1361" s="156"/>
      <c r="G1361" s="156"/>
      <c r="H1361" s="156"/>
      <c r="I1361" s="156"/>
      <c r="J1361" s="156"/>
      <c r="K1361" s="163"/>
    </row>
    <row r="1362">
      <c r="A1362" s="154"/>
      <c r="B1362" s="155"/>
      <c r="C1362" s="155"/>
      <c r="D1362" s="156" t="s">
        <v>2223</v>
      </c>
      <c r="E1362" s="156" t="s">
        <v>2224</v>
      </c>
      <c r="F1362" s="155"/>
      <c r="G1362" s="157" t="n">
        <v>165.5</v>
      </c>
      <c r="H1362" s="155"/>
      <c r="I1362" s="155"/>
      <c r="J1362" s="155"/>
      <c r="K1362" s="146"/>
    </row>
    <row r="1363">
      <c r="A1363" s="9" t="s">
        <v>2225</v>
      </c>
      <c r="B1363" s="10" t="s">
        <v>84</v>
      </c>
      <c r="C1363" s="10" t="s">
        <v>2226</v>
      </c>
      <c r="D1363" s="14" t="s">
        <v>2227</v>
      </c>
      <c r="E1363" s="10"/>
      <c r="F1363" s="10" t="s">
        <v>145</v>
      </c>
      <c r="G1363" s="111">
        <f>'Stavební rozpočet'!G1363</f>
      </c>
      <c r="H1363" s="111">
        <f>'Stavební rozpočet'!H1363</f>
      </c>
      <c r="I1363" s="111">
        <f>G1363*H1363</f>
      </c>
      <c r="J1363" s="153" t="s">
        <v>134</v>
      </c>
      <c r="K1363" s="146"/>
      <c r="Z1363" s="111">
        <f>IF(AQ1363="5",BJ1363,0)</f>
      </c>
      <c r="AB1363" s="111">
        <f>IF(AQ1363="1",BH1363,0)</f>
      </c>
      <c r="AC1363" s="111">
        <f>IF(AQ1363="1",BI1363,0)</f>
      </c>
      <c r="AD1363" s="111">
        <f>IF(AQ1363="7",BH1363,0)</f>
      </c>
      <c r="AE1363" s="111">
        <f>IF(AQ1363="7",BI1363,0)</f>
      </c>
      <c r="AF1363" s="111">
        <f>IF(AQ1363="2",BH1363,0)</f>
      </c>
      <c r="AG1363" s="111">
        <f>IF(AQ1363="2",BI1363,0)</f>
      </c>
      <c r="AH1363" s="111">
        <f>IF(AQ1363="0",BJ1363,0)</f>
      </c>
      <c r="AI1363" s="132" t="s">
        <v>84</v>
      </c>
      <c r="AJ1363" s="111">
        <f>IF(AN1363=0,I1363,0)</f>
      </c>
      <c r="AK1363" s="111">
        <f>IF(AN1363=12,I1363,0)</f>
      </c>
      <c r="AL1363" s="111">
        <f>IF(AN1363=21,I1363,0)</f>
      </c>
      <c r="AN1363" s="111" t="n">
        <v>21</v>
      </c>
      <c r="AO1363" s="111">
        <f>H1363*1</f>
      </c>
      <c r="AP1363" s="111">
        <f>H1363*(1-1)</f>
      </c>
      <c r="AQ1363" s="153" t="s">
        <v>173</v>
      </c>
      <c r="AV1363" s="111">
        <f>AW1363+AX1363</f>
      </c>
      <c r="AW1363" s="111">
        <f>G1363*AO1363</f>
      </c>
      <c r="AX1363" s="111">
        <f>G1363*AP1363</f>
      </c>
      <c r="AY1363" s="153" t="s">
        <v>2143</v>
      </c>
      <c r="AZ1363" s="153" t="s">
        <v>1999</v>
      </c>
      <c r="BA1363" s="132" t="s">
        <v>137</v>
      </c>
      <c r="BC1363" s="111">
        <f>AW1363+AX1363</f>
      </c>
      <c r="BD1363" s="111">
        <f>H1363/(100-BE1363)*100</f>
      </c>
      <c r="BE1363" s="111" t="n">
        <v>0</v>
      </c>
      <c r="BF1363" s="111">
        <f>1363</f>
      </c>
      <c r="BH1363" s="111">
        <f>G1363*AO1363</f>
      </c>
      <c r="BI1363" s="111">
        <f>G1363*AP1363</f>
      </c>
      <c r="BJ1363" s="111">
        <f>G1363*H1363</f>
      </c>
      <c r="BK1363" s="111"/>
      <c r="BL1363" s="111" t="n">
        <v>766</v>
      </c>
      <c r="BW1363" s="111" t="n">
        <v>21</v>
      </c>
      <c r="BX1363" s="14" t="s">
        <v>2227</v>
      </c>
    </row>
    <row r="1364">
      <c r="A1364" s="154"/>
      <c r="B1364" s="155"/>
      <c r="C1364" s="155"/>
      <c r="D1364" s="156" t="s">
        <v>2223</v>
      </c>
      <c r="E1364" s="156" t="s">
        <v>2228</v>
      </c>
      <c r="F1364" s="155"/>
      <c r="G1364" s="157" t="n">
        <v>165.5</v>
      </c>
      <c r="H1364" s="155"/>
      <c r="I1364" s="155"/>
      <c r="J1364" s="155"/>
      <c r="K1364" s="146"/>
    </row>
    <row r="1365">
      <c r="A1365" s="154"/>
      <c r="B1365" s="155"/>
      <c r="C1365" s="155"/>
      <c r="D1365" s="156" t="s">
        <v>2229</v>
      </c>
      <c r="E1365" s="156" t="s">
        <v>1716</v>
      </c>
      <c r="F1365" s="155"/>
      <c r="G1365" s="157" t="n">
        <v>13.24</v>
      </c>
      <c r="H1365" s="155"/>
      <c r="I1365" s="155"/>
      <c r="J1365" s="155"/>
      <c r="K1365" s="146"/>
    </row>
    <row r="1366">
      <c r="A1366" s="9" t="s">
        <v>2230</v>
      </c>
      <c r="B1366" s="10" t="s">
        <v>84</v>
      </c>
      <c r="C1366" s="10" t="s">
        <v>2231</v>
      </c>
      <c r="D1366" s="14" t="s">
        <v>2232</v>
      </c>
      <c r="E1366" s="10"/>
      <c r="F1366" s="10" t="s">
        <v>145</v>
      </c>
      <c r="G1366" s="111">
        <f>'Stavební rozpočet'!G1366</f>
      </c>
      <c r="H1366" s="111">
        <f>'Stavební rozpočet'!H1366</f>
      </c>
      <c r="I1366" s="111">
        <f>G1366*H1366</f>
      </c>
      <c r="J1366" s="153" t="s">
        <v>134</v>
      </c>
      <c r="K1366" s="146"/>
      <c r="Z1366" s="111">
        <f>IF(AQ1366="5",BJ1366,0)</f>
      </c>
      <c r="AB1366" s="111">
        <f>IF(AQ1366="1",BH1366,0)</f>
      </c>
      <c r="AC1366" s="111">
        <f>IF(AQ1366="1",BI1366,0)</f>
      </c>
      <c r="AD1366" s="111">
        <f>IF(AQ1366="7",BH1366,0)</f>
      </c>
      <c r="AE1366" s="111">
        <f>IF(AQ1366="7",BI1366,0)</f>
      </c>
      <c r="AF1366" s="111">
        <f>IF(AQ1366="2",BH1366,0)</f>
      </c>
      <c r="AG1366" s="111">
        <f>IF(AQ1366="2",BI1366,0)</f>
      </c>
      <c r="AH1366" s="111">
        <f>IF(AQ1366="0",BJ1366,0)</f>
      </c>
      <c r="AI1366" s="132" t="s">
        <v>84</v>
      </c>
      <c r="AJ1366" s="111">
        <f>IF(AN1366=0,I1366,0)</f>
      </c>
      <c r="AK1366" s="111">
        <f>IF(AN1366=12,I1366,0)</f>
      </c>
      <c r="AL1366" s="111">
        <f>IF(AN1366=21,I1366,0)</f>
      </c>
      <c r="AN1366" s="111" t="n">
        <v>21</v>
      </c>
      <c r="AO1366" s="111">
        <f>H1366*1</f>
      </c>
      <c r="AP1366" s="111">
        <f>H1366*(1-1)</f>
      </c>
      <c r="AQ1366" s="153" t="s">
        <v>173</v>
      </c>
      <c r="AV1366" s="111">
        <f>AW1366+AX1366</f>
      </c>
      <c r="AW1366" s="111">
        <f>G1366*AO1366</f>
      </c>
      <c r="AX1366" s="111">
        <f>G1366*AP1366</f>
      </c>
      <c r="AY1366" s="153" t="s">
        <v>2143</v>
      </c>
      <c r="AZ1366" s="153" t="s">
        <v>1999</v>
      </c>
      <c r="BA1366" s="132" t="s">
        <v>137</v>
      </c>
      <c r="BC1366" s="111">
        <f>AW1366+AX1366</f>
      </c>
      <c r="BD1366" s="111">
        <f>H1366/(100-BE1366)*100</f>
      </c>
      <c r="BE1366" s="111" t="n">
        <v>0</v>
      </c>
      <c r="BF1366" s="111">
        <f>1366</f>
      </c>
      <c r="BH1366" s="111">
        <f>G1366*AO1366</f>
      </c>
      <c r="BI1366" s="111">
        <f>G1366*AP1366</f>
      </c>
      <c r="BJ1366" s="111">
        <f>G1366*H1366</f>
      </c>
      <c r="BK1366" s="111"/>
      <c r="BL1366" s="111" t="n">
        <v>766</v>
      </c>
      <c r="BW1366" s="111" t="n">
        <v>21</v>
      </c>
      <c r="BX1366" s="14" t="s">
        <v>2232</v>
      </c>
    </row>
    <row r="1367">
      <c r="A1367" s="154"/>
      <c r="B1367" s="155"/>
      <c r="C1367" s="155"/>
      <c r="D1367" s="156" t="s">
        <v>2223</v>
      </c>
      <c r="E1367" s="156" t="s">
        <v>2224</v>
      </c>
      <c r="F1367" s="155"/>
      <c r="G1367" s="157" t="n">
        <v>165.5</v>
      </c>
      <c r="H1367" s="155"/>
      <c r="I1367" s="155"/>
      <c r="J1367" s="155"/>
      <c r="K1367" s="146"/>
    </row>
    <row r="1368">
      <c r="A1368" s="9" t="s">
        <v>2233</v>
      </c>
      <c r="B1368" s="10" t="s">
        <v>84</v>
      </c>
      <c r="C1368" s="10" t="s">
        <v>2234</v>
      </c>
      <c r="D1368" s="14" t="s">
        <v>2235</v>
      </c>
      <c r="E1368" s="10"/>
      <c r="F1368" s="10" t="s">
        <v>282</v>
      </c>
      <c r="G1368" s="111">
        <f>'Stavební rozpočet'!G1368</f>
      </c>
      <c r="H1368" s="111">
        <f>'Stavební rozpočet'!H1368</f>
      </c>
      <c r="I1368" s="111">
        <f>G1368*H1368</f>
      </c>
      <c r="J1368" s="153" t="s">
        <v>134</v>
      </c>
      <c r="K1368" s="146"/>
      <c r="Z1368" s="111">
        <f>IF(AQ1368="5",BJ1368,0)</f>
      </c>
      <c r="AB1368" s="111">
        <f>IF(AQ1368="1",BH1368,0)</f>
      </c>
      <c r="AC1368" s="111">
        <f>IF(AQ1368="1",BI1368,0)</f>
      </c>
      <c r="AD1368" s="111">
        <f>IF(AQ1368="7",BH1368,0)</f>
      </c>
      <c r="AE1368" s="111">
        <f>IF(AQ1368="7",BI1368,0)</f>
      </c>
      <c r="AF1368" s="111">
        <f>IF(AQ1368="2",BH1368,0)</f>
      </c>
      <c r="AG1368" s="111">
        <f>IF(AQ1368="2",BI1368,0)</f>
      </c>
      <c r="AH1368" s="111">
        <f>IF(AQ1368="0",BJ1368,0)</f>
      </c>
      <c r="AI1368" s="132" t="s">
        <v>84</v>
      </c>
      <c r="AJ1368" s="111">
        <f>IF(AN1368=0,I1368,0)</f>
      </c>
      <c r="AK1368" s="111">
        <f>IF(AN1368=12,I1368,0)</f>
      </c>
      <c r="AL1368" s="111">
        <f>IF(AN1368=21,I1368,0)</f>
      </c>
      <c r="AN1368" s="111" t="n">
        <v>21</v>
      </c>
      <c r="AO1368" s="111">
        <f>H1368*0.107826087</f>
      </c>
      <c r="AP1368" s="111">
        <f>H1368*(1-0.107826087)</f>
      </c>
      <c r="AQ1368" s="153" t="s">
        <v>173</v>
      </c>
      <c r="AV1368" s="111">
        <f>AW1368+AX1368</f>
      </c>
      <c r="AW1368" s="111">
        <f>G1368*AO1368</f>
      </c>
      <c r="AX1368" s="111">
        <f>G1368*AP1368</f>
      </c>
      <c r="AY1368" s="153" t="s">
        <v>2143</v>
      </c>
      <c r="AZ1368" s="153" t="s">
        <v>1999</v>
      </c>
      <c r="BA1368" s="132" t="s">
        <v>137</v>
      </c>
      <c r="BC1368" s="111">
        <f>AW1368+AX1368</f>
      </c>
      <c r="BD1368" s="111">
        <f>H1368/(100-BE1368)*100</f>
      </c>
      <c r="BE1368" s="111" t="n">
        <v>0</v>
      </c>
      <c r="BF1368" s="111">
        <f>1368</f>
      </c>
      <c r="BH1368" s="111">
        <f>G1368*AO1368</f>
      </c>
      <c r="BI1368" s="111">
        <f>G1368*AP1368</f>
      </c>
      <c r="BJ1368" s="111">
        <f>G1368*H1368</f>
      </c>
      <c r="BK1368" s="111"/>
      <c r="BL1368" s="111" t="n">
        <v>766</v>
      </c>
      <c r="BW1368" s="111" t="n">
        <v>21</v>
      </c>
      <c r="BX1368" s="14" t="s">
        <v>2235</v>
      </c>
    </row>
    <row r="1369" customHeight="true" ht="13.5">
      <c r="A1369" s="159"/>
      <c r="C1369" s="160" t="s">
        <v>146</v>
      </c>
      <c r="D1369" s="161" t="s">
        <v>2236</v>
      </c>
      <c r="E1369" s="156"/>
      <c r="F1369" s="156"/>
      <c r="G1369" s="156"/>
      <c r="H1369" s="156"/>
      <c r="I1369" s="156"/>
      <c r="J1369" s="156"/>
      <c r="K1369" s="163"/>
    </row>
    <row r="1370">
      <c r="A1370" s="154"/>
      <c r="B1370" s="155"/>
      <c r="C1370" s="155"/>
      <c r="D1370" s="156" t="s">
        <v>2237</v>
      </c>
      <c r="E1370" s="156" t="s">
        <v>2238</v>
      </c>
      <c r="F1370" s="155"/>
      <c r="G1370" s="157" t="n">
        <v>827.5</v>
      </c>
      <c r="H1370" s="155"/>
      <c r="I1370" s="155"/>
      <c r="J1370" s="155"/>
      <c r="K1370" s="146"/>
    </row>
    <row r="1371">
      <c r="A1371" s="154"/>
      <c r="B1371" s="155"/>
      <c r="C1371" s="155"/>
      <c r="D1371" s="156" t="s">
        <v>4</v>
      </c>
      <c r="E1371" s="156" t="s">
        <v>2239</v>
      </c>
      <c r="F1371" s="155"/>
      <c r="G1371" s="157" t="n">
        <v>0</v>
      </c>
      <c r="H1371" s="155"/>
      <c r="I1371" s="155"/>
      <c r="J1371" s="155"/>
      <c r="K1371" s="146"/>
    </row>
    <row r="1372">
      <c r="A1372" s="9" t="s">
        <v>2240</v>
      </c>
      <c r="B1372" s="10" t="s">
        <v>84</v>
      </c>
      <c r="C1372" s="10" t="s">
        <v>2241</v>
      </c>
      <c r="D1372" s="14" t="s">
        <v>2242</v>
      </c>
      <c r="E1372" s="10"/>
      <c r="F1372" s="10" t="s">
        <v>282</v>
      </c>
      <c r="G1372" s="111">
        <f>'Stavební rozpočet'!G1372</f>
      </c>
      <c r="H1372" s="111">
        <f>'Stavební rozpočet'!H1372</f>
      </c>
      <c r="I1372" s="111">
        <f>G1372*H1372</f>
      </c>
      <c r="J1372" s="153" t="s">
        <v>134</v>
      </c>
      <c r="K1372" s="146"/>
      <c r="Z1372" s="111">
        <f>IF(AQ1372="5",BJ1372,0)</f>
      </c>
      <c r="AB1372" s="111">
        <f>IF(AQ1372="1",BH1372,0)</f>
      </c>
      <c r="AC1372" s="111">
        <f>IF(AQ1372="1",BI1372,0)</f>
      </c>
      <c r="AD1372" s="111">
        <f>IF(AQ1372="7",BH1372,0)</f>
      </c>
      <c r="AE1372" s="111">
        <f>IF(AQ1372="7",BI1372,0)</f>
      </c>
      <c r="AF1372" s="111">
        <f>IF(AQ1372="2",BH1372,0)</f>
      </c>
      <c r="AG1372" s="111">
        <f>IF(AQ1372="2",BI1372,0)</f>
      </c>
      <c r="AH1372" s="111">
        <f>IF(AQ1372="0",BJ1372,0)</f>
      </c>
      <c r="AI1372" s="132" t="s">
        <v>84</v>
      </c>
      <c r="AJ1372" s="111">
        <f>IF(AN1372=0,I1372,0)</f>
      </c>
      <c r="AK1372" s="111">
        <f>IF(AN1372=12,I1372,0)</f>
      </c>
      <c r="AL1372" s="111">
        <f>IF(AN1372=21,I1372,0)</f>
      </c>
      <c r="AN1372" s="111" t="n">
        <v>21</v>
      </c>
      <c r="AO1372" s="111">
        <f>H1372*0.107826072</f>
      </c>
      <c r="AP1372" s="111">
        <f>H1372*(1-0.107826072)</f>
      </c>
      <c r="AQ1372" s="153" t="s">
        <v>173</v>
      </c>
      <c r="AV1372" s="111">
        <f>AW1372+AX1372</f>
      </c>
      <c r="AW1372" s="111">
        <f>G1372*AO1372</f>
      </c>
      <c r="AX1372" s="111">
        <f>G1372*AP1372</f>
      </c>
      <c r="AY1372" s="153" t="s">
        <v>2143</v>
      </c>
      <c r="AZ1372" s="153" t="s">
        <v>1999</v>
      </c>
      <c r="BA1372" s="132" t="s">
        <v>137</v>
      </c>
      <c r="BC1372" s="111">
        <f>AW1372+AX1372</f>
      </c>
      <c r="BD1372" s="111">
        <f>H1372/(100-BE1372)*100</f>
      </c>
      <c r="BE1372" s="111" t="n">
        <v>0</v>
      </c>
      <c r="BF1372" s="111">
        <f>1372</f>
      </c>
      <c r="BH1372" s="111">
        <f>G1372*AO1372</f>
      </c>
      <c r="BI1372" s="111">
        <f>G1372*AP1372</f>
      </c>
      <c r="BJ1372" s="111">
        <f>G1372*H1372</f>
      </c>
      <c r="BK1372" s="111"/>
      <c r="BL1372" s="111" t="n">
        <v>766</v>
      </c>
      <c r="BW1372" s="111" t="n">
        <v>21</v>
      </c>
      <c r="BX1372" s="14" t="s">
        <v>2242</v>
      </c>
    </row>
    <row r="1373" customHeight="true" ht="13.5">
      <c r="A1373" s="159"/>
      <c r="C1373" s="160" t="s">
        <v>146</v>
      </c>
      <c r="D1373" s="161" t="s">
        <v>2243</v>
      </c>
      <c r="E1373" s="156"/>
      <c r="F1373" s="156"/>
      <c r="G1373" s="156"/>
      <c r="H1373" s="156"/>
      <c r="I1373" s="156"/>
      <c r="J1373" s="156"/>
      <c r="K1373" s="163"/>
    </row>
    <row r="1374">
      <c r="A1374" s="154"/>
      <c r="B1374" s="155"/>
      <c r="C1374" s="155"/>
      <c r="D1374" s="156" t="s">
        <v>2244</v>
      </c>
      <c r="E1374" s="156" t="s">
        <v>2245</v>
      </c>
      <c r="F1374" s="155"/>
      <c r="G1374" s="157" t="n">
        <v>993</v>
      </c>
      <c r="H1374" s="155"/>
      <c r="I1374" s="155"/>
      <c r="J1374" s="155"/>
      <c r="K1374" s="146"/>
    </row>
    <row r="1375">
      <c r="A1375" s="9" t="s">
        <v>2246</v>
      </c>
      <c r="B1375" s="10" t="s">
        <v>84</v>
      </c>
      <c r="C1375" s="10" t="s">
        <v>2247</v>
      </c>
      <c r="D1375" s="14" t="s">
        <v>2248</v>
      </c>
      <c r="E1375" s="10"/>
      <c r="F1375" s="10" t="s">
        <v>282</v>
      </c>
      <c r="G1375" s="111">
        <f>'Stavební rozpočet'!G1375</f>
      </c>
      <c r="H1375" s="111">
        <f>'Stavební rozpočet'!H1375</f>
      </c>
      <c r="I1375" s="111">
        <f>G1375*H1375</f>
      </c>
      <c r="J1375" s="153" t="s">
        <v>134</v>
      </c>
      <c r="K1375" s="146"/>
      <c r="Z1375" s="111">
        <f>IF(AQ1375="5",BJ1375,0)</f>
      </c>
      <c r="AB1375" s="111">
        <f>IF(AQ1375="1",BH1375,0)</f>
      </c>
      <c r="AC1375" s="111">
        <f>IF(AQ1375="1",BI1375,0)</f>
      </c>
      <c r="AD1375" s="111">
        <f>IF(AQ1375="7",BH1375,0)</f>
      </c>
      <c r="AE1375" s="111">
        <f>IF(AQ1375="7",BI1375,0)</f>
      </c>
      <c r="AF1375" s="111">
        <f>IF(AQ1375="2",BH1375,0)</f>
      </c>
      <c r="AG1375" s="111">
        <f>IF(AQ1375="2",BI1375,0)</f>
      </c>
      <c r="AH1375" s="111">
        <f>IF(AQ1375="0",BJ1375,0)</f>
      </c>
      <c r="AI1375" s="132" t="s">
        <v>84</v>
      </c>
      <c r="AJ1375" s="111">
        <f>IF(AN1375=0,I1375,0)</f>
      </c>
      <c r="AK1375" s="111">
        <f>IF(AN1375=12,I1375,0)</f>
      </c>
      <c r="AL1375" s="111">
        <f>IF(AN1375=21,I1375,0)</f>
      </c>
      <c r="AN1375" s="111" t="n">
        <v>21</v>
      </c>
      <c r="AO1375" s="111">
        <f>H1375*0</f>
      </c>
      <c r="AP1375" s="111">
        <f>H1375*(1-0)</f>
      </c>
      <c r="AQ1375" s="153" t="s">
        <v>173</v>
      </c>
      <c r="AV1375" s="111">
        <f>AW1375+AX1375</f>
      </c>
      <c r="AW1375" s="111">
        <f>G1375*AO1375</f>
      </c>
      <c r="AX1375" s="111">
        <f>G1375*AP1375</f>
      </c>
      <c r="AY1375" s="153" t="s">
        <v>2143</v>
      </c>
      <c r="AZ1375" s="153" t="s">
        <v>1999</v>
      </c>
      <c r="BA1375" s="132" t="s">
        <v>137</v>
      </c>
      <c r="BC1375" s="111">
        <f>AW1375+AX1375</f>
      </c>
      <c r="BD1375" s="111">
        <f>H1375/(100-BE1375)*100</f>
      </c>
      <c r="BE1375" s="111" t="n">
        <v>0</v>
      </c>
      <c r="BF1375" s="111">
        <f>1375</f>
      </c>
      <c r="BH1375" s="111">
        <f>G1375*AO1375</f>
      </c>
      <c r="BI1375" s="111">
        <f>G1375*AP1375</f>
      </c>
      <c r="BJ1375" s="111">
        <f>G1375*H1375</f>
      </c>
      <c r="BK1375" s="111"/>
      <c r="BL1375" s="111" t="n">
        <v>766</v>
      </c>
      <c r="BW1375" s="111" t="n">
        <v>21</v>
      </c>
      <c r="BX1375" s="14" t="s">
        <v>2248</v>
      </c>
    </row>
    <row r="1376" customHeight="true" ht="13.5">
      <c r="A1376" s="159"/>
      <c r="C1376" s="160" t="s">
        <v>146</v>
      </c>
      <c r="D1376" s="161" t="s">
        <v>2249</v>
      </c>
      <c r="E1376" s="156"/>
      <c r="F1376" s="156"/>
      <c r="G1376" s="156"/>
      <c r="H1376" s="156"/>
      <c r="I1376" s="156"/>
      <c r="J1376" s="156"/>
      <c r="K1376" s="163"/>
    </row>
    <row r="1377">
      <c r="A1377" s="154"/>
      <c r="B1377" s="155"/>
      <c r="C1377" s="155"/>
      <c r="D1377" s="156" t="s">
        <v>2250</v>
      </c>
      <c r="E1377" s="156" t="s">
        <v>2251</v>
      </c>
      <c r="F1377" s="155"/>
      <c r="G1377" s="157" t="n">
        <v>3.3</v>
      </c>
      <c r="H1377" s="155"/>
      <c r="I1377" s="155"/>
      <c r="J1377" s="155"/>
      <c r="K1377" s="146"/>
    </row>
    <row r="1378">
      <c r="A1378" s="9" t="s">
        <v>2252</v>
      </c>
      <c r="B1378" s="10" t="s">
        <v>84</v>
      </c>
      <c r="C1378" s="10" t="s">
        <v>2253</v>
      </c>
      <c r="D1378" s="14" t="s">
        <v>2254</v>
      </c>
      <c r="E1378" s="10"/>
      <c r="F1378" s="10" t="s">
        <v>282</v>
      </c>
      <c r="G1378" s="111">
        <f>'Stavební rozpočet'!G1378</f>
      </c>
      <c r="H1378" s="111">
        <f>'Stavební rozpočet'!H1378</f>
      </c>
      <c r="I1378" s="111">
        <f>G1378*H1378</f>
      </c>
      <c r="J1378" s="153" t="s">
        <v>134</v>
      </c>
      <c r="K1378" s="146"/>
      <c r="Z1378" s="111">
        <f>IF(AQ1378="5",BJ1378,0)</f>
      </c>
      <c r="AB1378" s="111">
        <f>IF(AQ1378="1",BH1378,0)</f>
      </c>
      <c r="AC1378" s="111">
        <f>IF(AQ1378="1",BI1378,0)</f>
      </c>
      <c r="AD1378" s="111">
        <f>IF(AQ1378="7",BH1378,0)</f>
      </c>
      <c r="AE1378" s="111">
        <f>IF(AQ1378="7",BI1378,0)</f>
      </c>
      <c r="AF1378" s="111">
        <f>IF(AQ1378="2",BH1378,0)</f>
      </c>
      <c r="AG1378" s="111">
        <f>IF(AQ1378="2",BI1378,0)</f>
      </c>
      <c r="AH1378" s="111">
        <f>IF(AQ1378="0",BJ1378,0)</f>
      </c>
      <c r="AI1378" s="132" t="s">
        <v>84</v>
      </c>
      <c r="AJ1378" s="111">
        <f>IF(AN1378=0,I1378,0)</f>
      </c>
      <c r="AK1378" s="111">
        <f>IF(AN1378=12,I1378,0)</f>
      </c>
      <c r="AL1378" s="111">
        <f>IF(AN1378=21,I1378,0)</f>
      </c>
      <c r="AN1378" s="111" t="n">
        <v>21</v>
      </c>
      <c r="AO1378" s="111">
        <f>H1378*1</f>
      </c>
      <c r="AP1378" s="111">
        <f>H1378*(1-1)</f>
      </c>
      <c r="AQ1378" s="153" t="s">
        <v>173</v>
      </c>
      <c r="AV1378" s="111">
        <f>AW1378+AX1378</f>
      </c>
      <c r="AW1378" s="111">
        <f>G1378*AO1378</f>
      </c>
      <c r="AX1378" s="111">
        <f>G1378*AP1378</f>
      </c>
      <c r="AY1378" s="153" t="s">
        <v>2143</v>
      </c>
      <c r="AZ1378" s="153" t="s">
        <v>1999</v>
      </c>
      <c r="BA1378" s="132" t="s">
        <v>137</v>
      </c>
      <c r="BC1378" s="111">
        <f>AW1378+AX1378</f>
      </c>
      <c r="BD1378" s="111">
        <f>H1378/(100-BE1378)*100</f>
      </c>
      <c r="BE1378" s="111" t="n">
        <v>0</v>
      </c>
      <c r="BF1378" s="111">
        <f>1378</f>
      </c>
      <c r="BH1378" s="111">
        <f>G1378*AO1378</f>
      </c>
      <c r="BI1378" s="111">
        <f>G1378*AP1378</f>
      </c>
      <c r="BJ1378" s="111">
        <f>G1378*H1378</f>
      </c>
      <c r="BK1378" s="111"/>
      <c r="BL1378" s="111" t="n">
        <v>766</v>
      </c>
      <c r="BW1378" s="111" t="n">
        <v>21</v>
      </c>
      <c r="BX1378" s="14" t="s">
        <v>2254</v>
      </c>
    </row>
    <row r="1379">
      <c r="A1379" s="154"/>
      <c r="B1379" s="155"/>
      <c r="C1379" s="155"/>
      <c r="D1379" s="156" t="s">
        <v>2250</v>
      </c>
      <c r="E1379" s="156" t="s">
        <v>2255</v>
      </c>
      <c r="F1379" s="155"/>
      <c r="G1379" s="157" t="n">
        <v>3.3</v>
      </c>
      <c r="H1379" s="155"/>
      <c r="I1379" s="155"/>
      <c r="J1379" s="155"/>
      <c r="K1379" s="146"/>
    </row>
    <row r="1380">
      <c r="A1380" s="9" t="s">
        <v>2256</v>
      </c>
      <c r="B1380" s="10" t="s">
        <v>84</v>
      </c>
      <c r="C1380" s="10" t="s">
        <v>2257</v>
      </c>
      <c r="D1380" s="14" t="s">
        <v>2258</v>
      </c>
      <c r="E1380" s="10"/>
      <c r="F1380" s="10" t="s">
        <v>133</v>
      </c>
      <c r="G1380" s="111">
        <f>'Stavební rozpočet'!G1380</f>
      </c>
      <c r="H1380" s="111">
        <f>'Stavební rozpočet'!H1380</f>
      </c>
      <c r="I1380" s="111">
        <f>G1380*H1380</f>
      </c>
      <c r="J1380" s="153" t="s">
        <v>134</v>
      </c>
      <c r="K1380" s="146"/>
      <c r="Z1380" s="111">
        <f>IF(AQ1380="5",BJ1380,0)</f>
      </c>
      <c r="AB1380" s="111">
        <f>IF(AQ1380="1",BH1380,0)</f>
      </c>
      <c r="AC1380" s="111">
        <f>IF(AQ1380="1",BI1380,0)</f>
      </c>
      <c r="AD1380" s="111">
        <f>IF(AQ1380="7",BH1380,0)</f>
      </c>
      <c r="AE1380" s="111">
        <f>IF(AQ1380="7",BI1380,0)</f>
      </c>
      <c r="AF1380" s="111">
        <f>IF(AQ1380="2",BH1380,0)</f>
      </c>
      <c r="AG1380" s="111">
        <f>IF(AQ1380="2",BI1380,0)</f>
      </c>
      <c r="AH1380" s="111">
        <f>IF(AQ1380="0",BJ1380,0)</f>
      </c>
      <c r="AI1380" s="132" t="s">
        <v>84</v>
      </c>
      <c r="AJ1380" s="111">
        <f>IF(AN1380=0,I1380,0)</f>
      </c>
      <c r="AK1380" s="111">
        <f>IF(AN1380=12,I1380,0)</f>
      </c>
      <c r="AL1380" s="111">
        <f>IF(AN1380=21,I1380,0)</f>
      </c>
      <c r="AN1380" s="111" t="n">
        <v>21</v>
      </c>
      <c r="AO1380" s="111">
        <f>H1380*0.143907285</f>
      </c>
      <c r="AP1380" s="111">
        <f>H1380*(1-0.143907285)</f>
      </c>
      <c r="AQ1380" s="153" t="s">
        <v>173</v>
      </c>
      <c r="AV1380" s="111">
        <f>AW1380+AX1380</f>
      </c>
      <c r="AW1380" s="111">
        <f>G1380*AO1380</f>
      </c>
      <c r="AX1380" s="111">
        <f>G1380*AP1380</f>
      </c>
      <c r="AY1380" s="153" t="s">
        <v>2143</v>
      </c>
      <c r="AZ1380" s="153" t="s">
        <v>1999</v>
      </c>
      <c r="BA1380" s="132" t="s">
        <v>137</v>
      </c>
      <c r="BC1380" s="111">
        <f>AW1380+AX1380</f>
      </c>
      <c r="BD1380" s="111">
        <f>H1380/(100-BE1380)*100</f>
      </c>
      <c r="BE1380" s="111" t="n">
        <v>0</v>
      </c>
      <c r="BF1380" s="111">
        <f>1380</f>
      </c>
      <c r="BH1380" s="111">
        <f>G1380*AO1380</f>
      </c>
      <c r="BI1380" s="111">
        <f>G1380*AP1380</f>
      </c>
      <c r="BJ1380" s="111">
        <f>G1380*H1380</f>
      </c>
      <c r="BK1380" s="111"/>
      <c r="BL1380" s="111" t="n">
        <v>766</v>
      </c>
      <c r="BW1380" s="111" t="n">
        <v>21</v>
      </c>
      <c r="BX1380" s="14" t="s">
        <v>2258</v>
      </c>
    </row>
    <row r="1381" customHeight="true" ht="13.5">
      <c r="A1381" s="159"/>
      <c r="C1381" s="160" t="s">
        <v>146</v>
      </c>
      <c r="D1381" s="161" t="s">
        <v>2259</v>
      </c>
      <c r="E1381" s="156"/>
      <c r="F1381" s="156"/>
      <c r="G1381" s="156"/>
      <c r="H1381" s="156"/>
      <c r="I1381" s="156"/>
      <c r="J1381" s="156"/>
      <c r="K1381" s="163"/>
    </row>
    <row r="1382">
      <c r="A1382" s="154"/>
      <c r="B1382" s="155"/>
      <c r="C1382" s="155"/>
      <c r="D1382" s="156" t="s">
        <v>130</v>
      </c>
      <c r="E1382" s="156" t="s">
        <v>2260</v>
      </c>
      <c r="F1382" s="155"/>
      <c r="G1382" s="157" t="n">
        <v>1</v>
      </c>
      <c r="H1382" s="155"/>
      <c r="I1382" s="155"/>
      <c r="J1382" s="155"/>
      <c r="K1382" s="146"/>
    </row>
    <row r="1383">
      <c r="A1383" s="9" t="s">
        <v>2261</v>
      </c>
      <c r="B1383" s="10" t="s">
        <v>84</v>
      </c>
      <c r="C1383" s="10" t="s">
        <v>2262</v>
      </c>
      <c r="D1383" s="14" t="s">
        <v>2263</v>
      </c>
      <c r="E1383" s="10"/>
      <c r="F1383" s="10" t="s">
        <v>133</v>
      </c>
      <c r="G1383" s="111">
        <f>'Stavební rozpočet'!G1383</f>
      </c>
      <c r="H1383" s="111">
        <f>'Stavební rozpočet'!H1383</f>
      </c>
      <c r="I1383" s="111">
        <f>G1383*H1383</f>
      </c>
      <c r="J1383" s="153" t="s">
        <v>134</v>
      </c>
      <c r="K1383" s="146"/>
      <c r="Z1383" s="111">
        <f>IF(AQ1383="5",BJ1383,0)</f>
      </c>
      <c r="AB1383" s="111">
        <f>IF(AQ1383="1",BH1383,0)</f>
      </c>
      <c r="AC1383" s="111">
        <f>IF(AQ1383="1",BI1383,0)</f>
      </c>
      <c r="AD1383" s="111">
        <f>IF(AQ1383="7",BH1383,0)</f>
      </c>
      <c r="AE1383" s="111">
        <f>IF(AQ1383="7",BI1383,0)</f>
      </c>
      <c r="AF1383" s="111">
        <f>IF(AQ1383="2",BH1383,0)</f>
      </c>
      <c r="AG1383" s="111">
        <f>IF(AQ1383="2",BI1383,0)</f>
      </c>
      <c r="AH1383" s="111">
        <f>IF(AQ1383="0",BJ1383,0)</f>
      </c>
      <c r="AI1383" s="132" t="s">
        <v>84</v>
      </c>
      <c r="AJ1383" s="111">
        <f>IF(AN1383=0,I1383,0)</f>
      </c>
      <c r="AK1383" s="111">
        <f>IF(AN1383=12,I1383,0)</f>
      </c>
      <c r="AL1383" s="111">
        <f>IF(AN1383=21,I1383,0)</f>
      </c>
      <c r="AN1383" s="111" t="n">
        <v>21</v>
      </c>
      <c r="AO1383" s="111">
        <f>H1383*0.817420409</f>
      </c>
      <c r="AP1383" s="111">
        <f>H1383*(1-0.817420409)</f>
      </c>
      <c r="AQ1383" s="153" t="s">
        <v>173</v>
      </c>
      <c r="AV1383" s="111">
        <f>AW1383+AX1383</f>
      </c>
      <c r="AW1383" s="111">
        <f>G1383*AO1383</f>
      </c>
      <c r="AX1383" s="111">
        <f>G1383*AP1383</f>
      </c>
      <c r="AY1383" s="153" t="s">
        <v>2143</v>
      </c>
      <c r="AZ1383" s="153" t="s">
        <v>1999</v>
      </c>
      <c r="BA1383" s="132" t="s">
        <v>137</v>
      </c>
      <c r="BC1383" s="111">
        <f>AW1383+AX1383</f>
      </c>
      <c r="BD1383" s="111">
        <f>H1383/(100-BE1383)*100</f>
      </c>
      <c r="BE1383" s="111" t="n">
        <v>0</v>
      </c>
      <c r="BF1383" s="111">
        <f>1383</f>
      </c>
      <c r="BH1383" s="111">
        <f>G1383*AO1383</f>
      </c>
      <c r="BI1383" s="111">
        <f>G1383*AP1383</f>
      </c>
      <c r="BJ1383" s="111">
        <f>G1383*H1383</f>
      </c>
      <c r="BK1383" s="111"/>
      <c r="BL1383" s="111" t="n">
        <v>766</v>
      </c>
      <c r="BW1383" s="111" t="n">
        <v>21</v>
      </c>
      <c r="BX1383" s="14" t="s">
        <v>2263</v>
      </c>
    </row>
    <row r="1384" customHeight="true" ht="13.5">
      <c r="A1384" s="159"/>
      <c r="C1384" s="160" t="s">
        <v>146</v>
      </c>
      <c r="D1384" s="161" t="s">
        <v>2264</v>
      </c>
      <c r="E1384" s="156"/>
      <c r="F1384" s="156"/>
      <c r="G1384" s="156"/>
      <c r="H1384" s="156"/>
      <c r="I1384" s="156"/>
      <c r="J1384" s="156"/>
      <c r="K1384" s="163"/>
    </row>
    <row r="1385">
      <c r="A1385" s="154"/>
      <c r="B1385" s="155"/>
      <c r="C1385" s="155"/>
      <c r="D1385" s="156" t="s">
        <v>130</v>
      </c>
      <c r="E1385" s="156" t="s">
        <v>2265</v>
      </c>
      <c r="F1385" s="155"/>
      <c r="G1385" s="157" t="n">
        <v>1</v>
      </c>
      <c r="H1385" s="155"/>
      <c r="I1385" s="155"/>
      <c r="J1385" s="155"/>
      <c r="K1385" s="146"/>
    </row>
    <row r="1386">
      <c r="A1386" s="9" t="s">
        <v>2266</v>
      </c>
      <c r="B1386" s="10" t="s">
        <v>84</v>
      </c>
      <c r="C1386" s="10" t="s">
        <v>2267</v>
      </c>
      <c r="D1386" s="14" t="s">
        <v>2268</v>
      </c>
      <c r="E1386" s="10"/>
      <c r="F1386" s="10" t="s">
        <v>61</v>
      </c>
      <c r="G1386" s="111">
        <f>'Stavební rozpočet'!G1386</f>
      </c>
      <c r="H1386" s="111">
        <f>'Stavební rozpočet'!H1386</f>
      </c>
      <c r="I1386" s="111">
        <f>G1386*H1386</f>
      </c>
      <c r="J1386" s="153" t="s">
        <v>134</v>
      </c>
      <c r="K1386" s="146"/>
      <c r="Z1386" s="111">
        <f>IF(AQ1386="5",BJ1386,0)</f>
      </c>
      <c r="AB1386" s="111">
        <f>IF(AQ1386="1",BH1386,0)</f>
      </c>
      <c r="AC1386" s="111">
        <f>IF(AQ1386="1",BI1386,0)</f>
      </c>
      <c r="AD1386" s="111">
        <f>IF(AQ1386="7",BH1386,0)</f>
      </c>
      <c r="AE1386" s="111">
        <f>IF(AQ1386="7",BI1386,0)</f>
      </c>
      <c r="AF1386" s="111">
        <f>IF(AQ1386="2",BH1386,0)</f>
      </c>
      <c r="AG1386" s="111">
        <f>IF(AQ1386="2",BI1386,0)</f>
      </c>
      <c r="AH1386" s="111">
        <f>IF(AQ1386="0",BJ1386,0)</f>
      </c>
      <c r="AI1386" s="132" t="s">
        <v>84</v>
      </c>
      <c r="AJ1386" s="111">
        <f>IF(AN1386=0,I1386,0)</f>
      </c>
      <c r="AK1386" s="111">
        <f>IF(AN1386=12,I1386,0)</f>
      </c>
      <c r="AL1386" s="111">
        <f>IF(AN1386=21,I1386,0)</f>
      </c>
      <c r="AN1386" s="111" t="n">
        <v>21</v>
      </c>
      <c r="AO1386" s="111">
        <f>H1386*0</f>
      </c>
      <c r="AP1386" s="111">
        <f>H1386*(1-0)</f>
      </c>
      <c r="AQ1386" s="153" t="s">
        <v>156</v>
      </c>
      <c r="AV1386" s="111">
        <f>AW1386+AX1386</f>
      </c>
      <c r="AW1386" s="111">
        <f>G1386*AO1386</f>
      </c>
      <c r="AX1386" s="111">
        <f>G1386*AP1386</f>
      </c>
      <c r="AY1386" s="153" t="s">
        <v>2143</v>
      </c>
      <c r="AZ1386" s="153" t="s">
        <v>1999</v>
      </c>
      <c r="BA1386" s="132" t="s">
        <v>137</v>
      </c>
      <c r="BC1386" s="111">
        <f>AW1386+AX1386</f>
      </c>
      <c r="BD1386" s="111">
        <f>H1386/(100-BE1386)*100</f>
      </c>
      <c r="BE1386" s="111" t="n">
        <v>0</v>
      </c>
      <c r="BF1386" s="111">
        <f>1386</f>
      </c>
      <c r="BH1386" s="111">
        <f>G1386*AO1386</f>
      </c>
      <c r="BI1386" s="111">
        <f>G1386*AP1386</f>
      </c>
      <c r="BJ1386" s="111">
        <f>G1386*H1386</f>
      </c>
      <c r="BK1386" s="111"/>
      <c r="BL1386" s="111" t="n">
        <v>766</v>
      </c>
      <c r="BW1386" s="111" t="n">
        <v>21</v>
      </c>
      <c r="BX1386" s="14" t="s">
        <v>2268</v>
      </c>
    </row>
    <row r="1387">
      <c r="A1387" s="9" t="s">
        <v>2269</v>
      </c>
      <c r="B1387" s="10" t="s">
        <v>84</v>
      </c>
      <c r="C1387" s="10" t="s">
        <v>2270</v>
      </c>
      <c r="D1387" s="14" t="s">
        <v>2271</v>
      </c>
      <c r="E1387" s="10"/>
      <c r="F1387" s="10" t="s">
        <v>61</v>
      </c>
      <c r="G1387" s="111">
        <f>'Stavební rozpočet'!G1387</f>
      </c>
      <c r="H1387" s="111">
        <f>'Stavební rozpočet'!H1387</f>
      </c>
      <c r="I1387" s="111">
        <f>G1387*H1387</f>
      </c>
      <c r="J1387" s="153" t="s">
        <v>134</v>
      </c>
      <c r="K1387" s="146"/>
      <c r="Z1387" s="111">
        <f>IF(AQ1387="5",BJ1387,0)</f>
      </c>
      <c r="AB1387" s="111">
        <f>IF(AQ1387="1",BH1387,0)</f>
      </c>
      <c r="AC1387" s="111">
        <f>IF(AQ1387="1",BI1387,0)</f>
      </c>
      <c r="AD1387" s="111">
        <f>IF(AQ1387="7",BH1387,0)</f>
      </c>
      <c r="AE1387" s="111">
        <f>IF(AQ1387="7",BI1387,0)</f>
      </c>
      <c r="AF1387" s="111">
        <f>IF(AQ1387="2",BH1387,0)</f>
      </c>
      <c r="AG1387" s="111">
        <f>IF(AQ1387="2",BI1387,0)</f>
      </c>
      <c r="AH1387" s="111">
        <f>IF(AQ1387="0",BJ1387,0)</f>
      </c>
      <c r="AI1387" s="132" t="s">
        <v>84</v>
      </c>
      <c r="AJ1387" s="111">
        <f>IF(AN1387=0,I1387,0)</f>
      </c>
      <c r="AK1387" s="111">
        <f>IF(AN1387=12,I1387,0)</f>
      </c>
      <c r="AL1387" s="111">
        <f>IF(AN1387=21,I1387,0)</f>
      </c>
      <c r="AN1387" s="111" t="n">
        <v>21</v>
      </c>
      <c r="AO1387" s="111">
        <f>H1387*0</f>
      </c>
      <c r="AP1387" s="111">
        <f>H1387*(1-0)</f>
      </c>
      <c r="AQ1387" s="153" t="s">
        <v>156</v>
      </c>
      <c r="AV1387" s="111">
        <f>AW1387+AX1387</f>
      </c>
      <c r="AW1387" s="111">
        <f>G1387*AO1387</f>
      </c>
      <c r="AX1387" s="111">
        <f>G1387*AP1387</f>
      </c>
      <c r="AY1387" s="153" t="s">
        <v>2143</v>
      </c>
      <c r="AZ1387" s="153" t="s">
        <v>1999</v>
      </c>
      <c r="BA1387" s="132" t="s">
        <v>137</v>
      </c>
      <c r="BC1387" s="111">
        <f>AW1387+AX1387</f>
      </c>
      <c r="BD1387" s="111">
        <f>H1387/(100-BE1387)*100</f>
      </c>
      <c r="BE1387" s="111" t="n">
        <v>0</v>
      </c>
      <c r="BF1387" s="111">
        <f>1387</f>
      </c>
      <c r="BH1387" s="111">
        <f>G1387*AO1387</f>
      </c>
      <c r="BI1387" s="111">
        <f>G1387*AP1387</f>
      </c>
      <c r="BJ1387" s="111">
        <f>G1387*H1387</f>
      </c>
      <c r="BK1387" s="111"/>
      <c r="BL1387" s="111" t="n">
        <v>766</v>
      </c>
      <c r="BW1387" s="111" t="n">
        <v>21</v>
      </c>
      <c r="BX1387" s="14" t="s">
        <v>2271</v>
      </c>
    </row>
    <row r="1388">
      <c r="A1388" s="147" t="s">
        <v>4</v>
      </c>
      <c r="B1388" s="148" t="s">
        <v>84</v>
      </c>
      <c r="C1388" s="148" t="s">
        <v>2272</v>
      </c>
      <c r="D1388" s="149" t="s">
        <v>2273</v>
      </c>
      <c r="E1388" s="148"/>
      <c r="F1388" s="150" t="s">
        <v>79</v>
      </c>
      <c r="G1388" s="150" t="s">
        <v>79</v>
      </c>
      <c r="H1388" s="150" t="s">
        <v>79</v>
      </c>
      <c r="I1388" s="117">
        <f>SUM(I1389:I1522)</f>
      </c>
      <c r="J1388" s="132" t="s">
        <v>4</v>
      </c>
      <c r="K1388" s="146"/>
      <c r="AI1388" s="132" t="s">
        <v>84</v>
      </c>
      <c r="AS1388" s="117">
        <f>SUM(AJ1389:AJ1522)</f>
      </c>
      <c r="AT1388" s="117">
        <f>SUM(AK1389:AK1522)</f>
      </c>
      <c r="AU1388" s="117">
        <f>SUM(AL1389:AL1522)</f>
      </c>
    </row>
    <row r="1389">
      <c r="A1389" s="9" t="s">
        <v>2274</v>
      </c>
      <c r="B1389" s="10" t="s">
        <v>84</v>
      </c>
      <c r="C1389" s="10" t="s">
        <v>2275</v>
      </c>
      <c r="D1389" s="14" t="s">
        <v>2276</v>
      </c>
      <c r="E1389" s="10"/>
      <c r="F1389" s="10" t="s">
        <v>2277</v>
      </c>
      <c r="G1389" s="111">
        <f>'Stavební rozpočet'!G1389</f>
      </c>
      <c r="H1389" s="111">
        <f>'Stavební rozpočet'!H1389</f>
      </c>
      <c r="I1389" s="111">
        <f>G1389*H1389</f>
      </c>
      <c r="J1389" s="153" t="s">
        <v>134</v>
      </c>
      <c r="K1389" s="146"/>
      <c r="Z1389" s="111">
        <f>IF(AQ1389="5",BJ1389,0)</f>
      </c>
      <c r="AB1389" s="111">
        <f>IF(AQ1389="1",BH1389,0)</f>
      </c>
      <c r="AC1389" s="111">
        <f>IF(AQ1389="1",BI1389,0)</f>
      </c>
      <c r="AD1389" s="111">
        <f>IF(AQ1389="7",BH1389,0)</f>
      </c>
      <c r="AE1389" s="111">
        <f>IF(AQ1389="7",BI1389,0)</f>
      </c>
      <c r="AF1389" s="111">
        <f>IF(AQ1389="2",BH1389,0)</f>
      </c>
      <c r="AG1389" s="111">
        <f>IF(AQ1389="2",BI1389,0)</f>
      </c>
      <c r="AH1389" s="111">
        <f>IF(AQ1389="0",BJ1389,0)</f>
      </c>
      <c r="AI1389" s="132" t="s">
        <v>84</v>
      </c>
      <c r="AJ1389" s="111">
        <f>IF(AN1389=0,I1389,0)</f>
      </c>
      <c r="AK1389" s="111">
        <f>IF(AN1389=12,I1389,0)</f>
      </c>
      <c r="AL1389" s="111">
        <f>IF(AN1389=21,I1389,0)</f>
      </c>
      <c r="AN1389" s="111" t="n">
        <v>21</v>
      </c>
      <c r="AO1389" s="111">
        <f>H1389*0.003025</f>
      </c>
      <c r="AP1389" s="111">
        <f>H1389*(1-0.003025)</f>
      </c>
      <c r="AQ1389" s="153" t="s">
        <v>173</v>
      </c>
      <c r="AV1389" s="111">
        <f>AW1389+AX1389</f>
      </c>
      <c r="AW1389" s="111">
        <f>G1389*AO1389</f>
      </c>
      <c r="AX1389" s="111">
        <f>G1389*AP1389</f>
      </c>
      <c r="AY1389" s="153" t="s">
        <v>2278</v>
      </c>
      <c r="AZ1389" s="153" t="s">
        <v>1999</v>
      </c>
      <c r="BA1389" s="132" t="s">
        <v>137</v>
      </c>
      <c r="BC1389" s="111">
        <f>AW1389+AX1389</f>
      </c>
      <c r="BD1389" s="111">
        <f>H1389/(100-BE1389)*100</f>
      </c>
      <c r="BE1389" s="111" t="n">
        <v>0</v>
      </c>
      <c r="BF1389" s="111">
        <f>1389</f>
      </c>
      <c r="BH1389" s="111">
        <f>G1389*AO1389</f>
      </c>
      <c r="BI1389" s="111">
        <f>G1389*AP1389</f>
      </c>
      <c r="BJ1389" s="111">
        <f>G1389*H1389</f>
      </c>
      <c r="BK1389" s="111"/>
      <c r="BL1389" s="111" t="n">
        <v>767</v>
      </c>
      <c r="BW1389" s="111" t="n">
        <v>21</v>
      </c>
      <c r="BX1389" s="14" t="s">
        <v>2276</v>
      </c>
    </row>
    <row r="1390" customHeight="true" ht="13.5">
      <c r="A1390" s="159"/>
      <c r="C1390" s="160" t="s">
        <v>146</v>
      </c>
      <c r="D1390" s="161" t="s">
        <v>2279</v>
      </c>
      <c r="E1390" s="156"/>
      <c r="F1390" s="156"/>
      <c r="G1390" s="156"/>
      <c r="H1390" s="156"/>
      <c r="I1390" s="156"/>
      <c r="J1390" s="156"/>
      <c r="K1390" s="163"/>
    </row>
    <row r="1391">
      <c r="A1391" s="154"/>
      <c r="B1391" s="155"/>
      <c r="C1391" s="155"/>
      <c r="D1391" s="156" t="s">
        <v>130</v>
      </c>
      <c r="E1391" s="156" t="s">
        <v>2280</v>
      </c>
      <c r="F1391" s="155"/>
      <c r="G1391" s="157" t="n">
        <v>1</v>
      </c>
      <c r="H1391" s="155"/>
      <c r="I1391" s="155"/>
      <c r="J1391" s="155"/>
      <c r="K1391" s="146"/>
    </row>
    <row r="1392">
      <c r="A1392" s="9" t="s">
        <v>2281</v>
      </c>
      <c r="B1392" s="10" t="s">
        <v>84</v>
      </c>
      <c r="C1392" s="10" t="s">
        <v>2282</v>
      </c>
      <c r="D1392" s="14" t="s">
        <v>2283</v>
      </c>
      <c r="E1392" s="10"/>
      <c r="F1392" s="10" t="s">
        <v>2277</v>
      </c>
      <c r="G1392" s="111">
        <f>'Stavební rozpočet'!G1392</f>
      </c>
      <c r="H1392" s="111">
        <f>'Stavební rozpočet'!H1392</f>
      </c>
      <c r="I1392" s="111">
        <f>G1392*H1392</f>
      </c>
      <c r="J1392" s="153" t="s">
        <v>134</v>
      </c>
      <c r="K1392" s="146"/>
      <c r="Z1392" s="111">
        <f>IF(AQ1392="5",BJ1392,0)</f>
      </c>
      <c r="AB1392" s="111">
        <f>IF(AQ1392="1",BH1392,0)</f>
      </c>
      <c r="AC1392" s="111">
        <f>IF(AQ1392="1",BI1392,0)</f>
      </c>
      <c r="AD1392" s="111">
        <f>IF(AQ1392="7",BH1392,0)</f>
      </c>
      <c r="AE1392" s="111">
        <f>IF(AQ1392="7",BI1392,0)</f>
      </c>
      <c r="AF1392" s="111">
        <f>IF(AQ1392="2",BH1392,0)</f>
      </c>
      <c r="AG1392" s="111">
        <f>IF(AQ1392="2",BI1392,0)</f>
      </c>
      <c r="AH1392" s="111">
        <f>IF(AQ1392="0",BJ1392,0)</f>
      </c>
      <c r="AI1392" s="132" t="s">
        <v>84</v>
      </c>
      <c r="AJ1392" s="111">
        <f>IF(AN1392=0,I1392,0)</f>
      </c>
      <c r="AK1392" s="111">
        <f>IF(AN1392=12,I1392,0)</f>
      </c>
      <c r="AL1392" s="111">
        <f>IF(AN1392=21,I1392,0)</f>
      </c>
      <c r="AN1392" s="111" t="n">
        <v>21</v>
      </c>
      <c r="AO1392" s="111">
        <f>H1392*0.003024783</f>
      </c>
      <c r="AP1392" s="111">
        <f>H1392*(1-0.003024783)</f>
      </c>
      <c r="AQ1392" s="153" t="s">
        <v>173</v>
      </c>
      <c r="AV1392" s="111">
        <f>AW1392+AX1392</f>
      </c>
      <c r="AW1392" s="111">
        <f>G1392*AO1392</f>
      </c>
      <c r="AX1392" s="111">
        <f>G1392*AP1392</f>
      </c>
      <c r="AY1392" s="153" t="s">
        <v>2278</v>
      </c>
      <c r="AZ1392" s="153" t="s">
        <v>1999</v>
      </c>
      <c r="BA1392" s="132" t="s">
        <v>137</v>
      </c>
      <c r="BC1392" s="111">
        <f>AW1392+AX1392</f>
      </c>
      <c r="BD1392" s="111">
        <f>H1392/(100-BE1392)*100</f>
      </c>
      <c r="BE1392" s="111" t="n">
        <v>0</v>
      </c>
      <c r="BF1392" s="111">
        <f>1392</f>
      </c>
      <c r="BH1392" s="111">
        <f>G1392*AO1392</f>
      </c>
      <c r="BI1392" s="111">
        <f>G1392*AP1392</f>
      </c>
      <c r="BJ1392" s="111">
        <f>G1392*H1392</f>
      </c>
      <c r="BK1392" s="111"/>
      <c r="BL1392" s="111" t="n">
        <v>767</v>
      </c>
      <c r="BW1392" s="111" t="n">
        <v>21</v>
      </c>
      <c r="BX1392" s="14" t="s">
        <v>2283</v>
      </c>
    </row>
    <row r="1393" customHeight="true" ht="13.5">
      <c r="A1393" s="159"/>
      <c r="C1393" s="160" t="s">
        <v>146</v>
      </c>
      <c r="D1393" s="161" t="s">
        <v>2279</v>
      </c>
      <c r="E1393" s="156"/>
      <c r="F1393" s="156"/>
      <c r="G1393" s="156"/>
      <c r="H1393" s="156"/>
      <c r="I1393" s="156"/>
      <c r="J1393" s="156"/>
      <c r="K1393" s="163"/>
    </row>
    <row r="1394">
      <c r="A1394" s="154"/>
      <c r="B1394" s="155"/>
      <c r="C1394" s="155"/>
      <c r="D1394" s="156" t="s">
        <v>130</v>
      </c>
      <c r="E1394" s="156" t="s">
        <v>2284</v>
      </c>
      <c r="F1394" s="155"/>
      <c r="G1394" s="157" t="n">
        <v>1</v>
      </c>
      <c r="H1394" s="155"/>
      <c r="I1394" s="155"/>
      <c r="J1394" s="155"/>
      <c r="K1394" s="146"/>
    </row>
    <row r="1395">
      <c r="A1395" s="9" t="s">
        <v>2285</v>
      </c>
      <c r="B1395" s="10" t="s">
        <v>84</v>
      </c>
      <c r="C1395" s="10" t="s">
        <v>2286</v>
      </c>
      <c r="D1395" s="14" t="s">
        <v>2287</v>
      </c>
      <c r="E1395" s="10"/>
      <c r="F1395" s="10" t="s">
        <v>2277</v>
      </c>
      <c r="G1395" s="111">
        <f>'Stavební rozpočet'!G1395</f>
      </c>
      <c r="H1395" s="111">
        <f>'Stavební rozpočet'!H1395</f>
      </c>
      <c r="I1395" s="111">
        <f>G1395*H1395</f>
      </c>
      <c r="J1395" s="153" t="s">
        <v>134</v>
      </c>
      <c r="K1395" s="146"/>
      <c r="Z1395" s="111">
        <f>IF(AQ1395="5",BJ1395,0)</f>
      </c>
      <c r="AB1395" s="111">
        <f>IF(AQ1395="1",BH1395,0)</f>
      </c>
      <c r="AC1395" s="111">
        <f>IF(AQ1395="1",BI1395,0)</f>
      </c>
      <c r="AD1395" s="111">
        <f>IF(AQ1395="7",BH1395,0)</f>
      </c>
      <c r="AE1395" s="111">
        <f>IF(AQ1395="7",BI1395,0)</f>
      </c>
      <c r="AF1395" s="111">
        <f>IF(AQ1395="2",BH1395,0)</f>
      </c>
      <c r="AG1395" s="111">
        <f>IF(AQ1395="2",BI1395,0)</f>
      </c>
      <c r="AH1395" s="111">
        <f>IF(AQ1395="0",BJ1395,0)</f>
      </c>
      <c r="AI1395" s="132" t="s">
        <v>84</v>
      </c>
      <c r="AJ1395" s="111">
        <f>IF(AN1395=0,I1395,0)</f>
      </c>
      <c r="AK1395" s="111">
        <f>IF(AN1395=12,I1395,0)</f>
      </c>
      <c r="AL1395" s="111">
        <f>IF(AN1395=21,I1395,0)</f>
      </c>
      <c r="AN1395" s="111" t="n">
        <v>21</v>
      </c>
      <c r="AO1395" s="111">
        <f>H1395*0.003024803</f>
      </c>
      <c r="AP1395" s="111">
        <f>H1395*(1-0.003024803)</f>
      </c>
      <c r="AQ1395" s="153" t="s">
        <v>173</v>
      </c>
      <c r="AV1395" s="111">
        <f>AW1395+AX1395</f>
      </c>
      <c r="AW1395" s="111">
        <f>G1395*AO1395</f>
      </c>
      <c r="AX1395" s="111">
        <f>G1395*AP1395</f>
      </c>
      <c r="AY1395" s="153" t="s">
        <v>2278</v>
      </c>
      <c r="AZ1395" s="153" t="s">
        <v>1999</v>
      </c>
      <c r="BA1395" s="132" t="s">
        <v>137</v>
      </c>
      <c r="BC1395" s="111">
        <f>AW1395+AX1395</f>
      </c>
      <c r="BD1395" s="111">
        <f>H1395/(100-BE1395)*100</f>
      </c>
      <c r="BE1395" s="111" t="n">
        <v>0</v>
      </c>
      <c r="BF1395" s="111">
        <f>1395</f>
      </c>
      <c r="BH1395" s="111">
        <f>G1395*AO1395</f>
      </c>
      <c r="BI1395" s="111">
        <f>G1395*AP1395</f>
      </c>
      <c r="BJ1395" s="111">
        <f>G1395*H1395</f>
      </c>
      <c r="BK1395" s="111"/>
      <c r="BL1395" s="111" t="n">
        <v>767</v>
      </c>
      <c r="BW1395" s="111" t="n">
        <v>21</v>
      </c>
      <c r="BX1395" s="14" t="s">
        <v>2287</v>
      </c>
    </row>
    <row r="1396" customHeight="true" ht="13.5">
      <c r="A1396" s="159"/>
      <c r="C1396" s="160" t="s">
        <v>146</v>
      </c>
      <c r="D1396" s="161" t="s">
        <v>2279</v>
      </c>
      <c r="E1396" s="156"/>
      <c r="F1396" s="156"/>
      <c r="G1396" s="156"/>
      <c r="H1396" s="156"/>
      <c r="I1396" s="156"/>
      <c r="J1396" s="156"/>
      <c r="K1396" s="163"/>
    </row>
    <row r="1397">
      <c r="A1397" s="154"/>
      <c r="B1397" s="155"/>
      <c r="C1397" s="155"/>
      <c r="D1397" s="156" t="s">
        <v>130</v>
      </c>
      <c r="E1397" s="156" t="s">
        <v>2288</v>
      </c>
      <c r="F1397" s="155"/>
      <c r="G1397" s="157" t="n">
        <v>1</v>
      </c>
      <c r="H1397" s="155"/>
      <c r="I1397" s="155"/>
      <c r="J1397" s="155"/>
      <c r="K1397" s="146"/>
    </row>
    <row r="1398">
      <c r="A1398" s="9" t="s">
        <v>2289</v>
      </c>
      <c r="B1398" s="10" t="s">
        <v>84</v>
      </c>
      <c r="C1398" s="10" t="s">
        <v>2290</v>
      </c>
      <c r="D1398" s="14" t="s">
        <v>2291</v>
      </c>
      <c r="E1398" s="10"/>
      <c r="F1398" s="10" t="s">
        <v>2277</v>
      </c>
      <c r="G1398" s="111">
        <f>'Stavební rozpočet'!G1398</f>
      </c>
      <c r="H1398" s="111">
        <f>'Stavební rozpočet'!H1398</f>
      </c>
      <c r="I1398" s="111">
        <f>G1398*H1398</f>
      </c>
      <c r="J1398" s="153" t="s">
        <v>134</v>
      </c>
      <c r="K1398" s="146"/>
      <c r="Z1398" s="111">
        <f>IF(AQ1398="5",BJ1398,0)</f>
      </c>
      <c r="AB1398" s="111">
        <f>IF(AQ1398="1",BH1398,0)</f>
      </c>
      <c r="AC1398" s="111">
        <f>IF(AQ1398="1",BI1398,0)</f>
      </c>
      <c r="AD1398" s="111">
        <f>IF(AQ1398="7",BH1398,0)</f>
      </c>
      <c r="AE1398" s="111">
        <f>IF(AQ1398="7",BI1398,0)</f>
      </c>
      <c r="AF1398" s="111">
        <f>IF(AQ1398="2",BH1398,0)</f>
      </c>
      <c r="AG1398" s="111">
        <f>IF(AQ1398="2",BI1398,0)</f>
      </c>
      <c r="AH1398" s="111">
        <f>IF(AQ1398="0",BJ1398,0)</f>
      </c>
      <c r="AI1398" s="132" t="s">
        <v>84</v>
      </c>
      <c r="AJ1398" s="111">
        <f>IF(AN1398=0,I1398,0)</f>
      </c>
      <c r="AK1398" s="111">
        <f>IF(AN1398=12,I1398,0)</f>
      </c>
      <c r="AL1398" s="111">
        <f>IF(AN1398=21,I1398,0)</f>
      </c>
      <c r="AN1398" s="111" t="n">
        <v>21</v>
      </c>
      <c r="AO1398" s="111">
        <f>H1398*0.003024831</f>
      </c>
      <c r="AP1398" s="111">
        <f>H1398*(1-0.003024831)</f>
      </c>
      <c r="AQ1398" s="153" t="s">
        <v>173</v>
      </c>
      <c r="AV1398" s="111">
        <f>AW1398+AX1398</f>
      </c>
      <c r="AW1398" s="111">
        <f>G1398*AO1398</f>
      </c>
      <c r="AX1398" s="111">
        <f>G1398*AP1398</f>
      </c>
      <c r="AY1398" s="153" t="s">
        <v>2278</v>
      </c>
      <c r="AZ1398" s="153" t="s">
        <v>1999</v>
      </c>
      <c r="BA1398" s="132" t="s">
        <v>137</v>
      </c>
      <c r="BC1398" s="111">
        <f>AW1398+AX1398</f>
      </c>
      <c r="BD1398" s="111">
        <f>H1398/(100-BE1398)*100</f>
      </c>
      <c r="BE1398" s="111" t="n">
        <v>0</v>
      </c>
      <c r="BF1398" s="111">
        <f>1398</f>
      </c>
      <c r="BH1398" s="111">
        <f>G1398*AO1398</f>
      </c>
      <c r="BI1398" s="111">
        <f>G1398*AP1398</f>
      </c>
      <c r="BJ1398" s="111">
        <f>G1398*H1398</f>
      </c>
      <c r="BK1398" s="111"/>
      <c r="BL1398" s="111" t="n">
        <v>767</v>
      </c>
      <c r="BW1398" s="111" t="n">
        <v>21</v>
      </c>
      <c r="BX1398" s="14" t="s">
        <v>2291</v>
      </c>
    </row>
    <row r="1399" customHeight="true" ht="13.5">
      <c r="A1399" s="159"/>
      <c r="C1399" s="160" t="s">
        <v>146</v>
      </c>
      <c r="D1399" s="161" t="s">
        <v>2279</v>
      </c>
      <c r="E1399" s="156"/>
      <c r="F1399" s="156"/>
      <c r="G1399" s="156"/>
      <c r="H1399" s="156"/>
      <c r="I1399" s="156"/>
      <c r="J1399" s="156"/>
      <c r="K1399" s="163"/>
    </row>
    <row r="1400">
      <c r="A1400" s="154"/>
      <c r="B1400" s="155"/>
      <c r="C1400" s="155"/>
      <c r="D1400" s="156" t="s">
        <v>130</v>
      </c>
      <c r="E1400" s="156" t="s">
        <v>2292</v>
      </c>
      <c r="F1400" s="155"/>
      <c r="G1400" s="157" t="n">
        <v>1</v>
      </c>
      <c r="H1400" s="155"/>
      <c r="I1400" s="155"/>
      <c r="J1400" s="155"/>
      <c r="K1400" s="146"/>
    </row>
    <row r="1401">
      <c r="A1401" s="9" t="s">
        <v>2293</v>
      </c>
      <c r="B1401" s="10" t="s">
        <v>84</v>
      </c>
      <c r="C1401" s="10" t="s">
        <v>2294</v>
      </c>
      <c r="D1401" s="14" t="s">
        <v>2295</v>
      </c>
      <c r="E1401" s="10"/>
      <c r="F1401" s="10" t="s">
        <v>2277</v>
      </c>
      <c r="G1401" s="111">
        <f>'Stavební rozpočet'!G1401</f>
      </c>
      <c r="H1401" s="111">
        <f>'Stavební rozpočet'!H1401</f>
      </c>
      <c r="I1401" s="111">
        <f>G1401*H1401</f>
      </c>
      <c r="J1401" s="153" t="s">
        <v>134</v>
      </c>
      <c r="K1401" s="146"/>
      <c r="Z1401" s="111">
        <f>IF(AQ1401="5",BJ1401,0)</f>
      </c>
      <c r="AB1401" s="111">
        <f>IF(AQ1401="1",BH1401,0)</f>
      </c>
      <c r="AC1401" s="111">
        <f>IF(AQ1401="1",BI1401,0)</f>
      </c>
      <c r="AD1401" s="111">
        <f>IF(AQ1401="7",BH1401,0)</f>
      </c>
      <c r="AE1401" s="111">
        <f>IF(AQ1401="7",BI1401,0)</f>
      </c>
      <c r="AF1401" s="111">
        <f>IF(AQ1401="2",BH1401,0)</f>
      </c>
      <c r="AG1401" s="111">
        <f>IF(AQ1401="2",BI1401,0)</f>
      </c>
      <c r="AH1401" s="111">
        <f>IF(AQ1401="0",BJ1401,0)</f>
      </c>
      <c r="AI1401" s="132" t="s">
        <v>84</v>
      </c>
      <c r="AJ1401" s="111">
        <f>IF(AN1401=0,I1401,0)</f>
      </c>
      <c r="AK1401" s="111">
        <f>IF(AN1401=12,I1401,0)</f>
      </c>
      <c r="AL1401" s="111">
        <f>IF(AN1401=21,I1401,0)</f>
      </c>
      <c r="AN1401" s="111" t="n">
        <v>21</v>
      </c>
      <c r="AO1401" s="111">
        <f>H1401*0.003024831</f>
      </c>
      <c r="AP1401" s="111">
        <f>H1401*(1-0.003024831)</f>
      </c>
      <c r="AQ1401" s="153" t="s">
        <v>173</v>
      </c>
      <c r="AV1401" s="111">
        <f>AW1401+AX1401</f>
      </c>
      <c r="AW1401" s="111">
        <f>G1401*AO1401</f>
      </c>
      <c r="AX1401" s="111">
        <f>G1401*AP1401</f>
      </c>
      <c r="AY1401" s="153" t="s">
        <v>2278</v>
      </c>
      <c r="AZ1401" s="153" t="s">
        <v>1999</v>
      </c>
      <c r="BA1401" s="132" t="s">
        <v>137</v>
      </c>
      <c r="BC1401" s="111">
        <f>AW1401+AX1401</f>
      </c>
      <c r="BD1401" s="111">
        <f>H1401/(100-BE1401)*100</f>
      </c>
      <c r="BE1401" s="111" t="n">
        <v>0</v>
      </c>
      <c r="BF1401" s="111">
        <f>1401</f>
      </c>
      <c r="BH1401" s="111">
        <f>G1401*AO1401</f>
      </c>
      <c r="BI1401" s="111">
        <f>G1401*AP1401</f>
      </c>
      <c r="BJ1401" s="111">
        <f>G1401*H1401</f>
      </c>
      <c r="BK1401" s="111"/>
      <c r="BL1401" s="111" t="n">
        <v>767</v>
      </c>
      <c r="BW1401" s="111" t="n">
        <v>21</v>
      </c>
      <c r="BX1401" s="14" t="s">
        <v>2295</v>
      </c>
    </row>
    <row r="1402" customHeight="true" ht="13.5">
      <c r="A1402" s="159"/>
      <c r="C1402" s="160" t="s">
        <v>146</v>
      </c>
      <c r="D1402" s="161" t="s">
        <v>2279</v>
      </c>
      <c r="E1402" s="156"/>
      <c r="F1402" s="156"/>
      <c r="G1402" s="156"/>
      <c r="H1402" s="156"/>
      <c r="I1402" s="156"/>
      <c r="J1402" s="156"/>
      <c r="K1402" s="163"/>
    </row>
    <row r="1403">
      <c r="A1403" s="154"/>
      <c r="B1403" s="155"/>
      <c r="C1403" s="155"/>
      <c r="D1403" s="156" t="s">
        <v>130</v>
      </c>
      <c r="E1403" s="156" t="s">
        <v>2296</v>
      </c>
      <c r="F1403" s="155"/>
      <c r="G1403" s="157" t="n">
        <v>1</v>
      </c>
      <c r="H1403" s="155"/>
      <c r="I1403" s="155"/>
      <c r="J1403" s="155"/>
      <c r="K1403" s="146"/>
    </row>
    <row r="1404">
      <c r="A1404" s="9" t="s">
        <v>2297</v>
      </c>
      <c r="B1404" s="10" t="s">
        <v>84</v>
      </c>
      <c r="C1404" s="10" t="s">
        <v>2298</v>
      </c>
      <c r="D1404" s="14" t="s">
        <v>2299</v>
      </c>
      <c r="E1404" s="10"/>
      <c r="F1404" s="10" t="s">
        <v>2277</v>
      </c>
      <c r="G1404" s="111">
        <f>'Stavební rozpočet'!G1404</f>
      </c>
      <c r="H1404" s="111">
        <f>'Stavební rozpočet'!H1404</f>
      </c>
      <c r="I1404" s="111">
        <f>G1404*H1404</f>
      </c>
      <c r="J1404" s="153" t="s">
        <v>134</v>
      </c>
      <c r="K1404" s="146"/>
      <c r="Z1404" s="111">
        <f>IF(AQ1404="5",BJ1404,0)</f>
      </c>
      <c r="AB1404" s="111">
        <f>IF(AQ1404="1",BH1404,0)</f>
      </c>
      <c r="AC1404" s="111">
        <f>IF(AQ1404="1",BI1404,0)</f>
      </c>
      <c r="AD1404" s="111">
        <f>IF(AQ1404="7",BH1404,0)</f>
      </c>
      <c r="AE1404" s="111">
        <f>IF(AQ1404="7",BI1404,0)</f>
      </c>
      <c r="AF1404" s="111">
        <f>IF(AQ1404="2",BH1404,0)</f>
      </c>
      <c r="AG1404" s="111">
        <f>IF(AQ1404="2",BI1404,0)</f>
      </c>
      <c r="AH1404" s="111">
        <f>IF(AQ1404="0",BJ1404,0)</f>
      </c>
      <c r="AI1404" s="132" t="s">
        <v>84</v>
      </c>
      <c r="AJ1404" s="111">
        <f>IF(AN1404=0,I1404,0)</f>
      </c>
      <c r="AK1404" s="111">
        <f>IF(AN1404=12,I1404,0)</f>
      </c>
      <c r="AL1404" s="111">
        <f>IF(AN1404=21,I1404,0)</f>
      </c>
      <c r="AN1404" s="111" t="n">
        <v>21</v>
      </c>
      <c r="AO1404" s="111">
        <f>H1404*0.00302482</f>
      </c>
      <c r="AP1404" s="111">
        <f>H1404*(1-0.00302482)</f>
      </c>
      <c r="AQ1404" s="153" t="s">
        <v>173</v>
      </c>
      <c r="AV1404" s="111">
        <f>AW1404+AX1404</f>
      </c>
      <c r="AW1404" s="111">
        <f>G1404*AO1404</f>
      </c>
      <c r="AX1404" s="111">
        <f>G1404*AP1404</f>
      </c>
      <c r="AY1404" s="153" t="s">
        <v>2278</v>
      </c>
      <c r="AZ1404" s="153" t="s">
        <v>1999</v>
      </c>
      <c r="BA1404" s="132" t="s">
        <v>137</v>
      </c>
      <c r="BC1404" s="111">
        <f>AW1404+AX1404</f>
      </c>
      <c r="BD1404" s="111">
        <f>H1404/(100-BE1404)*100</f>
      </c>
      <c r="BE1404" s="111" t="n">
        <v>0</v>
      </c>
      <c r="BF1404" s="111">
        <f>1404</f>
      </c>
      <c r="BH1404" s="111">
        <f>G1404*AO1404</f>
      </c>
      <c r="BI1404" s="111">
        <f>G1404*AP1404</f>
      </c>
      <c r="BJ1404" s="111">
        <f>G1404*H1404</f>
      </c>
      <c r="BK1404" s="111"/>
      <c r="BL1404" s="111" t="n">
        <v>767</v>
      </c>
      <c r="BW1404" s="111" t="n">
        <v>21</v>
      </c>
      <c r="BX1404" s="14" t="s">
        <v>2299</v>
      </c>
    </row>
    <row r="1405" customHeight="true" ht="13.5">
      <c r="A1405" s="159"/>
      <c r="C1405" s="160" t="s">
        <v>146</v>
      </c>
      <c r="D1405" s="161" t="s">
        <v>2279</v>
      </c>
      <c r="E1405" s="156"/>
      <c r="F1405" s="156"/>
      <c r="G1405" s="156"/>
      <c r="H1405" s="156"/>
      <c r="I1405" s="156"/>
      <c r="J1405" s="156"/>
      <c r="K1405" s="163"/>
    </row>
    <row r="1406">
      <c r="A1406" s="154"/>
      <c r="B1406" s="155"/>
      <c r="C1406" s="155"/>
      <c r="D1406" s="156" t="s">
        <v>130</v>
      </c>
      <c r="E1406" s="156" t="s">
        <v>2300</v>
      </c>
      <c r="F1406" s="155"/>
      <c r="G1406" s="157" t="n">
        <v>1</v>
      </c>
      <c r="H1406" s="155"/>
      <c r="I1406" s="155"/>
      <c r="J1406" s="155"/>
      <c r="K1406" s="146"/>
    </row>
    <row r="1407">
      <c r="A1407" s="9" t="s">
        <v>2301</v>
      </c>
      <c r="B1407" s="10" t="s">
        <v>84</v>
      </c>
      <c r="C1407" s="10" t="s">
        <v>2302</v>
      </c>
      <c r="D1407" s="14" t="s">
        <v>2303</v>
      </c>
      <c r="E1407" s="10"/>
      <c r="F1407" s="10" t="s">
        <v>2277</v>
      </c>
      <c r="G1407" s="111">
        <f>'Stavební rozpočet'!G1407</f>
      </c>
      <c r="H1407" s="111">
        <f>'Stavební rozpočet'!H1407</f>
      </c>
      <c r="I1407" s="111">
        <f>G1407*H1407</f>
      </c>
      <c r="J1407" s="153" t="s">
        <v>134</v>
      </c>
      <c r="K1407" s="146"/>
      <c r="Z1407" s="111">
        <f>IF(AQ1407="5",BJ1407,0)</f>
      </c>
      <c r="AB1407" s="111">
        <f>IF(AQ1407="1",BH1407,0)</f>
      </c>
      <c r="AC1407" s="111">
        <f>IF(AQ1407="1",BI1407,0)</f>
      </c>
      <c r="AD1407" s="111">
        <f>IF(AQ1407="7",BH1407,0)</f>
      </c>
      <c r="AE1407" s="111">
        <f>IF(AQ1407="7",BI1407,0)</f>
      </c>
      <c r="AF1407" s="111">
        <f>IF(AQ1407="2",BH1407,0)</f>
      </c>
      <c r="AG1407" s="111">
        <f>IF(AQ1407="2",BI1407,0)</f>
      </c>
      <c r="AH1407" s="111">
        <f>IF(AQ1407="0",BJ1407,0)</f>
      </c>
      <c r="AI1407" s="132" t="s">
        <v>84</v>
      </c>
      <c r="AJ1407" s="111">
        <f>IF(AN1407=0,I1407,0)</f>
      </c>
      <c r="AK1407" s="111">
        <f>IF(AN1407=12,I1407,0)</f>
      </c>
      <c r="AL1407" s="111">
        <f>IF(AN1407=21,I1407,0)</f>
      </c>
      <c r="AN1407" s="111" t="n">
        <v>21</v>
      </c>
      <c r="AO1407" s="111">
        <f>H1407*0.003024767</f>
      </c>
      <c r="AP1407" s="111">
        <f>H1407*(1-0.003024767)</f>
      </c>
      <c r="AQ1407" s="153" t="s">
        <v>173</v>
      </c>
      <c r="AV1407" s="111">
        <f>AW1407+AX1407</f>
      </c>
      <c r="AW1407" s="111">
        <f>G1407*AO1407</f>
      </c>
      <c r="AX1407" s="111">
        <f>G1407*AP1407</f>
      </c>
      <c r="AY1407" s="153" t="s">
        <v>2278</v>
      </c>
      <c r="AZ1407" s="153" t="s">
        <v>1999</v>
      </c>
      <c r="BA1407" s="132" t="s">
        <v>137</v>
      </c>
      <c r="BC1407" s="111">
        <f>AW1407+AX1407</f>
      </c>
      <c r="BD1407" s="111">
        <f>H1407/(100-BE1407)*100</f>
      </c>
      <c r="BE1407" s="111" t="n">
        <v>0</v>
      </c>
      <c r="BF1407" s="111">
        <f>1407</f>
      </c>
      <c r="BH1407" s="111">
        <f>G1407*AO1407</f>
      </c>
      <c r="BI1407" s="111">
        <f>G1407*AP1407</f>
      </c>
      <c r="BJ1407" s="111">
        <f>G1407*H1407</f>
      </c>
      <c r="BK1407" s="111"/>
      <c r="BL1407" s="111" t="n">
        <v>767</v>
      </c>
      <c r="BW1407" s="111" t="n">
        <v>21</v>
      </c>
      <c r="BX1407" s="14" t="s">
        <v>2303</v>
      </c>
    </row>
    <row r="1408" customHeight="true" ht="13.5">
      <c r="A1408" s="159"/>
      <c r="C1408" s="160" t="s">
        <v>146</v>
      </c>
      <c r="D1408" s="161" t="s">
        <v>2279</v>
      </c>
      <c r="E1408" s="156"/>
      <c r="F1408" s="156"/>
      <c r="G1408" s="156"/>
      <c r="H1408" s="156"/>
      <c r="I1408" s="156"/>
      <c r="J1408" s="156"/>
      <c r="K1408" s="163"/>
    </row>
    <row r="1409">
      <c r="A1409" s="154"/>
      <c r="B1409" s="155"/>
      <c r="C1409" s="155"/>
      <c r="D1409" s="156" t="s">
        <v>130</v>
      </c>
      <c r="E1409" s="156" t="s">
        <v>2304</v>
      </c>
      <c r="F1409" s="155"/>
      <c r="G1409" s="157" t="n">
        <v>1</v>
      </c>
      <c r="H1409" s="155"/>
      <c r="I1409" s="155"/>
      <c r="J1409" s="155"/>
      <c r="K1409" s="146"/>
    </row>
    <row r="1410">
      <c r="A1410" s="9" t="s">
        <v>2305</v>
      </c>
      <c r="B1410" s="10" t="s">
        <v>84</v>
      </c>
      <c r="C1410" s="10" t="s">
        <v>2306</v>
      </c>
      <c r="D1410" s="14" t="s">
        <v>2307</v>
      </c>
      <c r="E1410" s="10"/>
      <c r="F1410" s="10" t="s">
        <v>2277</v>
      </c>
      <c r="G1410" s="111">
        <f>'Stavební rozpočet'!G1410</f>
      </c>
      <c r="H1410" s="111">
        <f>'Stavební rozpočet'!H1410</f>
      </c>
      <c r="I1410" s="111">
        <f>G1410*H1410</f>
      </c>
      <c r="J1410" s="153" t="s">
        <v>134</v>
      </c>
      <c r="K1410" s="146"/>
      <c r="Z1410" s="111">
        <f>IF(AQ1410="5",BJ1410,0)</f>
      </c>
      <c r="AB1410" s="111">
        <f>IF(AQ1410="1",BH1410,0)</f>
      </c>
      <c r="AC1410" s="111">
        <f>IF(AQ1410="1",BI1410,0)</f>
      </c>
      <c r="AD1410" s="111">
        <f>IF(AQ1410="7",BH1410,0)</f>
      </c>
      <c r="AE1410" s="111">
        <f>IF(AQ1410="7",BI1410,0)</f>
      </c>
      <c r="AF1410" s="111">
        <f>IF(AQ1410="2",BH1410,0)</f>
      </c>
      <c r="AG1410" s="111">
        <f>IF(AQ1410="2",BI1410,0)</f>
      </c>
      <c r="AH1410" s="111">
        <f>IF(AQ1410="0",BJ1410,0)</f>
      </c>
      <c r="AI1410" s="132" t="s">
        <v>84</v>
      </c>
      <c r="AJ1410" s="111">
        <f>IF(AN1410=0,I1410,0)</f>
      </c>
      <c r="AK1410" s="111">
        <f>IF(AN1410=12,I1410,0)</f>
      </c>
      <c r="AL1410" s="111">
        <f>IF(AN1410=21,I1410,0)</f>
      </c>
      <c r="AN1410" s="111" t="n">
        <v>21</v>
      </c>
      <c r="AO1410" s="111">
        <f>H1410*0.003024773</f>
      </c>
      <c r="AP1410" s="111">
        <f>H1410*(1-0.003024773)</f>
      </c>
      <c r="AQ1410" s="153" t="s">
        <v>173</v>
      </c>
      <c r="AV1410" s="111">
        <f>AW1410+AX1410</f>
      </c>
      <c r="AW1410" s="111">
        <f>G1410*AO1410</f>
      </c>
      <c r="AX1410" s="111">
        <f>G1410*AP1410</f>
      </c>
      <c r="AY1410" s="153" t="s">
        <v>2278</v>
      </c>
      <c r="AZ1410" s="153" t="s">
        <v>1999</v>
      </c>
      <c r="BA1410" s="132" t="s">
        <v>137</v>
      </c>
      <c r="BC1410" s="111">
        <f>AW1410+AX1410</f>
      </c>
      <c r="BD1410" s="111">
        <f>H1410/(100-BE1410)*100</f>
      </c>
      <c r="BE1410" s="111" t="n">
        <v>0</v>
      </c>
      <c r="BF1410" s="111">
        <f>1410</f>
      </c>
      <c r="BH1410" s="111">
        <f>G1410*AO1410</f>
      </c>
      <c r="BI1410" s="111">
        <f>G1410*AP1410</f>
      </c>
      <c r="BJ1410" s="111">
        <f>G1410*H1410</f>
      </c>
      <c r="BK1410" s="111"/>
      <c r="BL1410" s="111" t="n">
        <v>767</v>
      </c>
      <c r="BW1410" s="111" t="n">
        <v>21</v>
      </c>
      <c r="BX1410" s="14" t="s">
        <v>2307</v>
      </c>
    </row>
    <row r="1411" customHeight="true" ht="13.5">
      <c r="A1411" s="159"/>
      <c r="C1411" s="160" t="s">
        <v>146</v>
      </c>
      <c r="D1411" s="161" t="s">
        <v>2279</v>
      </c>
      <c r="E1411" s="156"/>
      <c r="F1411" s="156"/>
      <c r="G1411" s="156"/>
      <c r="H1411" s="156"/>
      <c r="I1411" s="156"/>
      <c r="J1411" s="156"/>
      <c r="K1411" s="163"/>
    </row>
    <row r="1412">
      <c r="A1412" s="154"/>
      <c r="B1412" s="155"/>
      <c r="C1412" s="155"/>
      <c r="D1412" s="156" t="s">
        <v>130</v>
      </c>
      <c r="E1412" s="156" t="s">
        <v>2308</v>
      </c>
      <c r="F1412" s="155"/>
      <c r="G1412" s="157" t="n">
        <v>1</v>
      </c>
      <c r="H1412" s="155"/>
      <c r="I1412" s="155"/>
      <c r="J1412" s="155"/>
      <c r="K1412" s="146"/>
    </row>
    <row r="1413">
      <c r="A1413" s="9" t="s">
        <v>2309</v>
      </c>
      <c r="B1413" s="10" t="s">
        <v>84</v>
      </c>
      <c r="C1413" s="10" t="s">
        <v>2310</v>
      </c>
      <c r="D1413" s="14" t="s">
        <v>2311</v>
      </c>
      <c r="E1413" s="10"/>
      <c r="F1413" s="10" t="s">
        <v>2277</v>
      </c>
      <c r="G1413" s="111">
        <f>'Stavební rozpočet'!G1413</f>
      </c>
      <c r="H1413" s="111">
        <f>'Stavební rozpočet'!H1413</f>
      </c>
      <c r="I1413" s="111">
        <f>G1413*H1413</f>
      </c>
      <c r="J1413" s="153" t="s">
        <v>134</v>
      </c>
      <c r="K1413" s="146"/>
      <c r="Z1413" s="111">
        <f>IF(AQ1413="5",BJ1413,0)</f>
      </c>
      <c r="AB1413" s="111">
        <f>IF(AQ1413="1",BH1413,0)</f>
      </c>
      <c r="AC1413" s="111">
        <f>IF(AQ1413="1",BI1413,0)</f>
      </c>
      <c r="AD1413" s="111">
        <f>IF(AQ1413="7",BH1413,0)</f>
      </c>
      <c r="AE1413" s="111">
        <f>IF(AQ1413="7",BI1413,0)</f>
      </c>
      <c r="AF1413" s="111">
        <f>IF(AQ1413="2",BH1413,0)</f>
      </c>
      <c r="AG1413" s="111">
        <f>IF(AQ1413="2",BI1413,0)</f>
      </c>
      <c r="AH1413" s="111">
        <f>IF(AQ1413="0",BJ1413,0)</f>
      </c>
      <c r="AI1413" s="132" t="s">
        <v>84</v>
      </c>
      <c r="AJ1413" s="111">
        <f>IF(AN1413=0,I1413,0)</f>
      </c>
      <c r="AK1413" s="111">
        <f>IF(AN1413=12,I1413,0)</f>
      </c>
      <c r="AL1413" s="111">
        <f>IF(AN1413=21,I1413,0)</f>
      </c>
      <c r="AN1413" s="111" t="n">
        <v>21</v>
      </c>
      <c r="AO1413" s="111">
        <f>H1413*0.00302481</f>
      </c>
      <c r="AP1413" s="111">
        <f>H1413*(1-0.00302481)</f>
      </c>
      <c r="AQ1413" s="153" t="s">
        <v>173</v>
      </c>
      <c r="AV1413" s="111">
        <f>AW1413+AX1413</f>
      </c>
      <c r="AW1413" s="111">
        <f>G1413*AO1413</f>
      </c>
      <c r="AX1413" s="111">
        <f>G1413*AP1413</f>
      </c>
      <c r="AY1413" s="153" t="s">
        <v>2278</v>
      </c>
      <c r="AZ1413" s="153" t="s">
        <v>1999</v>
      </c>
      <c r="BA1413" s="132" t="s">
        <v>137</v>
      </c>
      <c r="BC1413" s="111">
        <f>AW1413+AX1413</f>
      </c>
      <c r="BD1413" s="111">
        <f>H1413/(100-BE1413)*100</f>
      </c>
      <c r="BE1413" s="111" t="n">
        <v>0</v>
      </c>
      <c r="BF1413" s="111">
        <f>1413</f>
      </c>
      <c r="BH1413" s="111">
        <f>G1413*AO1413</f>
      </c>
      <c r="BI1413" s="111">
        <f>G1413*AP1413</f>
      </c>
      <c r="BJ1413" s="111">
        <f>G1413*H1413</f>
      </c>
      <c r="BK1413" s="111"/>
      <c r="BL1413" s="111" t="n">
        <v>767</v>
      </c>
      <c r="BW1413" s="111" t="n">
        <v>21</v>
      </c>
      <c r="BX1413" s="14" t="s">
        <v>2311</v>
      </c>
    </row>
    <row r="1414" customHeight="true" ht="13.5">
      <c r="A1414" s="159"/>
      <c r="C1414" s="160" t="s">
        <v>146</v>
      </c>
      <c r="D1414" s="161" t="s">
        <v>2279</v>
      </c>
      <c r="E1414" s="156"/>
      <c r="F1414" s="156"/>
      <c r="G1414" s="156"/>
      <c r="H1414" s="156"/>
      <c r="I1414" s="156"/>
      <c r="J1414" s="156"/>
      <c r="K1414" s="163"/>
    </row>
    <row r="1415">
      <c r="A1415" s="154"/>
      <c r="B1415" s="155"/>
      <c r="C1415" s="155"/>
      <c r="D1415" s="156" t="s">
        <v>130</v>
      </c>
      <c r="E1415" s="156" t="s">
        <v>2312</v>
      </c>
      <c r="F1415" s="155"/>
      <c r="G1415" s="157" t="n">
        <v>1</v>
      </c>
      <c r="H1415" s="155"/>
      <c r="I1415" s="155"/>
      <c r="J1415" s="155"/>
      <c r="K1415" s="146"/>
    </row>
    <row r="1416">
      <c r="A1416" s="9" t="s">
        <v>2313</v>
      </c>
      <c r="B1416" s="10" t="s">
        <v>84</v>
      </c>
      <c r="C1416" s="10" t="s">
        <v>2314</v>
      </c>
      <c r="D1416" s="14" t="s">
        <v>2315</v>
      </c>
      <c r="E1416" s="10"/>
      <c r="F1416" s="10" t="s">
        <v>2277</v>
      </c>
      <c r="G1416" s="111">
        <f>'Stavební rozpočet'!G1416</f>
      </c>
      <c r="H1416" s="111">
        <f>'Stavební rozpočet'!H1416</f>
      </c>
      <c r="I1416" s="111">
        <f>G1416*H1416</f>
      </c>
      <c r="J1416" s="153" t="s">
        <v>134</v>
      </c>
      <c r="K1416" s="146"/>
      <c r="Z1416" s="111">
        <f>IF(AQ1416="5",BJ1416,0)</f>
      </c>
      <c r="AB1416" s="111">
        <f>IF(AQ1416="1",BH1416,0)</f>
      </c>
      <c r="AC1416" s="111">
        <f>IF(AQ1416="1",BI1416,0)</f>
      </c>
      <c r="AD1416" s="111">
        <f>IF(AQ1416="7",BH1416,0)</f>
      </c>
      <c r="AE1416" s="111">
        <f>IF(AQ1416="7",BI1416,0)</f>
      </c>
      <c r="AF1416" s="111">
        <f>IF(AQ1416="2",BH1416,0)</f>
      </c>
      <c r="AG1416" s="111">
        <f>IF(AQ1416="2",BI1416,0)</f>
      </c>
      <c r="AH1416" s="111">
        <f>IF(AQ1416="0",BJ1416,0)</f>
      </c>
      <c r="AI1416" s="132" t="s">
        <v>84</v>
      </c>
      <c r="AJ1416" s="111">
        <f>IF(AN1416=0,I1416,0)</f>
      </c>
      <c r="AK1416" s="111">
        <f>IF(AN1416=12,I1416,0)</f>
      </c>
      <c r="AL1416" s="111">
        <f>IF(AN1416=21,I1416,0)</f>
      </c>
      <c r="AN1416" s="111" t="n">
        <v>21</v>
      </c>
      <c r="AO1416" s="111">
        <f>H1416*0.003025</f>
      </c>
      <c r="AP1416" s="111">
        <f>H1416*(1-0.003025)</f>
      </c>
      <c r="AQ1416" s="153" t="s">
        <v>173</v>
      </c>
      <c r="AV1416" s="111">
        <f>AW1416+AX1416</f>
      </c>
      <c r="AW1416" s="111">
        <f>G1416*AO1416</f>
      </c>
      <c r="AX1416" s="111">
        <f>G1416*AP1416</f>
      </c>
      <c r="AY1416" s="153" t="s">
        <v>2278</v>
      </c>
      <c r="AZ1416" s="153" t="s">
        <v>1999</v>
      </c>
      <c r="BA1416" s="132" t="s">
        <v>137</v>
      </c>
      <c r="BC1416" s="111">
        <f>AW1416+AX1416</f>
      </c>
      <c r="BD1416" s="111">
        <f>H1416/(100-BE1416)*100</f>
      </c>
      <c r="BE1416" s="111" t="n">
        <v>0</v>
      </c>
      <c r="BF1416" s="111">
        <f>1416</f>
      </c>
      <c r="BH1416" s="111">
        <f>G1416*AO1416</f>
      </c>
      <c r="BI1416" s="111">
        <f>G1416*AP1416</f>
      </c>
      <c r="BJ1416" s="111">
        <f>G1416*H1416</f>
      </c>
      <c r="BK1416" s="111"/>
      <c r="BL1416" s="111" t="n">
        <v>767</v>
      </c>
      <c r="BW1416" s="111" t="n">
        <v>21</v>
      </c>
      <c r="BX1416" s="14" t="s">
        <v>2315</v>
      </c>
    </row>
    <row r="1417" customHeight="true" ht="13.5">
      <c r="A1417" s="159"/>
      <c r="C1417" s="160" t="s">
        <v>146</v>
      </c>
      <c r="D1417" s="161" t="s">
        <v>2279</v>
      </c>
      <c r="E1417" s="156"/>
      <c r="F1417" s="156"/>
      <c r="G1417" s="156"/>
      <c r="H1417" s="156"/>
      <c r="I1417" s="156"/>
      <c r="J1417" s="156"/>
      <c r="K1417" s="163"/>
    </row>
    <row r="1418">
      <c r="A1418" s="154"/>
      <c r="B1418" s="155"/>
      <c r="C1418" s="155"/>
      <c r="D1418" s="156" t="s">
        <v>130</v>
      </c>
      <c r="E1418" s="156" t="s">
        <v>2316</v>
      </c>
      <c r="F1418" s="155"/>
      <c r="G1418" s="157" t="n">
        <v>1</v>
      </c>
      <c r="H1418" s="155"/>
      <c r="I1418" s="155"/>
      <c r="J1418" s="155"/>
      <c r="K1418" s="146"/>
    </row>
    <row r="1419">
      <c r="A1419" s="9" t="s">
        <v>2317</v>
      </c>
      <c r="B1419" s="10" t="s">
        <v>84</v>
      </c>
      <c r="C1419" s="10" t="s">
        <v>2318</v>
      </c>
      <c r="D1419" s="14" t="s">
        <v>2319</v>
      </c>
      <c r="E1419" s="10"/>
      <c r="F1419" s="10" t="s">
        <v>2277</v>
      </c>
      <c r="G1419" s="111">
        <f>'Stavební rozpočet'!G1419</f>
      </c>
      <c r="H1419" s="111">
        <f>'Stavební rozpočet'!H1419</f>
      </c>
      <c r="I1419" s="111">
        <f>G1419*H1419</f>
      </c>
      <c r="J1419" s="153" t="s">
        <v>134</v>
      </c>
      <c r="K1419" s="146"/>
      <c r="Z1419" s="111">
        <f>IF(AQ1419="5",BJ1419,0)</f>
      </c>
      <c r="AB1419" s="111">
        <f>IF(AQ1419="1",BH1419,0)</f>
      </c>
      <c r="AC1419" s="111">
        <f>IF(AQ1419="1",BI1419,0)</f>
      </c>
      <c r="AD1419" s="111">
        <f>IF(AQ1419="7",BH1419,0)</f>
      </c>
      <c r="AE1419" s="111">
        <f>IF(AQ1419="7",BI1419,0)</f>
      </c>
      <c r="AF1419" s="111">
        <f>IF(AQ1419="2",BH1419,0)</f>
      </c>
      <c r="AG1419" s="111">
        <f>IF(AQ1419="2",BI1419,0)</f>
      </c>
      <c r="AH1419" s="111">
        <f>IF(AQ1419="0",BJ1419,0)</f>
      </c>
      <c r="AI1419" s="132" t="s">
        <v>84</v>
      </c>
      <c r="AJ1419" s="111">
        <f>IF(AN1419=0,I1419,0)</f>
      </c>
      <c r="AK1419" s="111">
        <f>IF(AN1419=12,I1419,0)</f>
      </c>
      <c r="AL1419" s="111">
        <f>IF(AN1419=21,I1419,0)</f>
      </c>
      <c r="AN1419" s="111" t="n">
        <v>21</v>
      </c>
      <c r="AO1419" s="111">
        <f>H1419*0.003025</f>
      </c>
      <c r="AP1419" s="111">
        <f>H1419*(1-0.003025)</f>
      </c>
      <c r="AQ1419" s="153" t="s">
        <v>173</v>
      </c>
      <c r="AV1419" s="111">
        <f>AW1419+AX1419</f>
      </c>
      <c r="AW1419" s="111">
        <f>G1419*AO1419</f>
      </c>
      <c r="AX1419" s="111">
        <f>G1419*AP1419</f>
      </c>
      <c r="AY1419" s="153" t="s">
        <v>2278</v>
      </c>
      <c r="AZ1419" s="153" t="s">
        <v>1999</v>
      </c>
      <c r="BA1419" s="132" t="s">
        <v>137</v>
      </c>
      <c r="BC1419" s="111">
        <f>AW1419+AX1419</f>
      </c>
      <c r="BD1419" s="111">
        <f>H1419/(100-BE1419)*100</f>
      </c>
      <c r="BE1419" s="111" t="n">
        <v>0</v>
      </c>
      <c r="BF1419" s="111">
        <f>1419</f>
      </c>
      <c r="BH1419" s="111">
        <f>G1419*AO1419</f>
      </c>
      <c r="BI1419" s="111">
        <f>G1419*AP1419</f>
      </c>
      <c r="BJ1419" s="111">
        <f>G1419*H1419</f>
      </c>
      <c r="BK1419" s="111"/>
      <c r="BL1419" s="111" t="n">
        <v>767</v>
      </c>
      <c r="BW1419" s="111" t="n">
        <v>21</v>
      </c>
      <c r="BX1419" s="14" t="s">
        <v>2319</v>
      </c>
    </row>
    <row r="1420" customHeight="true" ht="13.5">
      <c r="A1420" s="159"/>
      <c r="C1420" s="160" t="s">
        <v>146</v>
      </c>
      <c r="D1420" s="161" t="s">
        <v>2279</v>
      </c>
      <c r="E1420" s="156"/>
      <c r="F1420" s="156"/>
      <c r="G1420" s="156"/>
      <c r="H1420" s="156"/>
      <c r="I1420" s="156"/>
      <c r="J1420" s="156"/>
      <c r="K1420" s="163"/>
    </row>
    <row r="1421">
      <c r="A1421" s="154"/>
      <c r="B1421" s="155"/>
      <c r="C1421" s="155"/>
      <c r="D1421" s="156" t="s">
        <v>130</v>
      </c>
      <c r="E1421" s="156" t="s">
        <v>2320</v>
      </c>
      <c r="F1421" s="155"/>
      <c r="G1421" s="157" t="n">
        <v>1</v>
      </c>
      <c r="H1421" s="155"/>
      <c r="I1421" s="155"/>
      <c r="J1421" s="155"/>
      <c r="K1421" s="146"/>
    </row>
    <row r="1422">
      <c r="A1422" s="9" t="s">
        <v>2321</v>
      </c>
      <c r="B1422" s="10" t="s">
        <v>84</v>
      </c>
      <c r="C1422" s="10" t="s">
        <v>2322</v>
      </c>
      <c r="D1422" s="14" t="s">
        <v>2323</v>
      </c>
      <c r="E1422" s="10"/>
      <c r="F1422" s="10" t="s">
        <v>2277</v>
      </c>
      <c r="G1422" s="111">
        <f>'Stavební rozpočet'!G1422</f>
      </c>
      <c r="H1422" s="111">
        <f>'Stavební rozpočet'!H1422</f>
      </c>
      <c r="I1422" s="111">
        <f>G1422*H1422</f>
      </c>
      <c r="J1422" s="153" t="s">
        <v>134</v>
      </c>
      <c r="K1422" s="146"/>
      <c r="Z1422" s="111">
        <f>IF(AQ1422="5",BJ1422,0)</f>
      </c>
      <c r="AB1422" s="111">
        <f>IF(AQ1422="1",BH1422,0)</f>
      </c>
      <c r="AC1422" s="111">
        <f>IF(AQ1422="1",BI1422,0)</f>
      </c>
      <c r="AD1422" s="111">
        <f>IF(AQ1422="7",BH1422,0)</f>
      </c>
      <c r="AE1422" s="111">
        <f>IF(AQ1422="7",BI1422,0)</f>
      </c>
      <c r="AF1422" s="111">
        <f>IF(AQ1422="2",BH1422,0)</f>
      </c>
      <c r="AG1422" s="111">
        <f>IF(AQ1422="2",BI1422,0)</f>
      </c>
      <c r="AH1422" s="111">
        <f>IF(AQ1422="0",BJ1422,0)</f>
      </c>
      <c r="AI1422" s="132" t="s">
        <v>84</v>
      </c>
      <c r="AJ1422" s="111">
        <f>IF(AN1422=0,I1422,0)</f>
      </c>
      <c r="AK1422" s="111">
        <f>IF(AN1422=12,I1422,0)</f>
      </c>
      <c r="AL1422" s="111">
        <f>IF(AN1422=21,I1422,0)</f>
      </c>
      <c r="AN1422" s="111" t="n">
        <v>21</v>
      </c>
      <c r="AO1422" s="111">
        <f>H1422*0.003024762</f>
      </c>
      <c r="AP1422" s="111">
        <f>H1422*(1-0.003024762)</f>
      </c>
      <c r="AQ1422" s="153" t="s">
        <v>173</v>
      </c>
      <c r="AV1422" s="111">
        <f>AW1422+AX1422</f>
      </c>
      <c r="AW1422" s="111">
        <f>G1422*AO1422</f>
      </c>
      <c r="AX1422" s="111">
        <f>G1422*AP1422</f>
      </c>
      <c r="AY1422" s="153" t="s">
        <v>2278</v>
      </c>
      <c r="AZ1422" s="153" t="s">
        <v>1999</v>
      </c>
      <c r="BA1422" s="132" t="s">
        <v>137</v>
      </c>
      <c r="BC1422" s="111">
        <f>AW1422+AX1422</f>
      </c>
      <c r="BD1422" s="111">
        <f>H1422/(100-BE1422)*100</f>
      </c>
      <c r="BE1422" s="111" t="n">
        <v>0</v>
      </c>
      <c r="BF1422" s="111">
        <f>1422</f>
      </c>
      <c r="BH1422" s="111">
        <f>G1422*AO1422</f>
      </c>
      <c r="BI1422" s="111">
        <f>G1422*AP1422</f>
      </c>
      <c r="BJ1422" s="111">
        <f>G1422*H1422</f>
      </c>
      <c r="BK1422" s="111"/>
      <c r="BL1422" s="111" t="n">
        <v>767</v>
      </c>
      <c r="BW1422" s="111" t="n">
        <v>21</v>
      </c>
      <c r="BX1422" s="14" t="s">
        <v>2323</v>
      </c>
    </row>
    <row r="1423" customHeight="true" ht="13.5">
      <c r="A1423" s="159"/>
      <c r="C1423" s="160" t="s">
        <v>146</v>
      </c>
      <c r="D1423" s="161" t="s">
        <v>2279</v>
      </c>
      <c r="E1423" s="156"/>
      <c r="F1423" s="156"/>
      <c r="G1423" s="156"/>
      <c r="H1423" s="156"/>
      <c r="I1423" s="156"/>
      <c r="J1423" s="156"/>
      <c r="K1423" s="163"/>
    </row>
    <row r="1424">
      <c r="A1424" s="154"/>
      <c r="B1424" s="155"/>
      <c r="C1424" s="155"/>
      <c r="D1424" s="156" t="s">
        <v>140</v>
      </c>
      <c r="E1424" s="156" t="s">
        <v>2324</v>
      </c>
      <c r="F1424" s="155"/>
      <c r="G1424" s="157" t="n">
        <v>2</v>
      </c>
      <c r="H1424" s="155"/>
      <c r="I1424" s="155"/>
      <c r="J1424" s="155"/>
      <c r="K1424" s="146"/>
    </row>
    <row r="1425">
      <c r="A1425" s="9" t="s">
        <v>2325</v>
      </c>
      <c r="B1425" s="10" t="s">
        <v>84</v>
      </c>
      <c r="C1425" s="10" t="s">
        <v>2326</v>
      </c>
      <c r="D1425" s="14" t="s">
        <v>2327</v>
      </c>
      <c r="E1425" s="10"/>
      <c r="F1425" s="10" t="s">
        <v>2277</v>
      </c>
      <c r="G1425" s="111">
        <f>'Stavební rozpočet'!G1425</f>
      </c>
      <c r="H1425" s="111">
        <f>'Stavební rozpočet'!H1425</f>
      </c>
      <c r="I1425" s="111">
        <f>G1425*H1425</f>
      </c>
      <c r="J1425" s="153" t="s">
        <v>134</v>
      </c>
      <c r="K1425" s="146"/>
      <c r="Z1425" s="111">
        <f>IF(AQ1425="5",BJ1425,0)</f>
      </c>
      <c r="AB1425" s="111">
        <f>IF(AQ1425="1",BH1425,0)</f>
      </c>
      <c r="AC1425" s="111">
        <f>IF(AQ1425="1",BI1425,0)</f>
      </c>
      <c r="AD1425" s="111">
        <f>IF(AQ1425="7",BH1425,0)</f>
      </c>
      <c r="AE1425" s="111">
        <f>IF(AQ1425="7",BI1425,0)</f>
      </c>
      <c r="AF1425" s="111">
        <f>IF(AQ1425="2",BH1425,0)</f>
      </c>
      <c r="AG1425" s="111">
        <f>IF(AQ1425="2",BI1425,0)</f>
      </c>
      <c r="AH1425" s="111">
        <f>IF(AQ1425="0",BJ1425,0)</f>
      </c>
      <c r="AI1425" s="132" t="s">
        <v>84</v>
      </c>
      <c r="AJ1425" s="111">
        <f>IF(AN1425=0,I1425,0)</f>
      </c>
      <c r="AK1425" s="111">
        <f>IF(AN1425=12,I1425,0)</f>
      </c>
      <c r="AL1425" s="111">
        <f>IF(AN1425=21,I1425,0)</f>
      </c>
      <c r="AN1425" s="111" t="n">
        <v>21</v>
      </c>
      <c r="AO1425" s="111">
        <f>H1425*0.003024776</f>
      </c>
      <c r="AP1425" s="111">
        <f>H1425*(1-0.003024776)</f>
      </c>
      <c r="AQ1425" s="153" t="s">
        <v>173</v>
      </c>
      <c r="AV1425" s="111">
        <f>AW1425+AX1425</f>
      </c>
      <c r="AW1425" s="111">
        <f>G1425*AO1425</f>
      </c>
      <c r="AX1425" s="111">
        <f>G1425*AP1425</f>
      </c>
      <c r="AY1425" s="153" t="s">
        <v>2278</v>
      </c>
      <c r="AZ1425" s="153" t="s">
        <v>1999</v>
      </c>
      <c r="BA1425" s="132" t="s">
        <v>137</v>
      </c>
      <c r="BC1425" s="111">
        <f>AW1425+AX1425</f>
      </c>
      <c r="BD1425" s="111">
        <f>H1425/(100-BE1425)*100</f>
      </c>
      <c r="BE1425" s="111" t="n">
        <v>0</v>
      </c>
      <c r="BF1425" s="111">
        <f>1425</f>
      </c>
      <c r="BH1425" s="111">
        <f>G1425*AO1425</f>
      </c>
      <c r="BI1425" s="111">
        <f>G1425*AP1425</f>
      </c>
      <c r="BJ1425" s="111">
        <f>G1425*H1425</f>
      </c>
      <c r="BK1425" s="111"/>
      <c r="BL1425" s="111" t="n">
        <v>767</v>
      </c>
      <c r="BW1425" s="111" t="n">
        <v>21</v>
      </c>
      <c r="BX1425" s="14" t="s">
        <v>2327</v>
      </c>
    </row>
    <row r="1426" customHeight="true" ht="13.5">
      <c r="A1426" s="159"/>
      <c r="C1426" s="160" t="s">
        <v>146</v>
      </c>
      <c r="D1426" s="161" t="s">
        <v>2279</v>
      </c>
      <c r="E1426" s="156"/>
      <c r="F1426" s="156"/>
      <c r="G1426" s="156"/>
      <c r="H1426" s="156"/>
      <c r="I1426" s="156"/>
      <c r="J1426" s="156"/>
      <c r="K1426" s="163"/>
    </row>
    <row r="1427">
      <c r="A1427" s="154"/>
      <c r="B1427" s="155"/>
      <c r="C1427" s="155"/>
      <c r="D1427" s="156" t="s">
        <v>130</v>
      </c>
      <c r="E1427" s="156" t="s">
        <v>2328</v>
      </c>
      <c r="F1427" s="155"/>
      <c r="G1427" s="157" t="n">
        <v>1</v>
      </c>
      <c r="H1427" s="155"/>
      <c r="I1427" s="155"/>
      <c r="J1427" s="155"/>
      <c r="K1427" s="146"/>
    </row>
    <row r="1428">
      <c r="A1428" s="9" t="s">
        <v>2329</v>
      </c>
      <c r="B1428" s="10" t="s">
        <v>84</v>
      </c>
      <c r="C1428" s="10" t="s">
        <v>2330</v>
      </c>
      <c r="D1428" s="14" t="s">
        <v>2331</v>
      </c>
      <c r="E1428" s="10"/>
      <c r="F1428" s="10" t="s">
        <v>2277</v>
      </c>
      <c r="G1428" s="111">
        <f>'Stavební rozpočet'!G1428</f>
      </c>
      <c r="H1428" s="111">
        <f>'Stavební rozpočet'!H1428</f>
      </c>
      <c r="I1428" s="111">
        <f>G1428*H1428</f>
      </c>
      <c r="J1428" s="153" t="s">
        <v>134</v>
      </c>
      <c r="K1428" s="146"/>
      <c r="Z1428" s="111">
        <f>IF(AQ1428="5",BJ1428,0)</f>
      </c>
      <c r="AB1428" s="111">
        <f>IF(AQ1428="1",BH1428,0)</f>
      </c>
      <c r="AC1428" s="111">
        <f>IF(AQ1428="1",BI1428,0)</f>
      </c>
      <c r="AD1428" s="111">
        <f>IF(AQ1428="7",BH1428,0)</f>
      </c>
      <c r="AE1428" s="111">
        <f>IF(AQ1428="7",BI1428,0)</f>
      </c>
      <c r="AF1428" s="111">
        <f>IF(AQ1428="2",BH1428,0)</f>
      </c>
      <c r="AG1428" s="111">
        <f>IF(AQ1428="2",BI1428,0)</f>
      </c>
      <c r="AH1428" s="111">
        <f>IF(AQ1428="0",BJ1428,0)</f>
      </c>
      <c r="AI1428" s="132" t="s">
        <v>84</v>
      </c>
      <c r="AJ1428" s="111">
        <f>IF(AN1428=0,I1428,0)</f>
      </c>
      <c r="AK1428" s="111">
        <f>IF(AN1428=12,I1428,0)</f>
      </c>
      <c r="AL1428" s="111">
        <f>IF(AN1428=21,I1428,0)</f>
      </c>
      <c r="AN1428" s="111" t="n">
        <v>21</v>
      </c>
      <c r="AO1428" s="111">
        <f>H1428*0.003024727</f>
      </c>
      <c r="AP1428" s="111">
        <f>H1428*(1-0.003024727)</f>
      </c>
      <c r="AQ1428" s="153" t="s">
        <v>173</v>
      </c>
      <c r="AV1428" s="111">
        <f>AW1428+AX1428</f>
      </c>
      <c r="AW1428" s="111">
        <f>G1428*AO1428</f>
      </c>
      <c r="AX1428" s="111">
        <f>G1428*AP1428</f>
      </c>
      <c r="AY1428" s="153" t="s">
        <v>2278</v>
      </c>
      <c r="AZ1428" s="153" t="s">
        <v>1999</v>
      </c>
      <c r="BA1428" s="132" t="s">
        <v>137</v>
      </c>
      <c r="BC1428" s="111">
        <f>AW1428+AX1428</f>
      </c>
      <c r="BD1428" s="111">
        <f>H1428/(100-BE1428)*100</f>
      </c>
      <c r="BE1428" s="111" t="n">
        <v>0</v>
      </c>
      <c r="BF1428" s="111">
        <f>1428</f>
      </c>
      <c r="BH1428" s="111">
        <f>G1428*AO1428</f>
      </c>
      <c r="BI1428" s="111">
        <f>G1428*AP1428</f>
      </c>
      <c r="BJ1428" s="111">
        <f>G1428*H1428</f>
      </c>
      <c r="BK1428" s="111"/>
      <c r="BL1428" s="111" t="n">
        <v>767</v>
      </c>
      <c r="BW1428" s="111" t="n">
        <v>21</v>
      </c>
      <c r="BX1428" s="14" t="s">
        <v>2331</v>
      </c>
    </row>
    <row r="1429" customHeight="true" ht="13.5">
      <c r="A1429" s="159"/>
      <c r="C1429" s="160" t="s">
        <v>146</v>
      </c>
      <c r="D1429" s="161" t="s">
        <v>2279</v>
      </c>
      <c r="E1429" s="156"/>
      <c r="F1429" s="156"/>
      <c r="G1429" s="156"/>
      <c r="H1429" s="156"/>
      <c r="I1429" s="156"/>
      <c r="J1429" s="156"/>
      <c r="K1429" s="163"/>
    </row>
    <row r="1430">
      <c r="A1430" s="154"/>
      <c r="B1430" s="155"/>
      <c r="C1430" s="155"/>
      <c r="D1430" s="156" t="s">
        <v>130</v>
      </c>
      <c r="E1430" s="156" t="s">
        <v>2332</v>
      </c>
      <c r="F1430" s="155"/>
      <c r="G1430" s="157" t="n">
        <v>1</v>
      </c>
      <c r="H1430" s="155"/>
      <c r="I1430" s="155"/>
      <c r="J1430" s="155"/>
      <c r="K1430" s="146"/>
    </row>
    <row r="1431">
      <c r="A1431" s="9" t="s">
        <v>2333</v>
      </c>
      <c r="B1431" s="10" t="s">
        <v>84</v>
      </c>
      <c r="C1431" s="10" t="s">
        <v>2334</v>
      </c>
      <c r="D1431" s="14" t="s">
        <v>2335</v>
      </c>
      <c r="E1431" s="10"/>
      <c r="F1431" s="10" t="s">
        <v>2277</v>
      </c>
      <c r="G1431" s="111">
        <f>'Stavební rozpočet'!G1431</f>
      </c>
      <c r="H1431" s="111">
        <f>'Stavební rozpočet'!H1431</f>
      </c>
      <c r="I1431" s="111">
        <f>G1431*H1431</f>
      </c>
      <c r="J1431" s="153" t="s">
        <v>134</v>
      </c>
      <c r="K1431" s="146"/>
      <c r="Z1431" s="111">
        <f>IF(AQ1431="5",BJ1431,0)</f>
      </c>
      <c r="AB1431" s="111">
        <f>IF(AQ1431="1",BH1431,0)</f>
      </c>
      <c r="AC1431" s="111">
        <f>IF(AQ1431="1",BI1431,0)</f>
      </c>
      <c r="AD1431" s="111">
        <f>IF(AQ1431="7",BH1431,0)</f>
      </c>
      <c r="AE1431" s="111">
        <f>IF(AQ1431="7",BI1431,0)</f>
      </c>
      <c r="AF1431" s="111">
        <f>IF(AQ1431="2",BH1431,0)</f>
      </c>
      <c r="AG1431" s="111">
        <f>IF(AQ1431="2",BI1431,0)</f>
      </c>
      <c r="AH1431" s="111">
        <f>IF(AQ1431="0",BJ1431,0)</f>
      </c>
      <c r="AI1431" s="132" t="s">
        <v>84</v>
      </c>
      <c r="AJ1431" s="111">
        <f>IF(AN1431=0,I1431,0)</f>
      </c>
      <c r="AK1431" s="111">
        <f>IF(AN1431=12,I1431,0)</f>
      </c>
      <c r="AL1431" s="111">
        <f>IF(AN1431=21,I1431,0)</f>
      </c>
      <c r="AN1431" s="111" t="n">
        <v>21</v>
      </c>
      <c r="AO1431" s="111">
        <f>H1431*0.003024348</f>
      </c>
      <c r="AP1431" s="111">
        <f>H1431*(1-0.003024348)</f>
      </c>
      <c r="AQ1431" s="153" t="s">
        <v>173</v>
      </c>
      <c r="AV1431" s="111">
        <f>AW1431+AX1431</f>
      </c>
      <c r="AW1431" s="111">
        <f>G1431*AO1431</f>
      </c>
      <c r="AX1431" s="111">
        <f>G1431*AP1431</f>
      </c>
      <c r="AY1431" s="153" t="s">
        <v>2278</v>
      </c>
      <c r="AZ1431" s="153" t="s">
        <v>1999</v>
      </c>
      <c r="BA1431" s="132" t="s">
        <v>137</v>
      </c>
      <c r="BC1431" s="111">
        <f>AW1431+AX1431</f>
      </c>
      <c r="BD1431" s="111">
        <f>H1431/(100-BE1431)*100</f>
      </c>
      <c r="BE1431" s="111" t="n">
        <v>0</v>
      </c>
      <c r="BF1431" s="111">
        <f>1431</f>
      </c>
      <c r="BH1431" s="111">
        <f>G1431*AO1431</f>
      </c>
      <c r="BI1431" s="111">
        <f>G1431*AP1431</f>
      </c>
      <c r="BJ1431" s="111">
        <f>G1431*H1431</f>
      </c>
      <c r="BK1431" s="111"/>
      <c r="BL1431" s="111" t="n">
        <v>767</v>
      </c>
      <c r="BW1431" s="111" t="n">
        <v>21</v>
      </c>
      <c r="BX1431" s="14" t="s">
        <v>2335</v>
      </c>
    </row>
    <row r="1432" customHeight="true" ht="13.5">
      <c r="A1432" s="159"/>
      <c r="C1432" s="160" t="s">
        <v>146</v>
      </c>
      <c r="D1432" s="161" t="s">
        <v>2279</v>
      </c>
      <c r="E1432" s="156"/>
      <c r="F1432" s="156"/>
      <c r="G1432" s="156"/>
      <c r="H1432" s="156"/>
      <c r="I1432" s="156"/>
      <c r="J1432" s="156"/>
      <c r="K1432" s="163"/>
    </row>
    <row r="1433">
      <c r="A1433" s="154"/>
      <c r="B1433" s="155"/>
      <c r="C1433" s="155"/>
      <c r="D1433" s="156" t="s">
        <v>140</v>
      </c>
      <c r="E1433" s="156" t="s">
        <v>2336</v>
      </c>
      <c r="F1433" s="155"/>
      <c r="G1433" s="157" t="n">
        <v>2</v>
      </c>
      <c r="H1433" s="155"/>
      <c r="I1433" s="155"/>
      <c r="J1433" s="155"/>
      <c r="K1433" s="146"/>
    </row>
    <row r="1434">
      <c r="A1434" s="9" t="s">
        <v>2337</v>
      </c>
      <c r="B1434" s="10" t="s">
        <v>84</v>
      </c>
      <c r="C1434" s="10" t="s">
        <v>2338</v>
      </c>
      <c r="D1434" s="14" t="s">
        <v>2339</v>
      </c>
      <c r="E1434" s="10"/>
      <c r="F1434" s="10" t="s">
        <v>2277</v>
      </c>
      <c r="G1434" s="111">
        <f>'Stavební rozpočet'!G1434</f>
      </c>
      <c r="H1434" s="111">
        <f>'Stavební rozpočet'!H1434</f>
      </c>
      <c r="I1434" s="111">
        <f>G1434*H1434</f>
      </c>
      <c r="J1434" s="153" t="s">
        <v>134</v>
      </c>
      <c r="K1434" s="146"/>
      <c r="Z1434" s="111">
        <f>IF(AQ1434="5",BJ1434,0)</f>
      </c>
      <c r="AB1434" s="111">
        <f>IF(AQ1434="1",BH1434,0)</f>
      </c>
      <c r="AC1434" s="111">
        <f>IF(AQ1434="1",BI1434,0)</f>
      </c>
      <c r="AD1434" s="111">
        <f>IF(AQ1434="7",BH1434,0)</f>
      </c>
      <c r="AE1434" s="111">
        <f>IF(AQ1434="7",BI1434,0)</f>
      </c>
      <c r="AF1434" s="111">
        <f>IF(AQ1434="2",BH1434,0)</f>
      </c>
      <c r="AG1434" s="111">
        <f>IF(AQ1434="2",BI1434,0)</f>
      </c>
      <c r="AH1434" s="111">
        <f>IF(AQ1434="0",BJ1434,0)</f>
      </c>
      <c r="AI1434" s="132" t="s">
        <v>84</v>
      </c>
      <c r="AJ1434" s="111">
        <f>IF(AN1434=0,I1434,0)</f>
      </c>
      <c r="AK1434" s="111">
        <f>IF(AN1434=12,I1434,0)</f>
      </c>
      <c r="AL1434" s="111">
        <f>IF(AN1434=21,I1434,0)</f>
      </c>
      <c r="AN1434" s="111" t="n">
        <v>21</v>
      </c>
      <c r="AO1434" s="111">
        <f>H1434*0.003024348</f>
      </c>
      <c r="AP1434" s="111">
        <f>H1434*(1-0.003024348)</f>
      </c>
      <c r="AQ1434" s="153" t="s">
        <v>173</v>
      </c>
      <c r="AV1434" s="111">
        <f>AW1434+AX1434</f>
      </c>
      <c r="AW1434" s="111">
        <f>G1434*AO1434</f>
      </c>
      <c r="AX1434" s="111">
        <f>G1434*AP1434</f>
      </c>
      <c r="AY1434" s="153" t="s">
        <v>2278</v>
      </c>
      <c r="AZ1434" s="153" t="s">
        <v>1999</v>
      </c>
      <c r="BA1434" s="132" t="s">
        <v>137</v>
      </c>
      <c r="BC1434" s="111">
        <f>AW1434+AX1434</f>
      </c>
      <c r="BD1434" s="111">
        <f>H1434/(100-BE1434)*100</f>
      </c>
      <c r="BE1434" s="111" t="n">
        <v>0</v>
      </c>
      <c r="BF1434" s="111">
        <f>1434</f>
      </c>
      <c r="BH1434" s="111">
        <f>G1434*AO1434</f>
      </c>
      <c r="BI1434" s="111">
        <f>G1434*AP1434</f>
      </c>
      <c r="BJ1434" s="111">
        <f>G1434*H1434</f>
      </c>
      <c r="BK1434" s="111"/>
      <c r="BL1434" s="111" t="n">
        <v>767</v>
      </c>
      <c r="BW1434" s="111" t="n">
        <v>21</v>
      </c>
      <c r="BX1434" s="14" t="s">
        <v>2339</v>
      </c>
    </row>
    <row r="1435" customHeight="true" ht="13.5">
      <c r="A1435" s="159"/>
      <c r="C1435" s="160" t="s">
        <v>146</v>
      </c>
      <c r="D1435" s="161" t="s">
        <v>2279</v>
      </c>
      <c r="E1435" s="156"/>
      <c r="F1435" s="156"/>
      <c r="G1435" s="156"/>
      <c r="H1435" s="156"/>
      <c r="I1435" s="156"/>
      <c r="J1435" s="156"/>
      <c r="K1435" s="163"/>
    </row>
    <row r="1436">
      <c r="A1436" s="154"/>
      <c r="B1436" s="155"/>
      <c r="C1436" s="155"/>
      <c r="D1436" s="156" t="s">
        <v>140</v>
      </c>
      <c r="E1436" s="156" t="s">
        <v>2340</v>
      </c>
      <c r="F1436" s="155"/>
      <c r="G1436" s="157" t="n">
        <v>2</v>
      </c>
      <c r="H1436" s="155"/>
      <c r="I1436" s="155"/>
      <c r="J1436" s="155"/>
      <c r="K1436" s="146"/>
    </row>
    <row r="1437">
      <c r="A1437" s="9" t="s">
        <v>2341</v>
      </c>
      <c r="B1437" s="10" t="s">
        <v>84</v>
      </c>
      <c r="C1437" s="10" t="s">
        <v>2342</v>
      </c>
      <c r="D1437" s="14" t="s">
        <v>2343</v>
      </c>
      <c r="E1437" s="10"/>
      <c r="F1437" s="10" t="s">
        <v>2277</v>
      </c>
      <c r="G1437" s="111">
        <f>'Stavební rozpočet'!G1437</f>
      </c>
      <c r="H1437" s="111">
        <f>'Stavební rozpočet'!H1437</f>
      </c>
      <c r="I1437" s="111">
        <f>G1437*H1437</f>
      </c>
      <c r="J1437" s="153" t="s">
        <v>134</v>
      </c>
      <c r="K1437" s="146"/>
      <c r="Z1437" s="111">
        <f>IF(AQ1437="5",BJ1437,0)</f>
      </c>
      <c r="AB1437" s="111">
        <f>IF(AQ1437="1",BH1437,0)</f>
      </c>
      <c r="AC1437" s="111">
        <f>IF(AQ1437="1",BI1437,0)</f>
      </c>
      <c r="AD1437" s="111">
        <f>IF(AQ1437="7",BH1437,0)</f>
      </c>
      <c r="AE1437" s="111">
        <f>IF(AQ1437="7",BI1437,0)</f>
      </c>
      <c r="AF1437" s="111">
        <f>IF(AQ1437="2",BH1437,0)</f>
      </c>
      <c r="AG1437" s="111">
        <f>IF(AQ1437="2",BI1437,0)</f>
      </c>
      <c r="AH1437" s="111">
        <f>IF(AQ1437="0",BJ1437,0)</f>
      </c>
      <c r="AI1437" s="132" t="s">
        <v>84</v>
      </c>
      <c r="AJ1437" s="111">
        <f>IF(AN1437=0,I1437,0)</f>
      </c>
      <c r="AK1437" s="111">
        <f>IF(AN1437=12,I1437,0)</f>
      </c>
      <c r="AL1437" s="111">
        <f>IF(AN1437=21,I1437,0)</f>
      </c>
      <c r="AN1437" s="111" t="n">
        <v>21</v>
      </c>
      <c r="AO1437" s="111">
        <f>H1437*0.003024545</f>
      </c>
      <c r="AP1437" s="111">
        <f>H1437*(1-0.003024545)</f>
      </c>
      <c r="AQ1437" s="153" t="s">
        <v>173</v>
      </c>
      <c r="AV1437" s="111">
        <f>AW1437+AX1437</f>
      </c>
      <c r="AW1437" s="111">
        <f>G1437*AO1437</f>
      </c>
      <c r="AX1437" s="111">
        <f>G1437*AP1437</f>
      </c>
      <c r="AY1437" s="153" t="s">
        <v>2278</v>
      </c>
      <c r="AZ1437" s="153" t="s">
        <v>1999</v>
      </c>
      <c r="BA1437" s="132" t="s">
        <v>137</v>
      </c>
      <c r="BC1437" s="111">
        <f>AW1437+AX1437</f>
      </c>
      <c r="BD1437" s="111">
        <f>H1437/(100-BE1437)*100</f>
      </c>
      <c r="BE1437" s="111" t="n">
        <v>0</v>
      </c>
      <c r="BF1437" s="111">
        <f>1437</f>
      </c>
      <c r="BH1437" s="111">
        <f>G1437*AO1437</f>
      </c>
      <c r="BI1437" s="111">
        <f>G1437*AP1437</f>
      </c>
      <c r="BJ1437" s="111">
        <f>G1437*H1437</f>
      </c>
      <c r="BK1437" s="111"/>
      <c r="BL1437" s="111" t="n">
        <v>767</v>
      </c>
      <c r="BW1437" s="111" t="n">
        <v>21</v>
      </c>
      <c r="BX1437" s="14" t="s">
        <v>2343</v>
      </c>
    </row>
    <row r="1438" customHeight="true" ht="13.5">
      <c r="A1438" s="159"/>
      <c r="C1438" s="160" t="s">
        <v>146</v>
      </c>
      <c r="D1438" s="161" t="s">
        <v>2279</v>
      </c>
      <c r="E1438" s="156"/>
      <c r="F1438" s="156"/>
      <c r="G1438" s="156"/>
      <c r="H1438" s="156"/>
      <c r="I1438" s="156"/>
      <c r="J1438" s="156"/>
      <c r="K1438" s="163"/>
    </row>
    <row r="1439">
      <c r="A1439" s="154"/>
      <c r="B1439" s="155"/>
      <c r="C1439" s="155"/>
      <c r="D1439" s="156" t="s">
        <v>130</v>
      </c>
      <c r="E1439" s="156" t="s">
        <v>2344</v>
      </c>
      <c r="F1439" s="155"/>
      <c r="G1439" s="157" t="n">
        <v>1</v>
      </c>
      <c r="H1439" s="155"/>
      <c r="I1439" s="155"/>
      <c r="J1439" s="155"/>
      <c r="K1439" s="146"/>
    </row>
    <row r="1440">
      <c r="A1440" s="9" t="s">
        <v>2345</v>
      </c>
      <c r="B1440" s="10" t="s">
        <v>84</v>
      </c>
      <c r="C1440" s="10" t="s">
        <v>2346</v>
      </c>
      <c r="D1440" s="14" t="s">
        <v>2347</v>
      </c>
      <c r="E1440" s="10"/>
      <c r="F1440" s="10" t="s">
        <v>2277</v>
      </c>
      <c r="G1440" s="111">
        <f>'Stavební rozpočet'!G1440</f>
      </c>
      <c r="H1440" s="111">
        <f>'Stavební rozpočet'!H1440</f>
      </c>
      <c r="I1440" s="111">
        <f>G1440*H1440</f>
      </c>
      <c r="J1440" s="153" t="s">
        <v>134</v>
      </c>
      <c r="K1440" s="146"/>
      <c r="Z1440" s="111">
        <f>IF(AQ1440="5",BJ1440,0)</f>
      </c>
      <c r="AB1440" s="111">
        <f>IF(AQ1440="1",BH1440,0)</f>
      </c>
      <c r="AC1440" s="111">
        <f>IF(AQ1440="1",BI1440,0)</f>
      </c>
      <c r="AD1440" s="111">
        <f>IF(AQ1440="7",BH1440,0)</f>
      </c>
      <c r="AE1440" s="111">
        <f>IF(AQ1440="7",BI1440,0)</f>
      </c>
      <c r="AF1440" s="111">
        <f>IF(AQ1440="2",BH1440,0)</f>
      </c>
      <c r="AG1440" s="111">
        <f>IF(AQ1440="2",BI1440,0)</f>
      </c>
      <c r="AH1440" s="111">
        <f>IF(AQ1440="0",BJ1440,0)</f>
      </c>
      <c r="AI1440" s="132" t="s">
        <v>84</v>
      </c>
      <c r="AJ1440" s="111">
        <f>IF(AN1440=0,I1440,0)</f>
      </c>
      <c r="AK1440" s="111">
        <f>IF(AN1440=12,I1440,0)</f>
      </c>
      <c r="AL1440" s="111">
        <f>IF(AN1440=21,I1440,0)</f>
      </c>
      <c r="AN1440" s="111" t="n">
        <v>21</v>
      </c>
      <c r="AO1440" s="111">
        <f>H1440*0.003024423</f>
      </c>
      <c r="AP1440" s="111">
        <f>H1440*(1-0.003024423)</f>
      </c>
      <c r="AQ1440" s="153" t="s">
        <v>173</v>
      </c>
      <c r="AV1440" s="111">
        <f>AW1440+AX1440</f>
      </c>
      <c r="AW1440" s="111">
        <f>G1440*AO1440</f>
      </c>
      <c r="AX1440" s="111">
        <f>G1440*AP1440</f>
      </c>
      <c r="AY1440" s="153" t="s">
        <v>2278</v>
      </c>
      <c r="AZ1440" s="153" t="s">
        <v>1999</v>
      </c>
      <c r="BA1440" s="132" t="s">
        <v>137</v>
      </c>
      <c r="BC1440" s="111">
        <f>AW1440+AX1440</f>
      </c>
      <c r="BD1440" s="111">
        <f>H1440/(100-BE1440)*100</f>
      </c>
      <c r="BE1440" s="111" t="n">
        <v>0</v>
      </c>
      <c r="BF1440" s="111">
        <f>1440</f>
      </c>
      <c r="BH1440" s="111">
        <f>G1440*AO1440</f>
      </c>
      <c r="BI1440" s="111">
        <f>G1440*AP1440</f>
      </c>
      <c r="BJ1440" s="111">
        <f>G1440*H1440</f>
      </c>
      <c r="BK1440" s="111"/>
      <c r="BL1440" s="111" t="n">
        <v>767</v>
      </c>
      <c r="BW1440" s="111" t="n">
        <v>21</v>
      </c>
      <c r="BX1440" s="14" t="s">
        <v>2347</v>
      </c>
    </row>
    <row r="1441" customHeight="true" ht="13.5">
      <c r="A1441" s="159"/>
      <c r="C1441" s="160" t="s">
        <v>146</v>
      </c>
      <c r="D1441" s="161" t="s">
        <v>2279</v>
      </c>
      <c r="E1441" s="156"/>
      <c r="F1441" s="156"/>
      <c r="G1441" s="156"/>
      <c r="H1441" s="156"/>
      <c r="I1441" s="156"/>
      <c r="J1441" s="156"/>
      <c r="K1441" s="163"/>
    </row>
    <row r="1442">
      <c r="A1442" s="154"/>
      <c r="B1442" s="155"/>
      <c r="C1442" s="155"/>
      <c r="D1442" s="156" t="s">
        <v>130</v>
      </c>
      <c r="E1442" s="156" t="s">
        <v>2348</v>
      </c>
      <c r="F1442" s="155"/>
      <c r="G1442" s="157" t="n">
        <v>1</v>
      </c>
      <c r="H1442" s="155"/>
      <c r="I1442" s="155"/>
      <c r="J1442" s="155"/>
      <c r="K1442" s="146"/>
    </row>
    <row r="1443">
      <c r="A1443" s="9" t="s">
        <v>2349</v>
      </c>
      <c r="B1443" s="10" t="s">
        <v>84</v>
      </c>
      <c r="C1443" s="10" t="s">
        <v>2350</v>
      </c>
      <c r="D1443" s="14" t="s">
        <v>2351</v>
      </c>
      <c r="E1443" s="10"/>
      <c r="F1443" s="10" t="s">
        <v>2277</v>
      </c>
      <c r="G1443" s="111">
        <f>'Stavební rozpočet'!G1443</f>
      </c>
      <c r="H1443" s="111">
        <f>'Stavební rozpočet'!H1443</f>
      </c>
      <c r="I1443" s="111">
        <f>G1443*H1443</f>
      </c>
      <c r="J1443" s="153" t="s">
        <v>134</v>
      </c>
      <c r="K1443" s="146"/>
      <c r="Z1443" s="111">
        <f>IF(AQ1443="5",BJ1443,0)</f>
      </c>
      <c r="AB1443" s="111">
        <f>IF(AQ1443="1",BH1443,0)</f>
      </c>
      <c r="AC1443" s="111">
        <f>IF(AQ1443="1",BI1443,0)</f>
      </c>
      <c r="AD1443" s="111">
        <f>IF(AQ1443="7",BH1443,0)</f>
      </c>
      <c r="AE1443" s="111">
        <f>IF(AQ1443="7",BI1443,0)</f>
      </c>
      <c r="AF1443" s="111">
        <f>IF(AQ1443="2",BH1443,0)</f>
      </c>
      <c r="AG1443" s="111">
        <f>IF(AQ1443="2",BI1443,0)</f>
      </c>
      <c r="AH1443" s="111">
        <f>IF(AQ1443="0",BJ1443,0)</f>
      </c>
      <c r="AI1443" s="132" t="s">
        <v>84</v>
      </c>
      <c r="AJ1443" s="111">
        <f>IF(AN1443=0,I1443,0)</f>
      </c>
      <c r="AK1443" s="111">
        <f>IF(AN1443=12,I1443,0)</f>
      </c>
      <c r="AL1443" s="111">
        <f>IF(AN1443=21,I1443,0)</f>
      </c>
      <c r="AN1443" s="111" t="n">
        <v>21</v>
      </c>
      <c r="AO1443" s="111">
        <f>H1443*0.00302449</f>
      </c>
      <c r="AP1443" s="111">
        <f>H1443*(1-0.00302449)</f>
      </c>
      <c r="AQ1443" s="153" t="s">
        <v>173</v>
      </c>
      <c r="AV1443" s="111">
        <f>AW1443+AX1443</f>
      </c>
      <c r="AW1443" s="111">
        <f>G1443*AO1443</f>
      </c>
      <c r="AX1443" s="111">
        <f>G1443*AP1443</f>
      </c>
      <c r="AY1443" s="153" t="s">
        <v>2278</v>
      </c>
      <c r="AZ1443" s="153" t="s">
        <v>1999</v>
      </c>
      <c r="BA1443" s="132" t="s">
        <v>137</v>
      </c>
      <c r="BC1443" s="111">
        <f>AW1443+AX1443</f>
      </c>
      <c r="BD1443" s="111">
        <f>H1443/(100-BE1443)*100</f>
      </c>
      <c r="BE1443" s="111" t="n">
        <v>0</v>
      </c>
      <c r="BF1443" s="111">
        <f>1443</f>
      </c>
      <c r="BH1443" s="111">
        <f>G1443*AO1443</f>
      </c>
      <c r="BI1443" s="111">
        <f>G1443*AP1443</f>
      </c>
      <c r="BJ1443" s="111">
        <f>G1443*H1443</f>
      </c>
      <c r="BK1443" s="111"/>
      <c r="BL1443" s="111" t="n">
        <v>767</v>
      </c>
      <c r="BW1443" s="111" t="n">
        <v>21</v>
      </c>
      <c r="BX1443" s="14" t="s">
        <v>2351</v>
      </c>
    </row>
    <row r="1444" customHeight="true" ht="13.5">
      <c r="A1444" s="159"/>
      <c r="C1444" s="160" t="s">
        <v>146</v>
      </c>
      <c r="D1444" s="161" t="s">
        <v>2279</v>
      </c>
      <c r="E1444" s="156"/>
      <c r="F1444" s="156"/>
      <c r="G1444" s="156"/>
      <c r="H1444" s="156"/>
      <c r="I1444" s="156"/>
      <c r="J1444" s="156"/>
      <c r="K1444" s="163"/>
    </row>
    <row r="1445">
      <c r="A1445" s="154"/>
      <c r="B1445" s="155"/>
      <c r="C1445" s="155"/>
      <c r="D1445" s="156" t="s">
        <v>156</v>
      </c>
      <c r="E1445" s="156" t="s">
        <v>2352</v>
      </c>
      <c r="F1445" s="155"/>
      <c r="G1445" s="157" t="n">
        <v>5</v>
      </c>
      <c r="H1445" s="155"/>
      <c r="I1445" s="155"/>
      <c r="J1445" s="155"/>
      <c r="K1445" s="146"/>
    </row>
    <row r="1446">
      <c r="A1446" s="9" t="s">
        <v>2353</v>
      </c>
      <c r="B1446" s="10" t="s">
        <v>84</v>
      </c>
      <c r="C1446" s="10" t="s">
        <v>2354</v>
      </c>
      <c r="D1446" s="14" t="s">
        <v>2355</v>
      </c>
      <c r="E1446" s="10"/>
      <c r="F1446" s="10" t="s">
        <v>2277</v>
      </c>
      <c r="G1446" s="111">
        <f>'Stavební rozpočet'!G1446</f>
      </c>
      <c r="H1446" s="111">
        <f>'Stavební rozpočet'!H1446</f>
      </c>
      <c r="I1446" s="111">
        <f>G1446*H1446</f>
      </c>
      <c r="J1446" s="153" t="s">
        <v>134</v>
      </c>
      <c r="K1446" s="146"/>
      <c r="Z1446" s="111">
        <f>IF(AQ1446="5",BJ1446,0)</f>
      </c>
      <c r="AB1446" s="111">
        <f>IF(AQ1446="1",BH1446,0)</f>
      </c>
      <c r="AC1446" s="111">
        <f>IF(AQ1446="1",BI1446,0)</f>
      </c>
      <c r="AD1446" s="111">
        <f>IF(AQ1446="7",BH1446,0)</f>
      </c>
      <c r="AE1446" s="111">
        <f>IF(AQ1446="7",BI1446,0)</f>
      </c>
      <c r="AF1446" s="111">
        <f>IF(AQ1446="2",BH1446,0)</f>
      </c>
      <c r="AG1446" s="111">
        <f>IF(AQ1446="2",BI1446,0)</f>
      </c>
      <c r="AH1446" s="111">
        <f>IF(AQ1446="0",BJ1446,0)</f>
      </c>
      <c r="AI1446" s="132" t="s">
        <v>84</v>
      </c>
      <c r="AJ1446" s="111">
        <f>IF(AN1446=0,I1446,0)</f>
      </c>
      <c r="AK1446" s="111">
        <f>IF(AN1446=12,I1446,0)</f>
      </c>
      <c r="AL1446" s="111">
        <f>IF(AN1446=21,I1446,0)</f>
      </c>
      <c r="AN1446" s="111" t="n">
        <v>21</v>
      </c>
      <c r="AO1446" s="111">
        <f>H1446*0.003024615</f>
      </c>
      <c r="AP1446" s="111">
        <f>H1446*(1-0.003024615)</f>
      </c>
      <c r="AQ1446" s="153" t="s">
        <v>173</v>
      </c>
      <c r="AV1446" s="111">
        <f>AW1446+AX1446</f>
      </c>
      <c r="AW1446" s="111">
        <f>G1446*AO1446</f>
      </c>
      <c r="AX1446" s="111">
        <f>G1446*AP1446</f>
      </c>
      <c r="AY1446" s="153" t="s">
        <v>2278</v>
      </c>
      <c r="AZ1446" s="153" t="s">
        <v>1999</v>
      </c>
      <c r="BA1446" s="132" t="s">
        <v>137</v>
      </c>
      <c r="BC1446" s="111">
        <f>AW1446+AX1446</f>
      </c>
      <c r="BD1446" s="111">
        <f>H1446/(100-BE1446)*100</f>
      </c>
      <c r="BE1446" s="111" t="n">
        <v>0</v>
      </c>
      <c r="BF1446" s="111">
        <f>1446</f>
      </c>
      <c r="BH1446" s="111">
        <f>G1446*AO1446</f>
      </c>
      <c r="BI1446" s="111">
        <f>G1446*AP1446</f>
      </c>
      <c r="BJ1446" s="111">
        <f>G1446*H1446</f>
      </c>
      <c r="BK1446" s="111"/>
      <c r="BL1446" s="111" t="n">
        <v>767</v>
      </c>
      <c r="BW1446" s="111" t="n">
        <v>21</v>
      </c>
      <c r="BX1446" s="14" t="s">
        <v>2355</v>
      </c>
    </row>
    <row r="1447" customHeight="true" ht="13.5">
      <c r="A1447" s="159"/>
      <c r="C1447" s="160" t="s">
        <v>146</v>
      </c>
      <c r="D1447" s="161" t="s">
        <v>2279</v>
      </c>
      <c r="E1447" s="156"/>
      <c r="F1447" s="156"/>
      <c r="G1447" s="156"/>
      <c r="H1447" s="156"/>
      <c r="I1447" s="156"/>
      <c r="J1447" s="156"/>
      <c r="K1447" s="163"/>
    </row>
    <row r="1448">
      <c r="A1448" s="154"/>
      <c r="B1448" s="155"/>
      <c r="C1448" s="155"/>
      <c r="D1448" s="156" t="s">
        <v>149</v>
      </c>
      <c r="E1448" s="156" t="s">
        <v>2356</v>
      </c>
      <c r="F1448" s="155"/>
      <c r="G1448" s="157" t="n">
        <v>4</v>
      </c>
      <c r="H1448" s="155"/>
      <c r="I1448" s="155"/>
      <c r="J1448" s="155"/>
      <c r="K1448" s="146"/>
    </row>
    <row r="1449">
      <c r="A1449" s="9" t="s">
        <v>2357</v>
      </c>
      <c r="B1449" s="10" t="s">
        <v>84</v>
      </c>
      <c r="C1449" s="10" t="s">
        <v>2358</v>
      </c>
      <c r="D1449" s="14" t="s">
        <v>2359</v>
      </c>
      <c r="E1449" s="10"/>
      <c r="F1449" s="10" t="s">
        <v>2277</v>
      </c>
      <c r="G1449" s="111">
        <f>'Stavební rozpočet'!G1449</f>
      </c>
      <c r="H1449" s="111">
        <f>'Stavební rozpočet'!H1449</f>
      </c>
      <c r="I1449" s="111">
        <f>G1449*H1449</f>
      </c>
      <c r="J1449" s="153" t="s">
        <v>134</v>
      </c>
      <c r="K1449" s="146"/>
      <c r="Z1449" s="111">
        <f>IF(AQ1449="5",BJ1449,0)</f>
      </c>
      <c r="AB1449" s="111">
        <f>IF(AQ1449="1",BH1449,0)</f>
      </c>
      <c r="AC1449" s="111">
        <f>IF(AQ1449="1",BI1449,0)</f>
      </c>
      <c r="AD1449" s="111">
        <f>IF(AQ1449="7",BH1449,0)</f>
      </c>
      <c r="AE1449" s="111">
        <f>IF(AQ1449="7",BI1449,0)</f>
      </c>
      <c r="AF1449" s="111">
        <f>IF(AQ1449="2",BH1449,0)</f>
      </c>
      <c r="AG1449" s="111">
        <f>IF(AQ1449="2",BI1449,0)</f>
      </c>
      <c r="AH1449" s="111">
        <f>IF(AQ1449="0",BJ1449,0)</f>
      </c>
      <c r="AI1449" s="132" t="s">
        <v>84</v>
      </c>
      <c r="AJ1449" s="111">
        <f>IF(AN1449=0,I1449,0)</f>
      </c>
      <c r="AK1449" s="111">
        <f>IF(AN1449=12,I1449,0)</f>
      </c>
      <c r="AL1449" s="111">
        <f>IF(AN1449=21,I1449,0)</f>
      </c>
      <c r="AN1449" s="111" t="n">
        <v>21</v>
      </c>
      <c r="AO1449" s="111">
        <f>H1449*0.003024308</f>
      </c>
      <c r="AP1449" s="111">
        <f>H1449*(1-0.003024308)</f>
      </c>
      <c r="AQ1449" s="153" t="s">
        <v>173</v>
      </c>
      <c r="AV1449" s="111">
        <f>AW1449+AX1449</f>
      </c>
      <c r="AW1449" s="111">
        <f>G1449*AO1449</f>
      </c>
      <c r="AX1449" s="111">
        <f>G1449*AP1449</f>
      </c>
      <c r="AY1449" s="153" t="s">
        <v>2278</v>
      </c>
      <c r="AZ1449" s="153" t="s">
        <v>1999</v>
      </c>
      <c r="BA1449" s="132" t="s">
        <v>137</v>
      </c>
      <c r="BC1449" s="111">
        <f>AW1449+AX1449</f>
      </c>
      <c r="BD1449" s="111">
        <f>H1449/(100-BE1449)*100</f>
      </c>
      <c r="BE1449" s="111" t="n">
        <v>0</v>
      </c>
      <c r="BF1449" s="111">
        <f>1449</f>
      </c>
      <c r="BH1449" s="111">
        <f>G1449*AO1449</f>
      </c>
      <c r="BI1449" s="111">
        <f>G1449*AP1449</f>
      </c>
      <c r="BJ1449" s="111">
        <f>G1449*H1449</f>
      </c>
      <c r="BK1449" s="111"/>
      <c r="BL1449" s="111" t="n">
        <v>767</v>
      </c>
      <c r="BW1449" s="111" t="n">
        <v>21</v>
      </c>
      <c r="BX1449" s="14" t="s">
        <v>2359</v>
      </c>
    </row>
    <row r="1450" customHeight="true" ht="13.5">
      <c r="A1450" s="159"/>
      <c r="C1450" s="160" t="s">
        <v>146</v>
      </c>
      <c r="D1450" s="161" t="s">
        <v>2279</v>
      </c>
      <c r="E1450" s="156"/>
      <c r="F1450" s="156"/>
      <c r="G1450" s="156"/>
      <c r="H1450" s="156"/>
      <c r="I1450" s="156"/>
      <c r="J1450" s="156"/>
      <c r="K1450" s="163"/>
    </row>
    <row r="1451">
      <c r="A1451" s="154"/>
      <c r="B1451" s="155"/>
      <c r="C1451" s="155"/>
      <c r="D1451" s="156" t="s">
        <v>140</v>
      </c>
      <c r="E1451" s="156" t="s">
        <v>2360</v>
      </c>
      <c r="F1451" s="155"/>
      <c r="G1451" s="157" t="n">
        <v>2</v>
      </c>
      <c r="H1451" s="155"/>
      <c r="I1451" s="155"/>
      <c r="J1451" s="155"/>
      <c r="K1451" s="146"/>
    </row>
    <row r="1452">
      <c r="A1452" s="9" t="s">
        <v>2361</v>
      </c>
      <c r="B1452" s="10" t="s">
        <v>84</v>
      </c>
      <c r="C1452" s="10" t="s">
        <v>2362</v>
      </c>
      <c r="D1452" s="14" t="s">
        <v>2363</v>
      </c>
      <c r="E1452" s="10"/>
      <c r="F1452" s="10" t="s">
        <v>2277</v>
      </c>
      <c r="G1452" s="111">
        <f>'Stavební rozpočet'!G1452</f>
      </c>
      <c r="H1452" s="111">
        <f>'Stavební rozpočet'!H1452</f>
      </c>
      <c r="I1452" s="111">
        <f>G1452*H1452</f>
      </c>
      <c r="J1452" s="153" t="s">
        <v>134</v>
      </c>
      <c r="K1452" s="146"/>
      <c r="Z1452" s="111">
        <f>IF(AQ1452="5",BJ1452,0)</f>
      </c>
      <c r="AB1452" s="111">
        <f>IF(AQ1452="1",BH1452,0)</f>
      </c>
      <c r="AC1452" s="111">
        <f>IF(AQ1452="1",BI1452,0)</f>
      </c>
      <c r="AD1452" s="111">
        <f>IF(AQ1452="7",BH1452,0)</f>
      </c>
      <c r="AE1452" s="111">
        <f>IF(AQ1452="7",BI1452,0)</f>
      </c>
      <c r="AF1452" s="111">
        <f>IF(AQ1452="2",BH1452,0)</f>
      </c>
      <c r="AG1452" s="111">
        <f>IF(AQ1452="2",BI1452,0)</f>
      </c>
      <c r="AH1452" s="111">
        <f>IF(AQ1452="0",BJ1452,0)</f>
      </c>
      <c r="AI1452" s="132" t="s">
        <v>84</v>
      </c>
      <c r="AJ1452" s="111">
        <f>IF(AN1452=0,I1452,0)</f>
      </c>
      <c r="AK1452" s="111">
        <f>IF(AN1452=12,I1452,0)</f>
      </c>
      <c r="AL1452" s="111">
        <f>IF(AN1452=21,I1452,0)</f>
      </c>
      <c r="AN1452" s="111" t="n">
        <v>21</v>
      </c>
      <c r="AO1452" s="111">
        <f>H1452*0.003024286</f>
      </c>
      <c r="AP1452" s="111">
        <f>H1452*(1-0.003024286)</f>
      </c>
      <c r="AQ1452" s="153" t="s">
        <v>173</v>
      </c>
      <c r="AV1452" s="111">
        <f>AW1452+AX1452</f>
      </c>
      <c r="AW1452" s="111">
        <f>G1452*AO1452</f>
      </c>
      <c r="AX1452" s="111">
        <f>G1452*AP1452</f>
      </c>
      <c r="AY1452" s="153" t="s">
        <v>2278</v>
      </c>
      <c r="AZ1452" s="153" t="s">
        <v>1999</v>
      </c>
      <c r="BA1452" s="132" t="s">
        <v>137</v>
      </c>
      <c r="BC1452" s="111">
        <f>AW1452+AX1452</f>
      </c>
      <c r="BD1452" s="111">
        <f>H1452/(100-BE1452)*100</f>
      </c>
      <c r="BE1452" s="111" t="n">
        <v>0</v>
      </c>
      <c r="BF1452" s="111">
        <f>1452</f>
      </c>
      <c r="BH1452" s="111">
        <f>G1452*AO1452</f>
      </c>
      <c r="BI1452" s="111">
        <f>G1452*AP1452</f>
      </c>
      <c r="BJ1452" s="111">
        <f>G1452*H1452</f>
      </c>
      <c r="BK1452" s="111"/>
      <c r="BL1452" s="111" t="n">
        <v>767</v>
      </c>
      <c r="BW1452" s="111" t="n">
        <v>21</v>
      </c>
      <c r="BX1452" s="14" t="s">
        <v>2363</v>
      </c>
    </row>
    <row r="1453" customHeight="true" ht="13.5">
      <c r="A1453" s="159"/>
      <c r="C1453" s="160" t="s">
        <v>146</v>
      </c>
      <c r="D1453" s="161" t="s">
        <v>2279</v>
      </c>
      <c r="E1453" s="156"/>
      <c r="F1453" s="156"/>
      <c r="G1453" s="156"/>
      <c r="H1453" s="156"/>
      <c r="I1453" s="156"/>
      <c r="J1453" s="156"/>
      <c r="K1453" s="163"/>
    </row>
    <row r="1454">
      <c r="A1454" s="154"/>
      <c r="B1454" s="155"/>
      <c r="C1454" s="155"/>
      <c r="D1454" s="156" t="s">
        <v>140</v>
      </c>
      <c r="E1454" s="156" t="s">
        <v>2364</v>
      </c>
      <c r="F1454" s="155"/>
      <c r="G1454" s="157" t="n">
        <v>2</v>
      </c>
      <c r="H1454" s="155"/>
      <c r="I1454" s="155"/>
      <c r="J1454" s="155"/>
      <c r="K1454" s="146"/>
    </row>
    <row r="1455">
      <c r="A1455" s="9" t="s">
        <v>2365</v>
      </c>
      <c r="B1455" s="10" t="s">
        <v>84</v>
      </c>
      <c r="C1455" s="10" t="s">
        <v>2366</v>
      </c>
      <c r="D1455" s="14" t="s">
        <v>2367</v>
      </c>
      <c r="E1455" s="10"/>
      <c r="F1455" s="10" t="s">
        <v>1421</v>
      </c>
      <c r="G1455" s="111">
        <f>'Stavební rozpočet'!G1455</f>
      </c>
      <c r="H1455" s="111">
        <f>'Stavební rozpočet'!H1455</f>
      </c>
      <c r="I1455" s="111">
        <f>G1455*H1455</f>
      </c>
      <c r="J1455" s="153" t="s">
        <v>134</v>
      </c>
      <c r="K1455" s="146"/>
      <c r="Z1455" s="111">
        <f>IF(AQ1455="5",BJ1455,0)</f>
      </c>
      <c r="AB1455" s="111">
        <f>IF(AQ1455="1",BH1455,0)</f>
      </c>
      <c r="AC1455" s="111">
        <f>IF(AQ1455="1",BI1455,0)</f>
      </c>
      <c r="AD1455" s="111">
        <f>IF(AQ1455="7",BH1455,0)</f>
      </c>
      <c r="AE1455" s="111">
        <f>IF(AQ1455="7",BI1455,0)</f>
      </c>
      <c r="AF1455" s="111">
        <f>IF(AQ1455="2",BH1455,0)</f>
      </c>
      <c r="AG1455" s="111">
        <f>IF(AQ1455="2",BI1455,0)</f>
      </c>
      <c r="AH1455" s="111">
        <f>IF(AQ1455="0",BJ1455,0)</f>
      </c>
      <c r="AI1455" s="132" t="s">
        <v>84</v>
      </c>
      <c r="AJ1455" s="111">
        <f>IF(AN1455=0,I1455,0)</f>
      </c>
      <c r="AK1455" s="111">
        <f>IF(AN1455=12,I1455,0)</f>
      </c>
      <c r="AL1455" s="111">
        <f>IF(AN1455=21,I1455,0)</f>
      </c>
      <c r="AN1455" s="111" t="n">
        <v>21</v>
      </c>
      <c r="AO1455" s="111">
        <f>H1455*0.003297946</f>
      </c>
      <c r="AP1455" s="111">
        <f>H1455*(1-0.003297946)</f>
      </c>
      <c r="AQ1455" s="153" t="s">
        <v>173</v>
      </c>
      <c r="AV1455" s="111">
        <f>AW1455+AX1455</f>
      </c>
      <c r="AW1455" s="111">
        <f>G1455*AO1455</f>
      </c>
      <c r="AX1455" s="111">
        <f>G1455*AP1455</f>
      </c>
      <c r="AY1455" s="153" t="s">
        <v>2278</v>
      </c>
      <c r="AZ1455" s="153" t="s">
        <v>1999</v>
      </c>
      <c r="BA1455" s="132" t="s">
        <v>137</v>
      </c>
      <c r="BC1455" s="111">
        <f>AW1455+AX1455</f>
      </c>
      <c r="BD1455" s="111">
        <f>H1455/(100-BE1455)*100</f>
      </c>
      <c r="BE1455" s="111" t="n">
        <v>0</v>
      </c>
      <c r="BF1455" s="111">
        <f>1455</f>
      </c>
      <c r="BH1455" s="111">
        <f>G1455*AO1455</f>
      </c>
      <c r="BI1455" s="111">
        <f>G1455*AP1455</f>
      </c>
      <c r="BJ1455" s="111">
        <f>G1455*H1455</f>
      </c>
      <c r="BK1455" s="111"/>
      <c r="BL1455" s="111" t="n">
        <v>767</v>
      </c>
      <c r="BW1455" s="111" t="n">
        <v>21</v>
      </c>
      <c r="BX1455" s="14" t="s">
        <v>2367</v>
      </c>
    </row>
    <row r="1456" customHeight="true" ht="13.5">
      <c r="A1456" s="159"/>
      <c r="C1456" s="160" t="s">
        <v>146</v>
      </c>
      <c r="D1456" s="161" t="s">
        <v>2368</v>
      </c>
      <c r="E1456" s="156"/>
      <c r="F1456" s="156"/>
      <c r="G1456" s="156"/>
      <c r="H1456" s="156"/>
      <c r="I1456" s="156"/>
      <c r="J1456" s="156"/>
      <c r="K1456" s="163"/>
    </row>
    <row r="1457">
      <c r="A1457" s="154"/>
      <c r="B1457" s="155"/>
      <c r="C1457" s="155"/>
      <c r="D1457" s="156" t="s">
        <v>176</v>
      </c>
      <c r="E1457" s="156" t="s">
        <v>2369</v>
      </c>
      <c r="F1457" s="155"/>
      <c r="G1457" s="157" t="n">
        <v>8</v>
      </c>
      <c r="H1457" s="155"/>
      <c r="I1457" s="155"/>
      <c r="J1457" s="155"/>
      <c r="K1457" s="146"/>
    </row>
    <row r="1458">
      <c r="A1458" s="9" t="s">
        <v>2370</v>
      </c>
      <c r="B1458" s="10" t="s">
        <v>84</v>
      </c>
      <c r="C1458" s="10" t="s">
        <v>2371</v>
      </c>
      <c r="D1458" s="14" t="s">
        <v>2372</v>
      </c>
      <c r="E1458" s="10"/>
      <c r="F1458" s="10" t="s">
        <v>1421</v>
      </c>
      <c r="G1458" s="111">
        <f>'Stavební rozpočet'!G1458</f>
      </c>
      <c r="H1458" s="111">
        <f>'Stavební rozpočet'!H1458</f>
      </c>
      <c r="I1458" s="111">
        <f>G1458*H1458</f>
      </c>
      <c r="J1458" s="153" t="s">
        <v>134</v>
      </c>
      <c r="K1458" s="146"/>
      <c r="Z1458" s="111">
        <f>IF(AQ1458="5",BJ1458,0)</f>
      </c>
      <c r="AB1458" s="111">
        <f>IF(AQ1458="1",BH1458,0)</f>
      </c>
      <c r="AC1458" s="111">
        <f>IF(AQ1458="1",BI1458,0)</f>
      </c>
      <c r="AD1458" s="111">
        <f>IF(AQ1458="7",BH1458,0)</f>
      </c>
      <c r="AE1458" s="111">
        <f>IF(AQ1458="7",BI1458,0)</f>
      </c>
      <c r="AF1458" s="111">
        <f>IF(AQ1458="2",BH1458,0)</f>
      </c>
      <c r="AG1458" s="111">
        <f>IF(AQ1458="2",BI1458,0)</f>
      </c>
      <c r="AH1458" s="111">
        <f>IF(AQ1458="0",BJ1458,0)</f>
      </c>
      <c r="AI1458" s="132" t="s">
        <v>84</v>
      </c>
      <c r="AJ1458" s="111">
        <f>IF(AN1458=0,I1458,0)</f>
      </c>
      <c r="AK1458" s="111">
        <f>IF(AN1458=12,I1458,0)</f>
      </c>
      <c r="AL1458" s="111">
        <f>IF(AN1458=21,I1458,0)</f>
      </c>
      <c r="AN1458" s="111" t="n">
        <v>21</v>
      </c>
      <c r="AO1458" s="111">
        <f>H1458*1</f>
      </c>
      <c r="AP1458" s="111">
        <f>H1458*(1-1)</f>
      </c>
      <c r="AQ1458" s="153" t="s">
        <v>173</v>
      </c>
      <c r="AV1458" s="111">
        <f>AW1458+AX1458</f>
      </c>
      <c r="AW1458" s="111">
        <f>G1458*AO1458</f>
      </c>
      <c r="AX1458" s="111">
        <f>G1458*AP1458</f>
      </c>
      <c r="AY1458" s="153" t="s">
        <v>2278</v>
      </c>
      <c r="AZ1458" s="153" t="s">
        <v>1999</v>
      </c>
      <c r="BA1458" s="132" t="s">
        <v>137</v>
      </c>
      <c r="BC1458" s="111">
        <f>AW1458+AX1458</f>
      </c>
      <c r="BD1458" s="111">
        <f>H1458/(100-BE1458)*100</f>
      </c>
      <c r="BE1458" s="111" t="n">
        <v>0</v>
      </c>
      <c r="BF1458" s="111">
        <f>1458</f>
      </c>
      <c r="BH1458" s="111">
        <f>G1458*AO1458</f>
      </c>
      <c r="BI1458" s="111">
        <f>G1458*AP1458</f>
      </c>
      <c r="BJ1458" s="111">
        <f>G1458*H1458</f>
      </c>
      <c r="BK1458" s="111"/>
      <c r="BL1458" s="111" t="n">
        <v>767</v>
      </c>
      <c r="BW1458" s="111" t="n">
        <v>21</v>
      </c>
      <c r="BX1458" s="14" t="s">
        <v>2372</v>
      </c>
    </row>
    <row r="1459">
      <c r="A1459" s="154"/>
      <c r="B1459" s="155"/>
      <c r="C1459" s="155"/>
      <c r="D1459" s="156" t="s">
        <v>176</v>
      </c>
      <c r="E1459" s="156" t="s">
        <v>2373</v>
      </c>
      <c r="F1459" s="155"/>
      <c r="G1459" s="157" t="n">
        <v>8</v>
      </c>
      <c r="H1459" s="155"/>
      <c r="I1459" s="155"/>
      <c r="J1459" s="155"/>
      <c r="K1459" s="146"/>
    </row>
    <row r="1460">
      <c r="A1460" s="154"/>
      <c r="B1460" s="155"/>
      <c r="C1460" s="155"/>
      <c r="D1460" s="156" t="s">
        <v>4</v>
      </c>
      <c r="E1460" s="156" t="s">
        <v>2374</v>
      </c>
      <c r="F1460" s="155"/>
      <c r="G1460" s="157" t="n">
        <v>0</v>
      </c>
      <c r="H1460" s="155"/>
      <c r="I1460" s="155"/>
      <c r="J1460" s="155"/>
      <c r="K1460" s="146"/>
    </row>
    <row r="1461">
      <c r="A1461" s="154"/>
      <c r="B1461" s="155"/>
      <c r="C1461" s="155"/>
      <c r="D1461" s="156" t="s">
        <v>4</v>
      </c>
      <c r="E1461" s="156" t="s">
        <v>2375</v>
      </c>
      <c r="F1461" s="155"/>
      <c r="G1461" s="157" t="n">
        <v>0</v>
      </c>
      <c r="H1461" s="155"/>
      <c r="I1461" s="155"/>
      <c r="J1461" s="155"/>
      <c r="K1461" s="146"/>
    </row>
    <row r="1462">
      <c r="A1462" s="9" t="s">
        <v>2376</v>
      </c>
      <c r="B1462" s="10" t="s">
        <v>84</v>
      </c>
      <c r="C1462" s="10" t="s">
        <v>2377</v>
      </c>
      <c r="D1462" s="14" t="s">
        <v>2378</v>
      </c>
      <c r="E1462" s="10"/>
      <c r="F1462" s="10" t="s">
        <v>133</v>
      </c>
      <c r="G1462" s="111">
        <f>'Stavební rozpočet'!G1462</f>
      </c>
      <c r="H1462" s="111">
        <f>'Stavební rozpočet'!H1462</f>
      </c>
      <c r="I1462" s="111">
        <f>G1462*H1462</f>
      </c>
      <c r="J1462" s="153" t="s">
        <v>134</v>
      </c>
      <c r="K1462" s="146"/>
      <c r="Z1462" s="111">
        <f>IF(AQ1462="5",BJ1462,0)</f>
      </c>
      <c r="AB1462" s="111">
        <f>IF(AQ1462="1",BH1462,0)</f>
      </c>
      <c r="AC1462" s="111">
        <f>IF(AQ1462="1",BI1462,0)</f>
      </c>
      <c r="AD1462" s="111">
        <f>IF(AQ1462="7",BH1462,0)</f>
      </c>
      <c r="AE1462" s="111">
        <f>IF(AQ1462="7",BI1462,0)</f>
      </c>
      <c r="AF1462" s="111">
        <f>IF(AQ1462="2",BH1462,0)</f>
      </c>
      <c r="AG1462" s="111">
        <f>IF(AQ1462="2",BI1462,0)</f>
      </c>
      <c r="AH1462" s="111">
        <f>IF(AQ1462="0",BJ1462,0)</f>
      </c>
      <c r="AI1462" s="132" t="s">
        <v>84</v>
      </c>
      <c r="AJ1462" s="111">
        <f>IF(AN1462=0,I1462,0)</f>
      </c>
      <c r="AK1462" s="111">
        <f>IF(AN1462=12,I1462,0)</f>
      </c>
      <c r="AL1462" s="111">
        <f>IF(AN1462=21,I1462,0)</f>
      </c>
      <c r="AN1462" s="111" t="n">
        <v>21</v>
      </c>
      <c r="AO1462" s="111">
        <f>H1462*0.737908711</f>
      </c>
      <c r="AP1462" s="111">
        <f>H1462*(1-0.737908711)</f>
      </c>
      <c r="AQ1462" s="153" t="s">
        <v>173</v>
      </c>
      <c r="AV1462" s="111">
        <f>AW1462+AX1462</f>
      </c>
      <c r="AW1462" s="111">
        <f>G1462*AO1462</f>
      </c>
      <c r="AX1462" s="111">
        <f>G1462*AP1462</f>
      </c>
      <c r="AY1462" s="153" t="s">
        <v>2278</v>
      </c>
      <c r="AZ1462" s="153" t="s">
        <v>1999</v>
      </c>
      <c r="BA1462" s="132" t="s">
        <v>137</v>
      </c>
      <c r="BC1462" s="111">
        <f>AW1462+AX1462</f>
      </c>
      <c r="BD1462" s="111">
        <f>H1462/(100-BE1462)*100</f>
      </c>
      <c r="BE1462" s="111" t="n">
        <v>0</v>
      </c>
      <c r="BF1462" s="111">
        <f>1462</f>
      </c>
      <c r="BH1462" s="111">
        <f>G1462*AO1462</f>
      </c>
      <c r="BI1462" s="111">
        <f>G1462*AP1462</f>
      </c>
      <c r="BJ1462" s="111">
        <f>G1462*H1462</f>
      </c>
      <c r="BK1462" s="111"/>
      <c r="BL1462" s="111" t="n">
        <v>767</v>
      </c>
      <c r="BW1462" s="111" t="n">
        <v>21</v>
      </c>
      <c r="BX1462" s="14" t="s">
        <v>2378</v>
      </c>
    </row>
    <row r="1463" customHeight="true" ht="13.5">
      <c r="A1463" s="159"/>
      <c r="C1463" s="160" t="s">
        <v>146</v>
      </c>
      <c r="D1463" s="161" t="s">
        <v>2279</v>
      </c>
      <c r="E1463" s="156"/>
      <c r="F1463" s="156"/>
      <c r="G1463" s="156"/>
      <c r="H1463" s="156"/>
      <c r="I1463" s="156"/>
      <c r="J1463" s="156"/>
      <c r="K1463" s="163"/>
    </row>
    <row r="1464">
      <c r="A1464" s="154"/>
      <c r="B1464" s="155"/>
      <c r="C1464" s="155"/>
      <c r="D1464" s="156" t="s">
        <v>138</v>
      </c>
      <c r="E1464" s="156" t="s">
        <v>2379</v>
      </c>
      <c r="F1464" s="155"/>
      <c r="G1464" s="157" t="n">
        <v>3</v>
      </c>
      <c r="H1464" s="155"/>
      <c r="I1464" s="155"/>
      <c r="J1464" s="155"/>
      <c r="K1464" s="146"/>
    </row>
    <row r="1465">
      <c r="A1465" s="9" t="s">
        <v>2380</v>
      </c>
      <c r="B1465" s="10" t="s">
        <v>84</v>
      </c>
      <c r="C1465" s="10" t="s">
        <v>2381</v>
      </c>
      <c r="D1465" s="14" t="s">
        <v>2382</v>
      </c>
      <c r="E1465" s="10"/>
      <c r="F1465" s="10" t="s">
        <v>2277</v>
      </c>
      <c r="G1465" s="111">
        <f>'Stavební rozpočet'!G1465</f>
      </c>
      <c r="H1465" s="111">
        <f>'Stavební rozpočet'!H1465</f>
      </c>
      <c r="I1465" s="111">
        <f>G1465*H1465</f>
      </c>
      <c r="J1465" s="153" t="s">
        <v>134</v>
      </c>
      <c r="K1465" s="146"/>
      <c r="Z1465" s="111">
        <f>IF(AQ1465="5",BJ1465,0)</f>
      </c>
      <c r="AB1465" s="111">
        <f>IF(AQ1465="1",BH1465,0)</f>
      </c>
      <c r="AC1465" s="111">
        <f>IF(AQ1465="1",BI1465,0)</f>
      </c>
      <c r="AD1465" s="111">
        <f>IF(AQ1465="7",BH1465,0)</f>
      </c>
      <c r="AE1465" s="111">
        <f>IF(AQ1465="7",BI1465,0)</f>
      </c>
      <c r="AF1465" s="111">
        <f>IF(AQ1465="2",BH1465,0)</f>
      </c>
      <c r="AG1465" s="111">
        <f>IF(AQ1465="2",BI1465,0)</f>
      </c>
      <c r="AH1465" s="111">
        <f>IF(AQ1465="0",BJ1465,0)</f>
      </c>
      <c r="AI1465" s="132" t="s">
        <v>84</v>
      </c>
      <c r="AJ1465" s="111">
        <f>IF(AN1465=0,I1465,0)</f>
      </c>
      <c r="AK1465" s="111">
        <f>IF(AN1465=12,I1465,0)</f>
      </c>
      <c r="AL1465" s="111">
        <f>IF(AN1465=21,I1465,0)</f>
      </c>
      <c r="AN1465" s="111" t="n">
        <v>21</v>
      </c>
      <c r="AO1465" s="111">
        <f>H1465*0.033866559</f>
      </c>
      <c r="AP1465" s="111">
        <f>H1465*(1-0.033866559)</f>
      </c>
      <c r="AQ1465" s="153" t="s">
        <v>173</v>
      </c>
      <c r="AV1465" s="111">
        <f>AW1465+AX1465</f>
      </c>
      <c r="AW1465" s="111">
        <f>G1465*AO1465</f>
      </c>
      <c r="AX1465" s="111">
        <f>G1465*AP1465</f>
      </c>
      <c r="AY1465" s="153" t="s">
        <v>2278</v>
      </c>
      <c r="AZ1465" s="153" t="s">
        <v>1999</v>
      </c>
      <c r="BA1465" s="132" t="s">
        <v>137</v>
      </c>
      <c r="BC1465" s="111">
        <f>AW1465+AX1465</f>
      </c>
      <c r="BD1465" s="111">
        <f>H1465/(100-BE1465)*100</f>
      </c>
      <c r="BE1465" s="111" t="n">
        <v>0</v>
      </c>
      <c r="BF1465" s="111">
        <f>1465</f>
      </c>
      <c r="BH1465" s="111">
        <f>G1465*AO1465</f>
      </c>
      <c r="BI1465" s="111">
        <f>G1465*AP1465</f>
      </c>
      <c r="BJ1465" s="111">
        <f>G1465*H1465</f>
      </c>
      <c r="BK1465" s="111"/>
      <c r="BL1465" s="111" t="n">
        <v>767</v>
      </c>
      <c r="BW1465" s="111" t="n">
        <v>21</v>
      </c>
      <c r="BX1465" s="14" t="s">
        <v>2382</v>
      </c>
    </row>
    <row r="1466">
      <c r="A1466" s="154"/>
      <c r="B1466" s="155"/>
      <c r="C1466" s="155"/>
      <c r="D1466" s="156" t="s">
        <v>130</v>
      </c>
      <c r="E1466" s="156" t="s">
        <v>1964</v>
      </c>
      <c r="F1466" s="155"/>
      <c r="G1466" s="157" t="n">
        <v>1</v>
      </c>
      <c r="H1466" s="155"/>
      <c r="I1466" s="155"/>
      <c r="J1466" s="155"/>
      <c r="K1466" s="146"/>
    </row>
    <row r="1467">
      <c r="A1467" s="9" t="s">
        <v>2383</v>
      </c>
      <c r="B1467" s="10" t="s">
        <v>84</v>
      </c>
      <c r="C1467" s="10" t="s">
        <v>2384</v>
      </c>
      <c r="D1467" s="14" t="s">
        <v>2385</v>
      </c>
      <c r="E1467" s="10"/>
      <c r="F1467" s="10" t="s">
        <v>133</v>
      </c>
      <c r="G1467" s="111">
        <f>'Stavební rozpočet'!G1467</f>
      </c>
      <c r="H1467" s="111">
        <f>'Stavební rozpočet'!H1467</f>
      </c>
      <c r="I1467" s="111">
        <f>G1467*H1467</f>
      </c>
      <c r="J1467" s="153" t="s">
        <v>134</v>
      </c>
      <c r="K1467" s="146"/>
      <c r="Z1467" s="111">
        <f>IF(AQ1467="5",BJ1467,0)</f>
      </c>
      <c r="AB1467" s="111">
        <f>IF(AQ1467="1",BH1467,0)</f>
      </c>
      <c r="AC1467" s="111">
        <f>IF(AQ1467="1",BI1467,0)</f>
      </c>
      <c r="AD1467" s="111">
        <f>IF(AQ1467="7",BH1467,0)</f>
      </c>
      <c r="AE1467" s="111">
        <f>IF(AQ1467="7",BI1467,0)</f>
      </c>
      <c r="AF1467" s="111">
        <f>IF(AQ1467="2",BH1467,0)</f>
      </c>
      <c r="AG1467" s="111">
        <f>IF(AQ1467="2",BI1467,0)</f>
      </c>
      <c r="AH1467" s="111">
        <f>IF(AQ1467="0",BJ1467,0)</f>
      </c>
      <c r="AI1467" s="132" t="s">
        <v>84</v>
      </c>
      <c r="AJ1467" s="111">
        <f>IF(AN1467=0,I1467,0)</f>
      </c>
      <c r="AK1467" s="111">
        <f>IF(AN1467=12,I1467,0)</f>
      </c>
      <c r="AL1467" s="111">
        <f>IF(AN1467=21,I1467,0)</f>
      </c>
      <c r="AN1467" s="111" t="n">
        <v>21</v>
      </c>
      <c r="AO1467" s="111">
        <f>H1467*1</f>
      </c>
      <c r="AP1467" s="111">
        <f>H1467*(1-1)</f>
      </c>
      <c r="AQ1467" s="153" t="s">
        <v>173</v>
      </c>
      <c r="AV1467" s="111">
        <f>AW1467+AX1467</f>
      </c>
      <c r="AW1467" s="111">
        <f>G1467*AO1467</f>
      </c>
      <c r="AX1467" s="111">
        <f>G1467*AP1467</f>
      </c>
      <c r="AY1467" s="153" t="s">
        <v>2278</v>
      </c>
      <c r="AZ1467" s="153" t="s">
        <v>1999</v>
      </c>
      <c r="BA1467" s="132" t="s">
        <v>137</v>
      </c>
      <c r="BC1467" s="111">
        <f>AW1467+AX1467</f>
      </c>
      <c r="BD1467" s="111">
        <f>H1467/(100-BE1467)*100</f>
      </c>
      <c r="BE1467" s="111" t="n">
        <v>0</v>
      </c>
      <c r="BF1467" s="111">
        <f>1467</f>
      </c>
      <c r="BH1467" s="111">
        <f>G1467*AO1467</f>
      </c>
      <c r="BI1467" s="111">
        <f>G1467*AP1467</f>
      </c>
      <c r="BJ1467" s="111">
        <f>G1467*H1467</f>
      </c>
      <c r="BK1467" s="111"/>
      <c r="BL1467" s="111" t="n">
        <v>767</v>
      </c>
      <c r="BW1467" s="111" t="n">
        <v>21</v>
      </c>
      <c r="BX1467" s="14" t="s">
        <v>2385</v>
      </c>
    </row>
    <row r="1468">
      <c r="A1468" s="154"/>
      <c r="B1468" s="155"/>
      <c r="C1468" s="155"/>
      <c r="D1468" s="156" t="s">
        <v>130</v>
      </c>
      <c r="E1468" s="156" t="s">
        <v>2386</v>
      </c>
      <c r="F1468" s="155"/>
      <c r="G1468" s="157" t="n">
        <v>1</v>
      </c>
      <c r="H1468" s="155"/>
      <c r="I1468" s="155"/>
      <c r="J1468" s="155"/>
      <c r="K1468" s="146"/>
    </row>
    <row r="1469">
      <c r="A1469" s="9" t="s">
        <v>2387</v>
      </c>
      <c r="B1469" s="10" t="s">
        <v>84</v>
      </c>
      <c r="C1469" s="10" t="s">
        <v>2388</v>
      </c>
      <c r="D1469" s="14" t="s">
        <v>2389</v>
      </c>
      <c r="E1469" s="10"/>
      <c r="F1469" s="10" t="s">
        <v>145</v>
      </c>
      <c r="G1469" s="111">
        <f>'Stavební rozpočet'!G1469</f>
      </c>
      <c r="H1469" s="111">
        <f>'Stavební rozpočet'!H1469</f>
      </c>
      <c r="I1469" s="111">
        <f>G1469*H1469</f>
      </c>
      <c r="J1469" s="153" t="s">
        <v>134</v>
      </c>
      <c r="K1469" s="146"/>
      <c r="Z1469" s="111">
        <f>IF(AQ1469="5",BJ1469,0)</f>
      </c>
      <c r="AB1469" s="111">
        <f>IF(AQ1469="1",BH1469,0)</f>
      </c>
      <c r="AC1469" s="111">
        <f>IF(AQ1469="1",BI1469,0)</f>
      </c>
      <c r="AD1469" s="111">
        <f>IF(AQ1469="7",BH1469,0)</f>
      </c>
      <c r="AE1469" s="111">
        <f>IF(AQ1469="7",BI1469,0)</f>
      </c>
      <c r="AF1469" s="111">
        <f>IF(AQ1469="2",BH1469,0)</f>
      </c>
      <c r="AG1469" s="111">
        <f>IF(AQ1469="2",BI1469,0)</f>
      </c>
      <c r="AH1469" s="111">
        <f>IF(AQ1469="0",BJ1469,0)</f>
      </c>
      <c r="AI1469" s="132" t="s">
        <v>84</v>
      </c>
      <c r="AJ1469" s="111">
        <f>IF(AN1469=0,I1469,0)</f>
      </c>
      <c r="AK1469" s="111">
        <f>IF(AN1469=12,I1469,0)</f>
      </c>
      <c r="AL1469" s="111">
        <f>IF(AN1469=21,I1469,0)</f>
      </c>
      <c r="AN1469" s="111" t="n">
        <v>21</v>
      </c>
      <c r="AO1469" s="111">
        <f>H1469*0.091253846</f>
      </c>
      <c r="AP1469" s="111">
        <f>H1469*(1-0.091253846)</f>
      </c>
      <c r="AQ1469" s="153" t="s">
        <v>173</v>
      </c>
      <c r="AV1469" s="111">
        <f>AW1469+AX1469</f>
      </c>
      <c r="AW1469" s="111">
        <f>G1469*AO1469</f>
      </c>
      <c r="AX1469" s="111">
        <f>G1469*AP1469</f>
      </c>
      <c r="AY1469" s="153" t="s">
        <v>2278</v>
      </c>
      <c r="AZ1469" s="153" t="s">
        <v>1999</v>
      </c>
      <c r="BA1469" s="132" t="s">
        <v>137</v>
      </c>
      <c r="BC1469" s="111">
        <f>AW1469+AX1469</f>
      </c>
      <c r="BD1469" s="111">
        <f>H1469/(100-BE1469)*100</f>
      </c>
      <c r="BE1469" s="111" t="n">
        <v>0</v>
      </c>
      <c r="BF1469" s="111">
        <f>1469</f>
      </c>
      <c r="BH1469" s="111">
        <f>G1469*AO1469</f>
      </c>
      <c r="BI1469" s="111">
        <f>G1469*AP1469</f>
      </c>
      <c r="BJ1469" s="111">
        <f>G1469*H1469</f>
      </c>
      <c r="BK1469" s="111"/>
      <c r="BL1469" s="111" t="n">
        <v>767</v>
      </c>
      <c r="BW1469" s="111" t="n">
        <v>21</v>
      </c>
      <c r="BX1469" s="14" t="s">
        <v>2389</v>
      </c>
    </row>
    <row r="1470" customHeight="true" ht="13.5">
      <c r="A1470" s="159"/>
      <c r="C1470" s="160" t="s">
        <v>146</v>
      </c>
      <c r="D1470" s="161" t="s">
        <v>640</v>
      </c>
      <c r="E1470" s="156"/>
      <c r="F1470" s="156"/>
      <c r="G1470" s="156"/>
      <c r="H1470" s="156"/>
      <c r="I1470" s="156"/>
      <c r="J1470" s="156"/>
      <c r="K1470" s="163"/>
    </row>
    <row r="1471">
      <c r="A1471" s="154"/>
      <c r="B1471" s="155"/>
      <c r="C1471" s="155"/>
      <c r="D1471" s="156" t="s">
        <v>2390</v>
      </c>
      <c r="E1471" s="156" t="s">
        <v>2391</v>
      </c>
      <c r="F1471" s="155"/>
      <c r="G1471" s="157" t="n">
        <v>9.1</v>
      </c>
      <c r="H1471" s="155"/>
      <c r="I1471" s="155"/>
      <c r="J1471" s="155"/>
      <c r="K1471" s="146"/>
    </row>
    <row r="1472">
      <c r="A1472" s="9" t="s">
        <v>2392</v>
      </c>
      <c r="B1472" s="10" t="s">
        <v>84</v>
      </c>
      <c r="C1472" s="10" t="s">
        <v>2393</v>
      </c>
      <c r="D1472" s="14" t="s">
        <v>2394</v>
      </c>
      <c r="E1472" s="10"/>
      <c r="F1472" s="10" t="s">
        <v>133</v>
      </c>
      <c r="G1472" s="111">
        <f>'Stavební rozpočet'!G1472</f>
      </c>
      <c r="H1472" s="111">
        <f>'Stavební rozpočet'!H1472</f>
      </c>
      <c r="I1472" s="111">
        <f>G1472*H1472</f>
      </c>
      <c r="J1472" s="153" t="s">
        <v>134</v>
      </c>
      <c r="K1472" s="146"/>
      <c r="Z1472" s="111">
        <f>IF(AQ1472="5",BJ1472,0)</f>
      </c>
      <c r="AB1472" s="111">
        <f>IF(AQ1472="1",BH1472,0)</f>
      </c>
      <c r="AC1472" s="111">
        <f>IF(AQ1472="1",BI1472,0)</f>
      </c>
      <c r="AD1472" s="111">
        <f>IF(AQ1472="7",BH1472,0)</f>
      </c>
      <c r="AE1472" s="111">
        <f>IF(AQ1472="7",BI1472,0)</f>
      </c>
      <c r="AF1472" s="111">
        <f>IF(AQ1472="2",BH1472,0)</f>
      </c>
      <c r="AG1472" s="111">
        <f>IF(AQ1472="2",BI1472,0)</f>
      </c>
      <c r="AH1472" s="111">
        <f>IF(AQ1472="0",BJ1472,0)</f>
      </c>
      <c r="AI1472" s="132" t="s">
        <v>84</v>
      </c>
      <c r="AJ1472" s="111">
        <f>IF(AN1472=0,I1472,0)</f>
      </c>
      <c r="AK1472" s="111">
        <f>IF(AN1472=12,I1472,0)</f>
      </c>
      <c r="AL1472" s="111">
        <f>IF(AN1472=21,I1472,0)</f>
      </c>
      <c r="AN1472" s="111" t="n">
        <v>21</v>
      </c>
      <c r="AO1472" s="111">
        <f>H1472*0.676140655</f>
      </c>
      <c r="AP1472" s="111">
        <f>H1472*(1-0.676140655)</f>
      </c>
      <c r="AQ1472" s="153" t="s">
        <v>173</v>
      </c>
      <c r="AV1472" s="111">
        <f>AW1472+AX1472</f>
      </c>
      <c r="AW1472" s="111">
        <f>G1472*AO1472</f>
      </c>
      <c r="AX1472" s="111">
        <f>G1472*AP1472</f>
      </c>
      <c r="AY1472" s="153" t="s">
        <v>2278</v>
      </c>
      <c r="AZ1472" s="153" t="s">
        <v>1999</v>
      </c>
      <c r="BA1472" s="132" t="s">
        <v>137</v>
      </c>
      <c r="BC1472" s="111">
        <f>AW1472+AX1472</f>
      </c>
      <c r="BD1472" s="111">
        <f>H1472/(100-BE1472)*100</f>
      </c>
      <c r="BE1472" s="111" t="n">
        <v>0</v>
      </c>
      <c r="BF1472" s="111">
        <f>1472</f>
      </c>
      <c r="BH1472" s="111">
        <f>G1472*AO1472</f>
      </c>
      <c r="BI1472" s="111">
        <f>G1472*AP1472</f>
      </c>
      <c r="BJ1472" s="111">
        <f>G1472*H1472</f>
      </c>
      <c r="BK1472" s="111"/>
      <c r="BL1472" s="111" t="n">
        <v>767</v>
      </c>
      <c r="BW1472" s="111" t="n">
        <v>21</v>
      </c>
      <c r="BX1472" s="14" t="s">
        <v>2394</v>
      </c>
    </row>
    <row r="1473" customHeight="true" ht="13.5">
      <c r="A1473" s="159"/>
      <c r="C1473" s="160" t="s">
        <v>146</v>
      </c>
      <c r="D1473" s="161" t="s">
        <v>2395</v>
      </c>
      <c r="E1473" s="156"/>
      <c r="F1473" s="156"/>
      <c r="G1473" s="156"/>
      <c r="H1473" s="156"/>
      <c r="I1473" s="156"/>
      <c r="J1473" s="156"/>
      <c r="K1473" s="163"/>
    </row>
    <row r="1474">
      <c r="A1474" s="154"/>
      <c r="B1474" s="155"/>
      <c r="C1474" s="155"/>
      <c r="D1474" s="156" t="s">
        <v>2396</v>
      </c>
      <c r="E1474" s="156" t="s">
        <v>2397</v>
      </c>
      <c r="F1474" s="155"/>
      <c r="G1474" s="157" t="n">
        <v>55</v>
      </c>
      <c r="H1474" s="155"/>
      <c r="I1474" s="155"/>
      <c r="J1474" s="155"/>
      <c r="K1474" s="146"/>
    </row>
    <row r="1475">
      <c r="A1475" s="9" t="s">
        <v>2398</v>
      </c>
      <c r="B1475" s="10" t="s">
        <v>84</v>
      </c>
      <c r="C1475" s="10" t="s">
        <v>2399</v>
      </c>
      <c r="D1475" s="14" t="s">
        <v>2400</v>
      </c>
      <c r="E1475" s="10"/>
      <c r="F1475" s="10" t="s">
        <v>133</v>
      </c>
      <c r="G1475" s="111">
        <f>'Stavební rozpočet'!G1475</f>
      </c>
      <c r="H1475" s="111">
        <f>'Stavební rozpočet'!H1475</f>
      </c>
      <c r="I1475" s="111">
        <f>G1475*H1475</f>
      </c>
      <c r="J1475" s="153" t="s">
        <v>134</v>
      </c>
      <c r="K1475" s="146"/>
      <c r="Z1475" s="111">
        <f>IF(AQ1475="5",BJ1475,0)</f>
      </c>
      <c r="AB1475" s="111">
        <f>IF(AQ1475="1",BH1475,0)</f>
      </c>
      <c r="AC1475" s="111">
        <f>IF(AQ1475="1",BI1475,0)</f>
      </c>
      <c r="AD1475" s="111">
        <f>IF(AQ1475="7",BH1475,0)</f>
      </c>
      <c r="AE1475" s="111">
        <f>IF(AQ1475="7",BI1475,0)</f>
      </c>
      <c r="AF1475" s="111">
        <f>IF(AQ1475="2",BH1475,0)</f>
      </c>
      <c r="AG1475" s="111">
        <f>IF(AQ1475="2",BI1475,0)</f>
      </c>
      <c r="AH1475" s="111">
        <f>IF(AQ1475="0",BJ1475,0)</f>
      </c>
      <c r="AI1475" s="132" t="s">
        <v>84</v>
      </c>
      <c r="AJ1475" s="111">
        <f>IF(AN1475=0,I1475,0)</f>
      </c>
      <c r="AK1475" s="111">
        <f>IF(AN1475=12,I1475,0)</f>
      </c>
      <c r="AL1475" s="111">
        <f>IF(AN1475=21,I1475,0)</f>
      </c>
      <c r="AN1475" s="111" t="n">
        <v>21</v>
      </c>
      <c r="AO1475" s="111">
        <f>H1475*0.67614</f>
      </c>
      <c r="AP1475" s="111">
        <f>H1475*(1-0.67614)</f>
      </c>
      <c r="AQ1475" s="153" t="s">
        <v>173</v>
      </c>
      <c r="AV1475" s="111">
        <f>AW1475+AX1475</f>
      </c>
      <c r="AW1475" s="111">
        <f>G1475*AO1475</f>
      </c>
      <c r="AX1475" s="111">
        <f>G1475*AP1475</f>
      </c>
      <c r="AY1475" s="153" t="s">
        <v>2278</v>
      </c>
      <c r="AZ1475" s="153" t="s">
        <v>1999</v>
      </c>
      <c r="BA1475" s="132" t="s">
        <v>137</v>
      </c>
      <c r="BC1475" s="111">
        <f>AW1475+AX1475</f>
      </c>
      <c r="BD1475" s="111">
        <f>H1475/(100-BE1475)*100</f>
      </c>
      <c r="BE1475" s="111" t="n">
        <v>0</v>
      </c>
      <c r="BF1475" s="111">
        <f>1475</f>
      </c>
      <c r="BH1475" s="111">
        <f>G1475*AO1475</f>
      </c>
      <c r="BI1475" s="111">
        <f>G1475*AP1475</f>
      </c>
      <c r="BJ1475" s="111">
        <f>G1475*H1475</f>
      </c>
      <c r="BK1475" s="111"/>
      <c r="BL1475" s="111" t="n">
        <v>767</v>
      </c>
      <c r="BW1475" s="111" t="n">
        <v>21</v>
      </c>
      <c r="BX1475" s="14" t="s">
        <v>2400</v>
      </c>
    </row>
    <row r="1476">
      <c r="A1476" s="154"/>
      <c r="B1476" s="155"/>
      <c r="C1476" s="155"/>
      <c r="D1476" s="156" t="s">
        <v>130</v>
      </c>
      <c r="E1476" s="156" t="s">
        <v>2397</v>
      </c>
      <c r="F1476" s="155"/>
      <c r="G1476" s="157" t="n">
        <v>1</v>
      </c>
      <c r="H1476" s="155"/>
      <c r="I1476" s="155"/>
      <c r="J1476" s="155"/>
      <c r="K1476" s="146"/>
    </row>
    <row r="1477">
      <c r="A1477" s="9" t="s">
        <v>2401</v>
      </c>
      <c r="B1477" s="10" t="s">
        <v>84</v>
      </c>
      <c r="C1477" s="10" t="s">
        <v>2402</v>
      </c>
      <c r="D1477" s="14" t="s">
        <v>2403</v>
      </c>
      <c r="E1477" s="10"/>
      <c r="F1477" s="10" t="s">
        <v>282</v>
      </c>
      <c r="G1477" s="111">
        <f>'Stavební rozpočet'!G1477</f>
      </c>
      <c r="H1477" s="111">
        <f>'Stavební rozpočet'!H1477</f>
      </c>
      <c r="I1477" s="111">
        <f>G1477*H1477</f>
      </c>
      <c r="J1477" s="153" t="s">
        <v>134</v>
      </c>
      <c r="K1477" s="146"/>
      <c r="Z1477" s="111">
        <f>IF(AQ1477="5",BJ1477,0)</f>
      </c>
      <c r="AB1477" s="111">
        <f>IF(AQ1477="1",BH1477,0)</f>
      </c>
      <c r="AC1477" s="111">
        <f>IF(AQ1477="1",BI1477,0)</f>
      </c>
      <c r="AD1477" s="111">
        <f>IF(AQ1477="7",BH1477,0)</f>
      </c>
      <c r="AE1477" s="111">
        <f>IF(AQ1477="7",BI1477,0)</f>
      </c>
      <c r="AF1477" s="111">
        <f>IF(AQ1477="2",BH1477,0)</f>
      </c>
      <c r="AG1477" s="111">
        <f>IF(AQ1477="2",BI1477,0)</f>
      </c>
      <c r="AH1477" s="111">
        <f>IF(AQ1477="0",BJ1477,0)</f>
      </c>
      <c r="AI1477" s="132" t="s">
        <v>84</v>
      </c>
      <c r="AJ1477" s="111">
        <f>IF(AN1477=0,I1477,0)</f>
      </c>
      <c r="AK1477" s="111">
        <f>IF(AN1477=12,I1477,0)</f>
      </c>
      <c r="AL1477" s="111">
        <f>IF(AN1477=21,I1477,0)</f>
      </c>
      <c r="AN1477" s="111" t="n">
        <v>21</v>
      </c>
      <c r="AO1477" s="111">
        <f>H1477*1</f>
      </c>
      <c r="AP1477" s="111">
        <f>H1477*(1-1)</f>
      </c>
      <c r="AQ1477" s="153" t="s">
        <v>173</v>
      </c>
      <c r="AV1477" s="111">
        <f>AW1477+AX1477</f>
      </c>
      <c r="AW1477" s="111">
        <f>G1477*AO1477</f>
      </c>
      <c r="AX1477" s="111">
        <f>G1477*AP1477</f>
      </c>
      <c r="AY1477" s="153" t="s">
        <v>2278</v>
      </c>
      <c r="AZ1477" s="153" t="s">
        <v>1999</v>
      </c>
      <c r="BA1477" s="132" t="s">
        <v>137</v>
      </c>
      <c r="BC1477" s="111">
        <f>AW1477+AX1477</f>
      </c>
      <c r="BD1477" s="111">
        <f>H1477/(100-BE1477)*100</f>
      </c>
      <c r="BE1477" s="111" t="n">
        <v>0</v>
      </c>
      <c r="BF1477" s="111">
        <f>1477</f>
      </c>
      <c r="BH1477" s="111">
        <f>G1477*AO1477</f>
      </c>
      <c r="BI1477" s="111">
        <f>G1477*AP1477</f>
      </c>
      <c r="BJ1477" s="111">
        <f>G1477*H1477</f>
      </c>
      <c r="BK1477" s="111"/>
      <c r="BL1477" s="111" t="n">
        <v>767</v>
      </c>
      <c r="BW1477" s="111" t="n">
        <v>21</v>
      </c>
      <c r="BX1477" s="14" t="s">
        <v>2403</v>
      </c>
    </row>
    <row r="1478">
      <c r="A1478" s="154"/>
      <c r="B1478" s="155"/>
      <c r="C1478" s="155"/>
      <c r="D1478" s="156" t="s">
        <v>2404</v>
      </c>
      <c r="E1478" s="156" t="s">
        <v>2405</v>
      </c>
      <c r="F1478" s="155"/>
      <c r="G1478" s="157" t="n">
        <v>162</v>
      </c>
      <c r="H1478" s="155"/>
      <c r="I1478" s="155"/>
      <c r="J1478" s="155"/>
      <c r="K1478" s="146"/>
    </row>
    <row r="1479">
      <c r="A1479" s="9" t="s">
        <v>2406</v>
      </c>
      <c r="B1479" s="10" t="s">
        <v>84</v>
      </c>
      <c r="C1479" s="10" t="s">
        <v>2407</v>
      </c>
      <c r="D1479" s="14" t="s">
        <v>2408</v>
      </c>
      <c r="E1479" s="10"/>
      <c r="F1479" s="10" t="s">
        <v>133</v>
      </c>
      <c r="G1479" s="111">
        <f>'Stavební rozpočet'!G1479</f>
      </c>
      <c r="H1479" s="111">
        <f>'Stavební rozpočet'!H1479</f>
      </c>
      <c r="I1479" s="111">
        <f>G1479*H1479</f>
      </c>
      <c r="J1479" s="153" t="s">
        <v>134</v>
      </c>
      <c r="K1479" s="146"/>
      <c r="Z1479" s="111">
        <f>IF(AQ1479="5",BJ1479,0)</f>
      </c>
      <c r="AB1479" s="111">
        <f>IF(AQ1479="1",BH1479,0)</f>
      </c>
      <c r="AC1479" s="111">
        <f>IF(AQ1479="1",BI1479,0)</f>
      </c>
      <c r="AD1479" s="111">
        <f>IF(AQ1479="7",BH1479,0)</f>
      </c>
      <c r="AE1479" s="111">
        <f>IF(AQ1479="7",BI1479,0)</f>
      </c>
      <c r="AF1479" s="111">
        <f>IF(AQ1479="2",BH1479,0)</f>
      </c>
      <c r="AG1479" s="111">
        <f>IF(AQ1479="2",BI1479,0)</f>
      </c>
      <c r="AH1479" s="111">
        <f>IF(AQ1479="0",BJ1479,0)</f>
      </c>
      <c r="AI1479" s="132" t="s">
        <v>84</v>
      </c>
      <c r="AJ1479" s="111">
        <f>IF(AN1479=0,I1479,0)</f>
      </c>
      <c r="AK1479" s="111">
        <f>IF(AN1479=12,I1479,0)</f>
      </c>
      <c r="AL1479" s="111">
        <f>IF(AN1479=21,I1479,0)</f>
      </c>
      <c r="AN1479" s="111" t="n">
        <v>21</v>
      </c>
      <c r="AO1479" s="111">
        <f>H1479*0</f>
      </c>
      <c r="AP1479" s="111">
        <f>H1479*(1-0)</f>
      </c>
      <c r="AQ1479" s="153" t="s">
        <v>140</v>
      </c>
      <c r="AV1479" s="111">
        <f>AW1479+AX1479</f>
      </c>
      <c r="AW1479" s="111">
        <f>G1479*AO1479</f>
      </c>
      <c r="AX1479" s="111">
        <f>G1479*AP1479</f>
      </c>
      <c r="AY1479" s="153" t="s">
        <v>2278</v>
      </c>
      <c r="AZ1479" s="153" t="s">
        <v>1999</v>
      </c>
      <c r="BA1479" s="132" t="s">
        <v>137</v>
      </c>
      <c r="BC1479" s="111">
        <f>AW1479+AX1479</f>
      </c>
      <c r="BD1479" s="111">
        <f>H1479/(100-BE1479)*100</f>
      </c>
      <c r="BE1479" s="111" t="n">
        <v>0</v>
      </c>
      <c r="BF1479" s="111">
        <f>1479</f>
      </c>
      <c r="BH1479" s="111">
        <f>G1479*AO1479</f>
      </c>
      <c r="BI1479" s="111">
        <f>G1479*AP1479</f>
      </c>
      <c r="BJ1479" s="111">
        <f>G1479*H1479</f>
      </c>
      <c r="BK1479" s="111"/>
      <c r="BL1479" s="111" t="n">
        <v>767</v>
      </c>
      <c r="BW1479" s="111" t="n">
        <v>21</v>
      </c>
      <c r="BX1479" s="14" t="s">
        <v>2408</v>
      </c>
    </row>
    <row r="1480" customHeight="true" ht="13.5">
      <c r="A1480" s="159"/>
      <c r="C1480" s="160" t="s">
        <v>146</v>
      </c>
      <c r="D1480" s="161" t="s">
        <v>1437</v>
      </c>
      <c r="E1480" s="156"/>
      <c r="F1480" s="156"/>
      <c r="G1480" s="156"/>
      <c r="H1480" s="156"/>
      <c r="I1480" s="156"/>
      <c r="J1480" s="156"/>
      <c r="K1480" s="163"/>
    </row>
    <row r="1481">
      <c r="A1481" s="154"/>
      <c r="B1481" s="155"/>
      <c r="C1481" s="155"/>
      <c r="D1481" s="156" t="s">
        <v>140</v>
      </c>
      <c r="E1481" s="156" t="s">
        <v>2409</v>
      </c>
      <c r="F1481" s="155"/>
      <c r="G1481" s="157" t="n">
        <v>2</v>
      </c>
      <c r="H1481" s="155"/>
      <c r="I1481" s="155"/>
      <c r="J1481" s="155"/>
      <c r="K1481" s="146"/>
    </row>
    <row r="1482">
      <c r="A1482" s="9" t="s">
        <v>2410</v>
      </c>
      <c r="B1482" s="10" t="s">
        <v>84</v>
      </c>
      <c r="C1482" s="10" t="s">
        <v>2411</v>
      </c>
      <c r="D1482" s="14" t="s">
        <v>2412</v>
      </c>
      <c r="E1482" s="10"/>
      <c r="F1482" s="10" t="s">
        <v>133</v>
      </c>
      <c r="G1482" s="111">
        <f>'Stavební rozpočet'!G1482</f>
      </c>
      <c r="H1482" s="111">
        <f>'Stavební rozpočet'!H1482</f>
      </c>
      <c r="I1482" s="111">
        <f>G1482*H1482</f>
      </c>
      <c r="J1482" s="153" t="s">
        <v>134</v>
      </c>
      <c r="K1482" s="146"/>
      <c r="Z1482" s="111">
        <f>IF(AQ1482="5",BJ1482,0)</f>
      </c>
      <c r="AB1482" s="111">
        <f>IF(AQ1482="1",BH1482,0)</f>
      </c>
      <c r="AC1482" s="111">
        <f>IF(AQ1482="1",BI1482,0)</f>
      </c>
      <c r="AD1482" s="111">
        <f>IF(AQ1482="7",BH1482,0)</f>
      </c>
      <c r="AE1482" s="111">
        <f>IF(AQ1482="7",BI1482,0)</f>
      </c>
      <c r="AF1482" s="111">
        <f>IF(AQ1482="2",BH1482,0)</f>
      </c>
      <c r="AG1482" s="111">
        <f>IF(AQ1482="2",BI1482,0)</f>
      </c>
      <c r="AH1482" s="111">
        <f>IF(AQ1482="0",BJ1482,0)</f>
      </c>
      <c r="AI1482" s="132" t="s">
        <v>84</v>
      </c>
      <c r="AJ1482" s="111">
        <f>IF(AN1482=0,I1482,0)</f>
      </c>
      <c r="AK1482" s="111">
        <f>IF(AN1482=12,I1482,0)</f>
      </c>
      <c r="AL1482" s="111">
        <f>IF(AN1482=21,I1482,0)</f>
      </c>
      <c r="AN1482" s="111" t="n">
        <v>21</v>
      </c>
      <c r="AO1482" s="111">
        <f>H1482*1</f>
      </c>
      <c r="AP1482" s="111">
        <f>H1482*(1-1)</f>
      </c>
      <c r="AQ1482" s="153" t="s">
        <v>173</v>
      </c>
      <c r="AV1482" s="111">
        <f>AW1482+AX1482</f>
      </c>
      <c r="AW1482" s="111">
        <f>G1482*AO1482</f>
      </c>
      <c r="AX1482" s="111">
        <f>G1482*AP1482</f>
      </c>
      <c r="AY1482" s="153" t="s">
        <v>2278</v>
      </c>
      <c r="AZ1482" s="153" t="s">
        <v>1999</v>
      </c>
      <c r="BA1482" s="132" t="s">
        <v>137</v>
      </c>
      <c r="BC1482" s="111">
        <f>AW1482+AX1482</f>
      </c>
      <c r="BD1482" s="111">
        <f>H1482/(100-BE1482)*100</f>
      </c>
      <c r="BE1482" s="111" t="n">
        <v>0</v>
      </c>
      <c r="BF1482" s="111">
        <f>1482</f>
      </c>
      <c r="BH1482" s="111">
        <f>G1482*AO1482</f>
      </c>
      <c r="BI1482" s="111">
        <f>G1482*AP1482</f>
      </c>
      <c r="BJ1482" s="111">
        <f>G1482*H1482</f>
      </c>
      <c r="BK1482" s="111"/>
      <c r="BL1482" s="111" t="n">
        <v>767</v>
      </c>
      <c r="BW1482" s="111" t="n">
        <v>21</v>
      </c>
      <c r="BX1482" s="14" t="s">
        <v>2412</v>
      </c>
    </row>
    <row r="1483">
      <c r="A1483" s="154"/>
      <c r="B1483" s="155"/>
      <c r="C1483" s="155"/>
      <c r="D1483" s="156" t="s">
        <v>130</v>
      </c>
      <c r="E1483" s="156" t="s">
        <v>2413</v>
      </c>
      <c r="F1483" s="155"/>
      <c r="G1483" s="157" t="n">
        <v>1</v>
      </c>
      <c r="H1483" s="155"/>
      <c r="I1483" s="155"/>
      <c r="J1483" s="155"/>
      <c r="K1483" s="146"/>
    </row>
    <row r="1484">
      <c r="A1484" s="9" t="s">
        <v>2414</v>
      </c>
      <c r="B1484" s="10" t="s">
        <v>84</v>
      </c>
      <c r="C1484" s="10" t="s">
        <v>2415</v>
      </c>
      <c r="D1484" s="14" t="s">
        <v>2416</v>
      </c>
      <c r="E1484" s="10"/>
      <c r="F1484" s="10" t="s">
        <v>133</v>
      </c>
      <c r="G1484" s="111">
        <f>'Stavební rozpočet'!G1484</f>
      </c>
      <c r="H1484" s="111">
        <f>'Stavební rozpočet'!H1484</f>
      </c>
      <c r="I1484" s="111">
        <f>G1484*H1484</f>
      </c>
      <c r="J1484" s="153" t="s">
        <v>134</v>
      </c>
      <c r="K1484" s="146"/>
      <c r="Z1484" s="111">
        <f>IF(AQ1484="5",BJ1484,0)</f>
      </c>
      <c r="AB1484" s="111">
        <f>IF(AQ1484="1",BH1484,0)</f>
      </c>
      <c r="AC1484" s="111">
        <f>IF(AQ1484="1",BI1484,0)</f>
      </c>
      <c r="AD1484" s="111">
        <f>IF(AQ1484="7",BH1484,0)</f>
      </c>
      <c r="AE1484" s="111">
        <f>IF(AQ1484="7",BI1484,0)</f>
      </c>
      <c r="AF1484" s="111">
        <f>IF(AQ1484="2",BH1484,0)</f>
      </c>
      <c r="AG1484" s="111">
        <f>IF(AQ1484="2",BI1484,0)</f>
      </c>
      <c r="AH1484" s="111">
        <f>IF(AQ1484="0",BJ1484,0)</f>
      </c>
      <c r="AI1484" s="132" t="s">
        <v>84</v>
      </c>
      <c r="AJ1484" s="111">
        <f>IF(AN1484=0,I1484,0)</f>
      </c>
      <c r="AK1484" s="111">
        <f>IF(AN1484=12,I1484,0)</f>
      </c>
      <c r="AL1484" s="111">
        <f>IF(AN1484=21,I1484,0)</f>
      </c>
      <c r="AN1484" s="111" t="n">
        <v>21</v>
      </c>
      <c r="AO1484" s="111">
        <f>H1484*1</f>
      </c>
      <c r="AP1484" s="111">
        <f>H1484*(1-1)</f>
      </c>
      <c r="AQ1484" s="153" t="s">
        <v>173</v>
      </c>
      <c r="AV1484" s="111">
        <f>AW1484+AX1484</f>
      </c>
      <c r="AW1484" s="111">
        <f>G1484*AO1484</f>
      </c>
      <c r="AX1484" s="111">
        <f>G1484*AP1484</f>
      </c>
      <c r="AY1484" s="153" t="s">
        <v>2278</v>
      </c>
      <c r="AZ1484" s="153" t="s">
        <v>1999</v>
      </c>
      <c r="BA1484" s="132" t="s">
        <v>137</v>
      </c>
      <c r="BC1484" s="111">
        <f>AW1484+AX1484</f>
      </c>
      <c r="BD1484" s="111">
        <f>H1484/(100-BE1484)*100</f>
      </c>
      <c r="BE1484" s="111" t="n">
        <v>0</v>
      </c>
      <c r="BF1484" s="111">
        <f>1484</f>
      </c>
      <c r="BH1484" s="111">
        <f>G1484*AO1484</f>
      </c>
      <c r="BI1484" s="111">
        <f>G1484*AP1484</f>
      </c>
      <c r="BJ1484" s="111">
        <f>G1484*H1484</f>
      </c>
      <c r="BK1484" s="111"/>
      <c r="BL1484" s="111" t="n">
        <v>767</v>
      </c>
      <c r="BW1484" s="111" t="n">
        <v>21</v>
      </c>
      <c r="BX1484" s="14" t="s">
        <v>2416</v>
      </c>
    </row>
    <row r="1485">
      <c r="A1485" s="154"/>
      <c r="B1485" s="155"/>
      <c r="C1485" s="155"/>
      <c r="D1485" s="156" t="s">
        <v>130</v>
      </c>
      <c r="E1485" s="156" t="s">
        <v>2417</v>
      </c>
      <c r="F1485" s="155"/>
      <c r="G1485" s="157" t="n">
        <v>1</v>
      </c>
      <c r="H1485" s="155"/>
      <c r="I1485" s="155"/>
      <c r="J1485" s="155"/>
      <c r="K1485" s="146"/>
    </row>
    <row r="1486">
      <c r="A1486" s="9" t="s">
        <v>2418</v>
      </c>
      <c r="B1486" s="10" t="s">
        <v>84</v>
      </c>
      <c r="C1486" s="10" t="s">
        <v>2419</v>
      </c>
      <c r="D1486" s="14" t="s">
        <v>2420</v>
      </c>
      <c r="E1486" s="10"/>
      <c r="F1486" s="10" t="s">
        <v>145</v>
      </c>
      <c r="G1486" s="111">
        <f>'Stavební rozpočet'!G1486</f>
      </c>
      <c r="H1486" s="111">
        <f>'Stavební rozpočet'!H1486</f>
      </c>
      <c r="I1486" s="111">
        <f>G1486*H1486</f>
      </c>
      <c r="J1486" s="153" t="s">
        <v>134</v>
      </c>
      <c r="K1486" s="146"/>
      <c r="Z1486" s="111">
        <f>IF(AQ1486="5",BJ1486,0)</f>
      </c>
      <c r="AB1486" s="111">
        <f>IF(AQ1486="1",BH1486,0)</f>
      </c>
      <c r="AC1486" s="111">
        <f>IF(AQ1486="1",BI1486,0)</f>
      </c>
      <c r="AD1486" s="111">
        <f>IF(AQ1486="7",BH1486,0)</f>
      </c>
      <c r="AE1486" s="111">
        <f>IF(AQ1486="7",BI1486,0)</f>
      </c>
      <c r="AF1486" s="111">
        <f>IF(AQ1486="2",BH1486,0)</f>
      </c>
      <c r="AG1486" s="111">
        <f>IF(AQ1486="2",BI1486,0)</f>
      </c>
      <c r="AH1486" s="111">
        <f>IF(AQ1486="0",BJ1486,0)</f>
      </c>
      <c r="AI1486" s="132" t="s">
        <v>84</v>
      </c>
      <c r="AJ1486" s="111">
        <f>IF(AN1486=0,I1486,0)</f>
      </c>
      <c r="AK1486" s="111">
        <f>IF(AN1486=12,I1486,0)</f>
      </c>
      <c r="AL1486" s="111">
        <f>IF(AN1486=21,I1486,0)</f>
      </c>
      <c r="AN1486" s="111" t="n">
        <v>21</v>
      </c>
      <c r="AO1486" s="111">
        <f>H1486*0.091253846</f>
      </c>
      <c r="AP1486" s="111">
        <f>H1486*(1-0.091253846)</f>
      </c>
      <c r="AQ1486" s="153" t="s">
        <v>173</v>
      </c>
      <c r="AV1486" s="111">
        <f>AW1486+AX1486</f>
      </c>
      <c r="AW1486" s="111">
        <f>G1486*AO1486</f>
      </c>
      <c r="AX1486" s="111">
        <f>G1486*AP1486</f>
      </c>
      <c r="AY1486" s="153" t="s">
        <v>2278</v>
      </c>
      <c r="AZ1486" s="153" t="s">
        <v>1999</v>
      </c>
      <c r="BA1486" s="132" t="s">
        <v>137</v>
      </c>
      <c r="BC1486" s="111">
        <f>AW1486+AX1486</f>
      </c>
      <c r="BD1486" s="111">
        <f>H1486/(100-BE1486)*100</f>
      </c>
      <c r="BE1486" s="111" t="n">
        <v>0</v>
      </c>
      <c r="BF1486" s="111">
        <f>1486</f>
      </c>
      <c r="BH1486" s="111">
        <f>G1486*AO1486</f>
      </c>
      <c r="BI1486" s="111">
        <f>G1486*AP1486</f>
      </c>
      <c r="BJ1486" s="111">
        <f>G1486*H1486</f>
      </c>
      <c r="BK1486" s="111"/>
      <c r="BL1486" s="111" t="n">
        <v>767</v>
      </c>
      <c r="BW1486" s="111" t="n">
        <v>21</v>
      </c>
      <c r="BX1486" s="14" t="s">
        <v>2420</v>
      </c>
    </row>
    <row r="1487" customHeight="true" ht="13.5">
      <c r="A1487" s="159"/>
      <c r="C1487" s="160" t="s">
        <v>146</v>
      </c>
      <c r="D1487" s="161" t="s">
        <v>640</v>
      </c>
      <c r="E1487" s="156"/>
      <c r="F1487" s="156"/>
      <c r="G1487" s="156"/>
      <c r="H1487" s="156"/>
      <c r="I1487" s="156"/>
      <c r="J1487" s="156"/>
      <c r="K1487" s="163"/>
    </row>
    <row r="1488">
      <c r="A1488" s="154"/>
      <c r="B1488" s="155"/>
      <c r="C1488" s="155"/>
      <c r="D1488" s="156" t="s">
        <v>2421</v>
      </c>
      <c r="E1488" s="156" t="s">
        <v>2422</v>
      </c>
      <c r="F1488" s="155"/>
      <c r="G1488" s="157" t="n">
        <v>5.1</v>
      </c>
      <c r="H1488" s="155"/>
      <c r="I1488" s="155"/>
      <c r="J1488" s="155"/>
      <c r="K1488" s="146"/>
    </row>
    <row r="1489">
      <c r="A1489" s="9" t="s">
        <v>2423</v>
      </c>
      <c r="B1489" s="10" t="s">
        <v>84</v>
      </c>
      <c r="C1489" s="10" t="s">
        <v>2424</v>
      </c>
      <c r="D1489" s="14" t="s">
        <v>2425</v>
      </c>
      <c r="E1489" s="10"/>
      <c r="F1489" s="10" t="s">
        <v>2426</v>
      </c>
      <c r="G1489" s="111">
        <f>'Stavební rozpočet'!G1489</f>
      </c>
      <c r="H1489" s="111">
        <f>'Stavební rozpočet'!H1489</f>
      </c>
      <c r="I1489" s="111">
        <f>G1489*H1489</f>
      </c>
      <c r="J1489" s="153" t="s">
        <v>134</v>
      </c>
      <c r="K1489" s="146"/>
      <c r="Z1489" s="111">
        <f>IF(AQ1489="5",BJ1489,0)</f>
      </c>
      <c r="AB1489" s="111">
        <f>IF(AQ1489="1",BH1489,0)</f>
      </c>
      <c r="AC1489" s="111">
        <f>IF(AQ1489="1",BI1489,0)</f>
      </c>
      <c r="AD1489" s="111">
        <f>IF(AQ1489="7",BH1489,0)</f>
      </c>
      <c r="AE1489" s="111">
        <f>IF(AQ1489="7",BI1489,0)</f>
      </c>
      <c r="AF1489" s="111">
        <f>IF(AQ1489="2",BH1489,0)</f>
      </c>
      <c r="AG1489" s="111">
        <f>IF(AQ1489="2",BI1489,0)</f>
      </c>
      <c r="AH1489" s="111">
        <f>IF(AQ1489="0",BJ1489,0)</f>
      </c>
      <c r="AI1489" s="132" t="s">
        <v>84</v>
      </c>
      <c r="AJ1489" s="111">
        <f>IF(AN1489=0,I1489,0)</f>
      </c>
      <c r="AK1489" s="111">
        <f>IF(AN1489=12,I1489,0)</f>
      </c>
      <c r="AL1489" s="111">
        <f>IF(AN1489=21,I1489,0)</f>
      </c>
      <c r="AN1489" s="111" t="n">
        <v>21</v>
      </c>
      <c r="AO1489" s="111">
        <f>H1489*0.565422218</f>
      </c>
      <c r="AP1489" s="111">
        <f>H1489*(1-0.565422218)</f>
      </c>
      <c r="AQ1489" s="153" t="s">
        <v>173</v>
      </c>
      <c r="AV1489" s="111">
        <f>AW1489+AX1489</f>
      </c>
      <c r="AW1489" s="111">
        <f>G1489*AO1489</f>
      </c>
      <c r="AX1489" s="111">
        <f>G1489*AP1489</f>
      </c>
      <c r="AY1489" s="153" t="s">
        <v>2278</v>
      </c>
      <c r="AZ1489" s="153" t="s">
        <v>1999</v>
      </c>
      <c r="BA1489" s="132" t="s">
        <v>137</v>
      </c>
      <c r="BC1489" s="111">
        <f>AW1489+AX1489</f>
      </c>
      <c r="BD1489" s="111">
        <f>H1489/(100-BE1489)*100</f>
      </c>
      <c r="BE1489" s="111" t="n">
        <v>0</v>
      </c>
      <c r="BF1489" s="111">
        <f>1489</f>
      </c>
      <c r="BH1489" s="111">
        <f>G1489*AO1489</f>
      </c>
      <c r="BI1489" s="111">
        <f>G1489*AP1489</f>
      </c>
      <c r="BJ1489" s="111">
        <f>G1489*H1489</f>
      </c>
      <c r="BK1489" s="111"/>
      <c r="BL1489" s="111" t="n">
        <v>767</v>
      </c>
      <c r="BW1489" s="111" t="n">
        <v>21</v>
      </c>
      <c r="BX1489" s="14" t="s">
        <v>2425</v>
      </c>
    </row>
    <row r="1490" customHeight="true" ht="13.5">
      <c r="A1490" s="159"/>
      <c r="C1490" s="160" t="s">
        <v>146</v>
      </c>
      <c r="D1490" s="161" t="s">
        <v>2427</v>
      </c>
      <c r="E1490" s="156"/>
      <c r="F1490" s="156"/>
      <c r="G1490" s="156"/>
      <c r="H1490" s="156"/>
      <c r="I1490" s="156"/>
      <c r="J1490" s="156"/>
      <c r="K1490" s="163"/>
    </row>
    <row r="1491">
      <c r="A1491" s="154"/>
      <c r="B1491" s="155"/>
      <c r="C1491" s="155"/>
      <c r="D1491" s="156" t="s">
        <v>2428</v>
      </c>
      <c r="E1491" s="156" t="s">
        <v>2429</v>
      </c>
      <c r="F1491" s="155"/>
      <c r="G1491" s="157" t="n">
        <v>604.6645</v>
      </c>
      <c r="H1491" s="155"/>
      <c r="I1491" s="155"/>
      <c r="J1491" s="155"/>
      <c r="K1491" s="146"/>
    </row>
    <row r="1492">
      <c r="A1492" s="154"/>
      <c r="B1492" s="155"/>
      <c r="C1492" s="155"/>
      <c r="D1492" s="156" t="s">
        <v>2430</v>
      </c>
      <c r="E1492" s="156" t="s">
        <v>2431</v>
      </c>
      <c r="F1492" s="155"/>
      <c r="G1492" s="157" t="n">
        <v>150</v>
      </c>
      <c r="H1492" s="155"/>
      <c r="I1492" s="155"/>
      <c r="J1492" s="155"/>
      <c r="K1492" s="146"/>
    </row>
    <row r="1493">
      <c r="A1493" s="154"/>
      <c r="B1493" s="155"/>
      <c r="C1493" s="155"/>
      <c r="D1493" s="156" t="s">
        <v>2432</v>
      </c>
      <c r="E1493" s="156" t="s">
        <v>2433</v>
      </c>
      <c r="F1493" s="155"/>
      <c r="G1493" s="157" t="n">
        <v>590.205</v>
      </c>
      <c r="H1493" s="155"/>
      <c r="I1493" s="155"/>
      <c r="J1493" s="155"/>
      <c r="K1493" s="146"/>
    </row>
    <row r="1494">
      <c r="A1494" s="9" t="s">
        <v>2434</v>
      </c>
      <c r="B1494" s="10" t="s">
        <v>84</v>
      </c>
      <c r="C1494" s="10" t="s">
        <v>2435</v>
      </c>
      <c r="D1494" s="14" t="s">
        <v>2436</v>
      </c>
      <c r="E1494" s="10"/>
      <c r="F1494" s="10" t="s">
        <v>2426</v>
      </c>
      <c r="G1494" s="111">
        <f>'Stavební rozpočet'!G1494</f>
      </c>
      <c r="H1494" s="111">
        <f>'Stavební rozpočet'!H1494</f>
      </c>
      <c r="I1494" s="111">
        <f>G1494*H1494</f>
      </c>
      <c r="J1494" s="153" t="s">
        <v>134</v>
      </c>
      <c r="K1494" s="146"/>
      <c r="Z1494" s="111">
        <f>IF(AQ1494="5",BJ1494,0)</f>
      </c>
      <c r="AB1494" s="111">
        <f>IF(AQ1494="1",BH1494,0)</f>
      </c>
      <c r="AC1494" s="111">
        <f>IF(AQ1494="1",BI1494,0)</f>
      </c>
      <c r="AD1494" s="111">
        <f>IF(AQ1494="7",BH1494,0)</f>
      </c>
      <c r="AE1494" s="111">
        <f>IF(AQ1494="7",BI1494,0)</f>
      </c>
      <c r="AF1494" s="111">
        <f>IF(AQ1494="2",BH1494,0)</f>
      </c>
      <c r="AG1494" s="111">
        <f>IF(AQ1494="2",BI1494,0)</f>
      </c>
      <c r="AH1494" s="111">
        <f>IF(AQ1494="0",BJ1494,0)</f>
      </c>
      <c r="AI1494" s="132" t="s">
        <v>84</v>
      </c>
      <c r="AJ1494" s="111">
        <f>IF(AN1494=0,I1494,0)</f>
      </c>
      <c r="AK1494" s="111">
        <f>IF(AN1494=12,I1494,0)</f>
      </c>
      <c r="AL1494" s="111">
        <f>IF(AN1494=21,I1494,0)</f>
      </c>
      <c r="AN1494" s="111" t="n">
        <v>21</v>
      </c>
      <c r="AO1494" s="111">
        <f>H1494*1</f>
      </c>
      <c r="AP1494" s="111">
        <f>H1494*(1-1)</f>
      </c>
      <c r="AQ1494" s="153" t="s">
        <v>173</v>
      </c>
      <c r="AV1494" s="111">
        <f>AW1494+AX1494</f>
      </c>
      <c r="AW1494" s="111">
        <f>G1494*AO1494</f>
      </c>
      <c r="AX1494" s="111">
        <f>G1494*AP1494</f>
      </c>
      <c r="AY1494" s="153" t="s">
        <v>2278</v>
      </c>
      <c r="AZ1494" s="153" t="s">
        <v>1999</v>
      </c>
      <c r="BA1494" s="132" t="s">
        <v>137</v>
      </c>
      <c r="BC1494" s="111">
        <f>AW1494+AX1494</f>
      </c>
      <c r="BD1494" s="111">
        <f>H1494/(100-BE1494)*100</f>
      </c>
      <c r="BE1494" s="111" t="n">
        <v>0</v>
      </c>
      <c r="BF1494" s="111">
        <f>1494</f>
      </c>
      <c r="BH1494" s="111">
        <f>G1494*AO1494</f>
      </c>
      <c r="BI1494" s="111">
        <f>G1494*AP1494</f>
      </c>
      <c r="BJ1494" s="111">
        <f>G1494*H1494</f>
      </c>
      <c r="BK1494" s="111"/>
      <c r="BL1494" s="111" t="n">
        <v>767</v>
      </c>
      <c r="BW1494" s="111" t="n">
        <v>21</v>
      </c>
      <c r="BX1494" s="14" t="s">
        <v>2436</v>
      </c>
    </row>
    <row r="1495">
      <c r="A1495" s="154"/>
      <c r="B1495" s="155"/>
      <c r="C1495" s="155"/>
      <c r="D1495" s="156" t="s">
        <v>2428</v>
      </c>
      <c r="E1495" s="156" t="s">
        <v>2429</v>
      </c>
      <c r="F1495" s="155"/>
      <c r="G1495" s="157" t="n">
        <v>604.6645</v>
      </c>
      <c r="H1495" s="155"/>
      <c r="I1495" s="155"/>
      <c r="J1495" s="155"/>
      <c r="K1495" s="146"/>
    </row>
    <row r="1496">
      <c r="A1496" s="154"/>
      <c r="B1496" s="155"/>
      <c r="C1496" s="155"/>
      <c r="D1496" s="156" t="s">
        <v>2430</v>
      </c>
      <c r="E1496" s="156" t="s">
        <v>2431</v>
      </c>
      <c r="F1496" s="155"/>
      <c r="G1496" s="157" t="n">
        <v>150</v>
      </c>
      <c r="H1496" s="155"/>
      <c r="I1496" s="155"/>
      <c r="J1496" s="155"/>
      <c r="K1496" s="146"/>
    </row>
    <row r="1497">
      <c r="A1497" s="154"/>
      <c r="B1497" s="155"/>
      <c r="C1497" s="155"/>
      <c r="D1497" s="156" t="s">
        <v>2432</v>
      </c>
      <c r="E1497" s="156" t="s">
        <v>2433</v>
      </c>
      <c r="F1497" s="155"/>
      <c r="G1497" s="157" t="n">
        <v>590.205</v>
      </c>
      <c r="H1497" s="155"/>
      <c r="I1497" s="155"/>
      <c r="J1497" s="155"/>
      <c r="K1497" s="146"/>
    </row>
    <row r="1498">
      <c r="A1498" s="9" t="s">
        <v>2437</v>
      </c>
      <c r="B1498" s="10" t="s">
        <v>84</v>
      </c>
      <c r="C1498" s="10" t="s">
        <v>2438</v>
      </c>
      <c r="D1498" s="14" t="s">
        <v>2439</v>
      </c>
      <c r="E1498" s="10"/>
      <c r="F1498" s="10" t="s">
        <v>282</v>
      </c>
      <c r="G1498" s="111">
        <f>'Stavební rozpočet'!G1498</f>
      </c>
      <c r="H1498" s="111">
        <f>'Stavební rozpočet'!H1498</f>
      </c>
      <c r="I1498" s="111">
        <f>G1498*H1498</f>
      </c>
      <c r="J1498" s="153" t="s">
        <v>134</v>
      </c>
      <c r="K1498" s="146"/>
      <c r="Z1498" s="111">
        <f>IF(AQ1498="5",BJ1498,0)</f>
      </c>
      <c r="AB1498" s="111">
        <f>IF(AQ1498="1",BH1498,0)</f>
      </c>
      <c r="AC1498" s="111">
        <f>IF(AQ1498="1",BI1498,0)</f>
      </c>
      <c r="AD1498" s="111">
        <f>IF(AQ1498="7",BH1498,0)</f>
      </c>
      <c r="AE1498" s="111">
        <f>IF(AQ1498="7",BI1498,0)</f>
      </c>
      <c r="AF1498" s="111">
        <f>IF(AQ1498="2",BH1498,0)</f>
      </c>
      <c r="AG1498" s="111">
        <f>IF(AQ1498="2",BI1498,0)</f>
      </c>
      <c r="AH1498" s="111">
        <f>IF(AQ1498="0",BJ1498,0)</f>
      </c>
      <c r="AI1498" s="132" t="s">
        <v>84</v>
      </c>
      <c r="AJ1498" s="111">
        <f>IF(AN1498=0,I1498,0)</f>
      </c>
      <c r="AK1498" s="111">
        <f>IF(AN1498=12,I1498,0)</f>
      </c>
      <c r="AL1498" s="111">
        <f>IF(AN1498=21,I1498,0)</f>
      </c>
      <c r="AN1498" s="111" t="n">
        <v>21</v>
      </c>
      <c r="AO1498" s="111">
        <f>H1498*0.329041667</f>
      </c>
      <c r="AP1498" s="111">
        <f>H1498*(1-0.329041667)</f>
      </c>
      <c r="AQ1498" s="153" t="s">
        <v>173</v>
      </c>
      <c r="AV1498" s="111">
        <f>AW1498+AX1498</f>
      </c>
      <c r="AW1498" s="111">
        <f>G1498*AO1498</f>
      </c>
      <c r="AX1498" s="111">
        <f>G1498*AP1498</f>
      </c>
      <c r="AY1498" s="153" t="s">
        <v>2278</v>
      </c>
      <c r="AZ1498" s="153" t="s">
        <v>1999</v>
      </c>
      <c r="BA1498" s="132" t="s">
        <v>137</v>
      </c>
      <c r="BC1498" s="111">
        <f>AW1498+AX1498</f>
      </c>
      <c r="BD1498" s="111">
        <f>H1498/(100-BE1498)*100</f>
      </c>
      <c r="BE1498" s="111" t="n">
        <v>0</v>
      </c>
      <c r="BF1498" s="111">
        <f>1498</f>
      </c>
      <c r="BH1498" s="111">
        <f>G1498*AO1498</f>
      </c>
      <c r="BI1498" s="111">
        <f>G1498*AP1498</f>
      </c>
      <c r="BJ1498" s="111">
        <f>G1498*H1498</f>
      </c>
      <c r="BK1498" s="111"/>
      <c r="BL1498" s="111" t="n">
        <v>767</v>
      </c>
      <c r="BW1498" s="111" t="n">
        <v>21</v>
      </c>
      <c r="BX1498" s="14" t="s">
        <v>2439</v>
      </c>
    </row>
    <row r="1499" customHeight="true" ht="13.5">
      <c r="A1499" s="159"/>
      <c r="C1499" s="160" t="s">
        <v>146</v>
      </c>
      <c r="D1499" s="161" t="s">
        <v>2440</v>
      </c>
      <c r="E1499" s="156"/>
      <c r="F1499" s="156"/>
      <c r="G1499" s="156"/>
      <c r="H1499" s="156"/>
      <c r="I1499" s="156"/>
      <c r="J1499" s="156"/>
      <c r="K1499" s="163"/>
    </row>
    <row r="1500">
      <c r="A1500" s="154"/>
      <c r="B1500" s="155"/>
      <c r="C1500" s="155"/>
      <c r="D1500" s="156" t="s">
        <v>2441</v>
      </c>
      <c r="E1500" s="156" t="s">
        <v>2442</v>
      </c>
      <c r="F1500" s="155"/>
      <c r="G1500" s="157" t="n">
        <v>155</v>
      </c>
      <c r="H1500" s="155"/>
      <c r="I1500" s="155"/>
      <c r="J1500" s="155"/>
      <c r="K1500" s="146"/>
    </row>
    <row r="1501">
      <c r="A1501" s="9" t="s">
        <v>2443</v>
      </c>
      <c r="B1501" s="10" t="s">
        <v>84</v>
      </c>
      <c r="C1501" s="10" t="s">
        <v>2444</v>
      </c>
      <c r="D1501" s="14" t="s">
        <v>2445</v>
      </c>
      <c r="E1501" s="10"/>
      <c r="F1501" s="10" t="s">
        <v>133</v>
      </c>
      <c r="G1501" s="111">
        <f>'Stavební rozpočet'!G1501</f>
      </c>
      <c r="H1501" s="111">
        <f>'Stavební rozpočet'!H1501</f>
      </c>
      <c r="I1501" s="111">
        <f>G1501*H1501</f>
      </c>
      <c r="J1501" s="153" t="s">
        <v>134</v>
      </c>
      <c r="K1501" s="146"/>
      <c r="Z1501" s="111">
        <f>IF(AQ1501="5",BJ1501,0)</f>
      </c>
      <c r="AB1501" s="111">
        <f>IF(AQ1501="1",BH1501,0)</f>
      </c>
      <c r="AC1501" s="111">
        <f>IF(AQ1501="1",BI1501,0)</f>
      </c>
      <c r="AD1501" s="111">
        <f>IF(AQ1501="7",BH1501,0)</f>
      </c>
      <c r="AE1501" s="111">
        <f>IF(AQ1501="7",BI1501,0)</f>
      </c>
      <c r="AF1501" s="111">
        <f>IF(AQ1501="2",BH1501,0)</f>
      </c>
      <c r="AG1501" s="111">
        <f>IF(AQ1501="2",BI1501,0)</f>
      </c>
      <c r="AH1501" s="111">
        <f>IF(AQ1501="0",BJ1501,0)</f>
      </c>
      <c r="AI1501" s="132" t="s">
        <v>84</v>
      </c>
      <c r="AJ1501" s="111">
        <f>IF(AN1501=0,I1501,0)</f>
      </c>
      <c r="AK1501" s="111">
        <f>IF(AN1501=12,I1501,0)</f>
      </c>
      <c r="AL1501" s="111">
        <f>IF(AN1501=21,I1501,0)</f>
      </c>
      <c r="AN1501" s="111" t="n">
        <v>21</v>
      </c>
      <c r="AO1501" s="111">
        <f>H1501*1</f>
      </c>
      <c r="AP1501" s="111">
        <f>H1501*(1-1)</f>
      </c>
      <c r="AQ1501" s="153" t="s">
        <v>173</v>
      </c>
      <c r="AV1501" s="111">
        <f>AW1501+AX1501</f>
      </c>
      <c r="AW1501" s="111">
        <f>G1501*AO1501</f>
      </c>
      <c r="AX1501" s="111">
        <f>G1501*AP1501</f>
      </c>
      <c r="AY1501" s="153" t="s">
        <v>2278</v>
      </c>
      <c r="AZ1501" s="153" t="s">
        <v>1999</v>
      </c>
      <c r="BA1501" s="132" t="s">
        <v>137</v>
      </c>
      <c r="BC1501" s="111">
        <f>AW1501+AX1501</f>
      </c>
      <c r="BD1501" s="111">
        <f>H1501/(100-BE1501)*100</f>
      </c>
      <c r="BE1501" s="111" t="n">
        <v>0</v>
      </c>
      <c r="BF1501" s="111">
        <f>1501</f>
      </c>
      <c r="BH1501" s="111">
        <f>G1501*AO1501</f>
      </c>
      <c r="BI1501" s="111">
        <f>G1501*AP1501</f>
      </c>
      <c r="BJ1501" s="111">
        <f>G1501*H1501</f>
      </c>
      <c r="BK1501" s="111"/>
      <c r="BL1501" s="111" t="n">
        <v>767</v>
      </c>
      <c r="BW1501" s="111" t="n">
        <v>21</v>
      </c>
      <c r="BX1501" s="14" t="s">
        <v>2445</v>
      </c>
    </row>
    <row r="1502">
      <c r="A1502" s="154"/>
      <c r="B1502" s="155"/>
      <c r="C1502" s="155"/>
      <c r="D1502" s="156" t="s">
        <v>140</v>
      </c>
      <c r="E1502" s="156" t="s">
        <v>2446</v>
      </c>
      <c r="F1502" s="155"/>
      <c r="G1502" s="157" t="n">
        <v>2</v>
      </c>
      <c r="H1502" s="155"/>
      <c r="I1502" s="155"/>
      <c r="J1502" s="155"/>
      <c r="K1502" s="146"/>
    </row>
    <row r="1503">
      <c r="A1503" s="9" t="s">
        <v>2447</v>
      </c>
      <c r="B1503" s="10" t="s">
        <v>84</v>
      </c>
      <c r="C1503" s="10" t="s">
        <v>2448</v>
      </c>
      <c r="D1503" s="14" t="s">
        <v>2449</v>
      </c>
      <c r="E1503" s="10"/>
      <c r="F1503" s="10" t="s">
        <v>2277</v>
      </c>
      <c r="G1503" s="111">
        <f>'Stavební rozpočet'!G1503</f>
      </c>
      <c r="H1503" s="111">
        <f>'Stavební rozpočet'!H1503</f>
      </c>
      <c r="I1503" s="111">
        <f>G1503*H1503</f>
      </c>
      <c r="J1503" s="153" t="s">
        <v>134</v>
      </c>
      <c r="K1503" s="146"/>
      <c r="Z1503" s="111">
        <f>IF(AQ1503="5",BJ1503,0)</f>
      </c>
      <c r="AB1503" s="111">
        <f>IF(AQ1503="1",BH1503,0)</f>
      </c>
      <c r="AC1503" s="111">
        <f>IF(AQ1503="1",BI1503,0)</f>
      </c>
      <c r="AD1503" s="111">
        <f>IF(AQ1503="7",BH1503,0)</f>
      </c>
      <c r="AE1503" s="111">
        <f>IF(AQ1503="7",BI1503,0)</f>
      </c>
      <c r="AF1503" s="111">
        <f>IF(AQ1503="2",BH1503,0)</f>
      </c>
      <c r="AG1503" s="111">
        <f>IF(AQ1503="2",BI1503,0)</f>
      </c>
      <c r="AH1503" s="111">
        <f>IF(AQ1503="0",BJ1503,0)</f>
      </c>
      <c r="AI1503" s="132" t="s">
        <v>84</v>
      </c>
      <c r="AJ1503" s="111">
        <f>IF(AN1503=0,I1503,0)</f>
      </c>
      <c r="AK1503" s="111">
        <f>IF(AN1503=12,I1503,0)</f>
      </c>
      <c r="AL1503" s="111">
        <f>IF(AN1503=21,I1503,0)</f>
      </c>
      <c r="AN1503" s="111" t="n">
        <v>21</v>
      </c>
      <c r="AO1503" s="111">
        <f>H1503*0.078505455</f>
      </c>
      <c r="AP1503" s="111">
        <f>H1503*(1-0.078505455)</f>
      </c>
      <c r="AQ1503" s="153" t="s">
        <v>173</v>
      </c>
      <c r="AV1503" s="111">
        <f>AW1503+AX1503</f>
      </c>
      <c r="AW1503" s="111">
        <f>G1503*AO1503</f>
      </c>
      <c r="AX1503" s="111">
        <f>G1503*AP1503</f>
      </c>
      <c r="AY1503" s="153" t="s">
        <v>2278</v>
      </c>
      <c r="AZ1503" s="153" t="s">
        <v>1999</v>
      </c>
      <c r="BA1503" s="132" t="s">
        <v>137</v>
      </c>
      <c r="BC1503" s="111">
        <f>AW1503+AX1503</f>
      </c>
      <c r="BD1503" s="111">
        <f>H1503/(100-BE1503)*100</f>
      </c>
      <c r="BE1503" s="111" t="n">
        <v>0</v>
      </c>
      <c r="BF1503" s="111">
        <f>1503</f>
      </c>
      <c r="BH1503" s="111">
        <f>G1503*AO1503</f>
      </c>
      <c r="BI1503" s="111">
        <f>G1503*AP1503</f>
      </c>
      <c r="BJ1503" s="111">
        <f>G1503*H1503</f>
      </c>
      <c r="BK1503" s="111"/>
      <c r="BL1503" s="111" t="n">
        <v>767</v>
      </c>
      <c r="BW1503" s="111" t="n">
        <v>21</v>
      </c>
      <c r="BX1503" s="14" t="s">
        <v>2449</v>
      </c>
    </row>
    <row r="1504" customHeight="true" ht="13.5">
      <c r="A1504" s="159"/>
      <c r="C1504" s="160" t="s">
        <v>146</v>
      </c>
      <c r="D1504" s="161" t="s">
        <v>1437</v>
      </c>
      <c r="E1504" s="156"/>
      <c r="F1504" s="156"/>
      <c r="G1504" s="156"/>
      <c r="H1504" s="156"/>
      <c r="I1504" s="156"/>
      <c r="J1504" s="156"/>
      <c r="K1504" s="163"/>
    </row>
    <row r="1505">
      <c r="A1505" s="154"/>
      <c r="B1505" s="155"/>
      <c r="C1505" s="155"/>
      <c r="D1505" s="156" t="s">
        <v>140</v>
      </c>
      <c r="E1505" s="156" t="s">
        <v>2450</v>
      </c>
      <c r="F1505" s="155"/>
      <c r="G1505" s="157" t="n">
        <v>2</v>
      </c>
      <c r="H1505" s="155"/>
      <c r="I1505" s="155"/>
      <c r="J1505" s="155"/>
      <c r="K1505" s="146"/>
    </row>
    <row r="1506">
      <c r="A1506" s="9" t="s">
        <v>2451</v>
      </c>
      <c r="B1506" s="10" t="s">
        <v>84</v>
      </c>
      <c r="C1506" s="10" t="s">
        <v>2452</v>
      </c>
      <c r="D1506" s="14" t="s">
        <v>2453</v>
      </c>
      <c r="E1506" s="10"/>
      <c r="F1506" s="10" t="s">
        <v>145</v>
      </c>
      <c r="G1506" s="111">
        <f>'Stavební rozpočet'!G1506</f>
      </c>
      <c r="H1506" s="111">
        <f>'Stavební rozpočet'!H1506</f>
      </c>
      <c r="I1506" s="111">
        <f>G1506*H1506</f>
      </c>
      <c r="J1506" s="153" t="s">
        <v>134</v>
      </c>
      <c r="K1506" s="146"/>
      <c r="Z1506" s="111">
        <f>IF(AQ1506="5",BJ1506,0)</f>
      </c>
      <c r="AB1506" s="111">
        <f>IF(AQ1506="1",BH1506,0)</f>
      </c>
      <c r="AC1506" s="111">
        <f>IF(AQ1506="1",BI1506,0)</f>
      </c>
      <c r="AD1506" s="111">
        <f>IF(AQ1506="7",BH1506,0)</f>
      </c>
      <c r="AE1506" s="111">
        <f>IF(AQ1506="7",BI1506,0)</f>
      </c>
      <c r="AF1506" s="111">
        <f>IF(AQ1506="2",BH1506,0)</f>
      </c>
      <c r="AG1506" s="111">
        <f>IF(AQ1506="2",BI1506,0)</f>
      </c>
      <c r="AH1506" s="111">
        <f>IF(AQ1506="0",BJ1506,0)</f>
      </c>
      <c r="AI1506" s="132" t="s">
        <v>84</v>
      </c>
      <c r="AJ1506" s="111">
        <f>IF(AN1506=0,I1506,0)</f>
      </c>
      <c r="AK1506" s="111">
        <f>IF(AN1506=12,I1506,0)</f>
      </c>
      <c r="AL1506" s="111">
        <f>IF(AN1506=21,I1506,0)</f>
      </c>
      <c r="AN1506" s="111" t="n">
        <v>21</v>
      </c>
      <c r="AO1506" s="111">
        <f>H1506*1</f>
      </c>
      <c r="AP1506" s="111">
        <f>H1506*(1-1)</f>
      </c>
      <c r="AQ1506" s="153" t="s">
        <v>173</v>
      </c>
      <c r="AV1506" s="111">
        <f>AW1506+AX1506</f>
      </c>
      <c r="AW1506" s="111">
        <f>G1506*AO1506</f>
      </c>
      <c r="AX1506" s="111">
        <f>G1506*AP1506</f>
      </c>
      <c r="AY1506" s="153" t="s">
        <v>2278</v>
      </c>
      <c r="AZ1506" s="153" t="s">
        <v>1999</v>
      </c>
      <c r="BA1506" s="132" t="s">
        <v>137</v>
      </c>
      <c r="BC1506" s="111">
        <f>AW1506+AX1506</f>
      </c>
      <c r="BD1506" s="111">
        <f>H1506/(100-BE1506)*100</f>
      </c>
      <c r="BE1506" s="111" t="n">
        <v>0</v>
      </c>
      <c r="BF1506" s="111">
        <f>1506</f>
      </c>
      <c r="BH1506" s="111">
        <f>G1506*AO1506</f>
      </c>
      <c r="BI1506" s="111">
        <f>G1506*AP1506</f>
      </c>
      <c r="BJ1506" s="111">
        <f>G1506*H1506</f>
      </c>
      <c r="BK1506" s="111"/>
      <c r="BL1506" s="111" t="n">
        <v>767</v>
      </c>
      <c r="BW1506" s="111" t="n">
        <v>21</v>
      </c>
      <c r="BX1506" s="14" t="s">
        <v>2453</v>
      </c>
    </row>
    <row r="1507">
      <c r="A1507" s="154"/>
      <c r="B1507" s="155"/>
      <c r="C1507" s="155"/>
      <c r="D1507" s="156" t="s">
        <v>2454</v>
      </c>
      <c r="E1507" s="156" t="s">
        <v>2455</v>
      </c>
      <c r="F1507" s="155"/>
      <c r="G1507" s="157" t="n">
        <v>1.7575</v>
      </c>
      <c r="H1507" s="155"/>
      <c r="I1507" s="155"/>
      <c r="J1507" s="155"/>
      <c r="K1507" s="146"/>
    </row>
    <row r="1508">
      <c r="A1508" s="9" t="s">
        <v>2456</v>
      </c>
      <c r="B1508" s="10" t="s">
        <v>84</v>
      </c>
      <c r="C1508" s="10" t="s">
        <v>2457</v>
      </c>
      <c r="D1508" s="14" t="s">
        <v>2458</v>
      </c>
      <c r="E1508" s="10"/>
      <c r="F1508" s="10" t="s">
        <v>145</v>
      </c>
      <c r="G1508" s="111">
        <f>'Stavební rozpočet'!G1508</f>
      </c>
      <c r="H1508" s="111">
        <f>'Stavební rozpočet'!H1508</f>
      </c>
      <c r="I1508" s="111">
        <f>G1508*H1508</f>
      </c>
      <c r="J1508" s="153" t="s">
        <v>134</v>
      </c>
      <c r="K1508" s="146"/>
      <c r="Z1508" s="111">
        <f>IF(AQ1508="5",BJ1508,0)</f>
      </c>
      <c r="AB1508" s="111">
        <f>IF(AQ1508="1",BH1508,0)</f>
      </c>
      <c r="AC1508" s="111">
        <f>IF(AQ1508="1",BI1508,0)</f>
      </c>
      <c r="AD1508" s="111">
        <f>IF(AQ1508="7",BH1508,0)</f>
      </c>
      <c r="AE1508" s="111">
        <f>IF(AQ1508="7",BI1508,0)</f>
      </c>
      <c r="AF1508" s="111">
        <f>IF(AQ1508="2",BH1508,0)</f>
      </c>
      <c r="AG1508" s="111">
        <f>IF(AQ1508="2",BI1508,0)</f>
      </c>
      <c r="AH1508" s="111">
        <f>IF(AQ1508="0",BJ1508,0)</f>
      </c>
      <c r="AI1508" s="132" t="s">
        <v>84</v>
      </c>
      <c r="AJ1508" s="111">
        <f>IF(AN1508=0,I1508,0)</f>
      </c>
      <c r="AK1508" s="111">
        <f>IF(AN1508=12,I1508,0)</f>
      </c>
      <c r="AL1508" s="111">
        <f>IF(AN1508=21,I1508,0)</f>
      </c>
      <c r="AN1508" s="111" t="n">
        <v>21</v>
      </c>
      <c r="AO1508" s="111">
        <f>H1508*0.091253846</f>
      </c>
      <c r="AP1508" s="111">
        <f>H1508*(1-0.091253846)</f>
      </c>
      <c r="AQ1508" s="153" t="s">
        <v>173</v>
      </c>
      <c r="AV1508" s="111">
        <f>AW1508+AX1508</f>
      </c>
      <c r="AW1508" s="111">
        <f>G1508*AO1508</f>
      </c>
      <c r="AX1508" s="111">
        <f>G1508*AP1508</f>
      </c>
      <c r="AY1508" s="153" t="s">
        <v>2278</v>
      </c>
      <c r="AZ1508" s="153" t="s">
        <v>1999</v>
      </c>
      <c r="BA1508" s="132" t="s">
        <v>137</v>
      </c>
      <c r="BC1508" s="111">
        <f>AW1508+AX1508</f>
      </c>
      <c r="BD1508" s="111">
        <f>H1508/(100-BE1508)*100</f>
      </c>
      <c r="BE1508" s="111" t="n">
        <v>0</v>
      </c>
      <c r="BF1508" s="111">
        <f>1508</f>
      </c>
      <c r="BH1508" s="111">
        <f>G1508*AO1508</f>
      </c>
      <c r="BI1508" s="111">
        <f>G1508*AP1508</f>
      </c>
      <c r="BJ1508" s="111">
        <f>G1508*H1508</f>
      </c>
      <c r="BK1508" s="111"/>
      <c r="BL1508" s="111" t="n">
        <v>767</v>
      </c>
      <c r="BW1508" s="111" t="n">
        <v>21</v>
      </c>
      <c r="BX1508" s="14" t="s">
        <v>2458</v>
      </c>
    </row>
    <row r="1509" customHeight="true" ht="13.5">
      <c r="A1509" s="159"/>
      <c r="C1509" s="160" t="s">
        <v>146</v>
      </c>
      <c r="D1509" s="161" t="s">
        <v>640</v>
      </c>
      <c r="E1509" s="156"/>
      <c r="F1509" s="156"/>
      <c r="G1509" s="156"/>
      <c r="H1509" s="156"/>
      <c r="I1509" s="156"/>
      <c r="J1509" s="156"/>
      <c r="K1509" s="163"/>
    </row>
    <row r="1510">
      <c r="A1510" s="154"/>
      <c r="B1510" s="155"/>
      <c r="C1510" s="155"/>
      <c r="D1510" s="156" t="s">
        <v>2459</v>
      </c>
      <c r="E1510" s="156" t="s">
        <v>2460</v>
      </c>
      <c r="F1510" s="155"/>
      <c r="G1510" s="157" t="n">
        <v>2.975</v>
      </c>
      <c r="H1510" s="155"/>
      <c r="I1510" s="155"/>
      <c r="J1510" s="155"/>
      <c r="K1510" s="146"/>
    </row>
    <row r="1511">
      <c r="A1511" s="9" t="s">
        <v>2461</v>
      </c>
      <c r="B1511" s="10" t="s">
        <v>84</v>
      </c>
      <c r="C1511" s="10" t="s">
        <v>2462</v>
      </c>
      <c r="D1511" s="14" t="s">
        <v>2463</v>
      </c>
      <c r="E1511" s="10"/>
      <c r="F1511" s="10" t="s">
        <v>1962</v>
      </c>
      <c r="G1511" s="111">
        <f>'Stavební rozpočet'!G1511</f>
      </c>
      <c r="H1511" s="111">
        <f>'Stavební rozpočet'!H1511</f>
      </c>
      <c r="I1511" s="111">
        <f>G1511*H1511</f>
      </c>
      <c r="J1511" s="153" t="s">
        <v>134</v>
      </c>
      <c r="K1511" s="146"/>
      <c r="Z1511" s="111">
        <f>IF(AQ1511="5",BJ1511,0)</f>
      </c>
      <c r="AB1511" s="111">
        <f>IF(AQ1511="1",BH1511,0)</f>
      </c>
      <c r="AC1511" s="111">
        <f>IF(AQ1511="1",BI1511,0)</f>
      </c>
      <c r="AD1511" s="111">
        <f>IF(AQ1511="7",BH1511,0)</f>
      </c>
      <c r="AE1511" s="111">
        <f>IF(AQ1511="7",BI1511,0)</f>
      </c>
      <c r="AF1511" s="111">
        <f>IF(AQ1511="2",BH1511,0)</f>
      </c>
      <c r="AG1511" s="111">
        <f>IF(AQ1511="2",BI1511,0)</f>
      </c>
      <c r="AH1511" s="111">
        <f>IF(AQ1511="0",BJ1511,0)</f>
      </c>
      <c r="AI1511" s="132" t="s">
        <v>84</v>
      </c>
      <c r="AJ1511" s="111">
        <f>IF(AN1511=0,I1511,0)</f>
      </c>
      <c r="AK1511" s="111">
        <f>IF(AN1511=12,I1511,0)</f>
      </c>
      <c r="AL1511" s="111">
        <f>IF(AN1511=21,I1511,0)</f>
      </c>
      <c r="AN1511" s="111" t="n">
        <v>21</v>
      </c>
      <c r="AO1511" s="111">
        <f>H1511*0.166281111</f>
      </c>
      <c r="AP1511" s="111">
        <f>H1511*(1-0.166281111)</f>
      </c>
      <c r="AQ1511" s="153" t="s">
        <v>173</v>
      </c>
      <c r="AV1511" s="111">
        <f>AW1511+AX1511</f>
      </c>
      <c r="AW1511" s="111">
        <f>G1511*AO1511</f>
      </c>
      <c r="AX1511" s="111">
        <f>G1511*AP1511</f>
      </c>
      <c r="AY1511" s="153" t="s">
        <v>2278</v>
      </c>
      <c r="AZ1511" s="153" t="s">
        <v>1999</v>
      </c>
      <c r="BA1511" s="132" t="s">
        <v>137</v>
      </c>
      <c r="BC1511" s="111">
        <f>AW1511+AX1511</f>
      </c>
      <c r="BD1511" s="111">
        <f>H1511/(100-BE1511)*100</f>
      </c>
      <c r="BE1511" s="111" t="n">
        <v>0</v>
      </c>
      <c r="BF1511" s="111">
        <f>1511</f>
      </c>
      <c r="BH1511" s="111">
        <f>G1511*AO1511</f>
      </c>
      <c r="BI1511" s="111">
        <f>G1511*AP1511</f>
      </c>
      <c r="BJ1511" s="111">
        <f>G1511*H1511</f>
      </c>
      <c r="BK1511" s="111"/>
      <c r="BL1511" s="111" t="n">
        <v>767</v>
      </c>
      <c r="BW1511" s="111" t="n">
        <v>21</v>
      </c>
      <c r="BX1511" s="14" t="s">
        <v>2463</v>
      </c>
    </row>
    <row r="1512" customHeight="true" ht="13.5">
      <c r="A1512" s="159"/>
      <c r="C1512" s="160" t="s">
        <v>146</v>
      </c>
      <c r="D1512" s="161" t="s">
        <v>1437</v>
      </c>
      <c r="E1512" s="156"/>
      <c r="F1512" s="156"/>
      <c r="G1512" s="156"/>
      <c r="H1512" s="156"/>
      <c r="I1512" s="156"/>
      <c r="J1512" s="156"/>
      <c r="K1512" s="163"/>
    </row>
    <row r="1513">
      <c r="A1513" s="154"/>
      <c r="B1513" s="155"/>
      <c r="C1513" s="155"/>
      <c r="D1513" s="156" t="s">
        <v>130</v>
      </c>
      <c r="E1513" s="156" t="s">
        <v>2464</v>
      </c>
      <c r="F1513" s="155"/>
      <c r="G1513" s="157" t="n">
        <v>1</v>
      </c>
      <c r="H1513" s="155"/>
      <c r="I1513" s="155"/>
      <c r="J1513" s="155"/>
      <c r="K1513" s="146"/>
    </row>
    <row r="1514">
      <c r="A1514" s="9" t="s">
        <v>2465</v>
      </c>
      <c r="B1514" s="10" t="s">
        <v>84</v>
      </c>
      <c r="C1514" s="10" t="s">
        <v>2466</v>
      </c>
      <c r="D1514" s="14" t="s">
        <v>2467</v>
      </c>
      <c r="E1514" s="10"/>
      <c r="F1514" s="10" t="s">
        <v>133</v>
      </c>
      <c r="G1514" s="111">
        <f>'Stavební rozpočet'!G1514</f>
      </c>
      <c r="H1514" s="111">
        <f>'Stavební rozpočet'!H1514</f>
      </c>
      <c r="I1514" s="111">
        <f>G1514*H1514</f>
      </c>
      <c r="J1514" s="153" t="s">
        <v>134</v>
      </c>
      <c r="K1514" s="146"/>
      <c r="Z1514" s="111">
        <f>IF(AQ1514="5",BJ1514,0)</f>
      </c>
      <c r="AB1514" s="111">
        <f>IF(AQ1514="1",BH1514,0)</f>
      </c>
      <c r="AC1514" s="111">
        <f>IF(AQ1514="1",BI1514,0)</f>
      </c>
      <c r="AD1514" s="111">
        <f>IF(AQ1514="7",BH1514,0)</f>
      </c>
      <c r="AE1514" s="111">
        <f>IF(AQ1514="7",BI1514,0)</f>
      </c>
      <c r="AF1514" s="111">
        <f>IF(AQ1514="2",BH1514,0)</f>
      </c>
      <c r="AG1514" s="111">
        <f>IF(AQ1514="2",BI1514,0)</f>
      </c>
      <c r="AH1514" s="111">
        <f>IF(AQ1514="0",BJ1514,0)</f>
      </c>
      <c r="AI1514" s="132" t="s">
        <v>84</v>
      </c>
      <c r="AJ1514" s="111">
        <f>IF(AN1514=0,I1514,0)</f>
      </c>
      <c r="AK1514" s="111">
        <f>IF(AN1514=12,I1514,0)</f>
      </c>
      <c r="AL1514" s="111">
        <f>IF(AN1514=21,I1514,0)</f>
      </c>
      <c r="AN1514" s="111" t="n">
        <v>21</v>
      </c>
      <c r="AO1514" s="111">
        <f>H1514*0</f>
      </c>
      <c r="AP1514" s="111">
        <f>H1514*(1-0)</f>
      </c>
      <c r="AQ1514" s="153" t="s">
        <v>173</v>
      </c>
      <c r="AV1514" s="111">
        <f>AW1514+AX1514</f>
      </c>
      <c r="AW1514" s="111">
        <f>G1514*AO1514</f>
      </c>
      <c r="AX1514" s="111">
        <f>G1514*AP1514</f>
      </c>
      <c r="AY1514" s="153" t="s">
        <v>2278</v>
      </c>
      <c r="AZ1514" s="153" t="s">
        <v>1999</v>
      </c>
      <c r="BA1514" s="132" t="s">
        <v>137</v>
      </c>
      <c r="BC1514" s="111">
        <f>AW1514+AX1514</f>
      </c>
      <c r="BD1514" s="111">
        <f>H1514/(100-BE1514)*100</f>
      </c>
      <c r="BE1514" s="111" t="n">
        <v>0</v>
      </c>
      <c r="BF1514" s="111">
        <f>1514</f>
      </c>
      <c r="BH1514" s="111">
        <f>G1514*AO1514</f>
      </c>
      <c r="BI1514" s="111">
        <f>G1514*AP1514</f>
      </c>
      <c r="BJ1514" s="111">
        <f>G1514*H1514</f>
      </c>
      <c r="BK1514" s="111"/>
      <c r="BL1514" s="111" t="n">
        <v>767</v>
      </c>
      <c r="BW1514" s="111" t="n">
        <v>21</v>
      </c>
      <c r="BX1514" s="14" t="s">
        <v>2467</v>
      </c>
    </row>
    <row r="1515" customHeight="true" ht="13.5">
      <c r="A1515" s="159"/>
      <c r="C1515" s="160" t="s">
        <v>146</v>
      </c>
      <c r="D1515" s="161" t="s">
        <v>2468</v>
      </c>
      <c r="E1515" s="156"/>
      <c r="F1515" s="156"/>
      <c r="G1515" s="156"/>
      <c r="H1515" s="156"/>
      <c r="I1515" s="156"/>
      <c r="J1515" s="156"/>
      <c r="K1515" s="163"/>
    </row>
    <row r="1516">
      <c r="A1516" s="154"/>
      <c r="B1516" s="155"/>
      <c r="C1516" s="155"/>
      <c r="D1516" s="156" t="s">
        <v>130</v>
      </c>
      <c r="E1516" s="156" t="s">
        <v>1437</v>
      </c>
      <c r="F1516" s="155"/>
      <c r="G1516" s="157" t="n">
        <v>1</v>
      </c>
      <c r="H1516" s="155"/>
      <c r="I1516" s="155"/>
      <c r="J1516" s="155"/>
      <c r="K1516" s="146"/>
    </row>
    <row r="1517">
      <c r="A1517" s="9" t="s">
        <v>1454</v>
      </c>
      <c r="B1517" s="10" t="s">
        <v>84</v>
      </c>
      <c r="C1517" s="10" t="s">
        <v>2424</v>
      </c>
      <c r="D1517" s="14" t="s">
        <v>2469</v>
      </c>
      <c r="E1517" s="10"/>
      <c r="F1517" s="10" t="s">
        <v>2426</v>
      </c>
      <c r="G1517" s="111">
        <f>'Stavební rozpočet'!G1517</f>
      </c>
      <c r="H1517" s="111">
        <f>'Stavební rozpočet'!H1517</f>
      </c>
      <c r="I1517" s="111">
        <f>G1517*H1517</f>
      </c>
      <c r="J1517" s="153" t="s">
        <v>134</v>
      </c>
      <c r="K1517" s="146"/>
      <c r="Z1517" s="111">
        <f>IF(AQ1517="5",BJ1517,0)</f>
      </c>
      <c r="AB1517" s="111">
        <f>IF(AQ1517="1",BH1517,0)</f>
      </c>
      <c r="AC1517" s="111">
        <f>IF(AQ1517="1",BI1517,0)</f>
      </c>
      <c r="AD1517" s="111">
        <f>IF(AQ1517="7",BH1517,0)</f>
      </c>
      <c r="AE1517" s="111">
        <f>IF(AQ1517="7",BI1517,0)</f>
      </c>
      <c r="AF1517" s="111">
        <f>IF(AQ1517="2",BH1517,0)</f>
      </c>
      <c r="AG1517" s="111">
        <f>IF(AQ1517="2",BI1517,0)</f>
      </c>
      <c r="AH1517" s="111">
        <f>IF(AQ1517="0",BJ1517,0)</f>
      </c>
      <c r="AI1517" s="132" t="s">
        <v>84</v>
      </c>
      <c r="AJ1517" s="111">
        <f>IF(AN1517=0,I1517,0)</f>
      </c>
      <c r="AK1517" s="111">
        <f>IF(AN1517=12,I1517,0)</f>
      </c>
      <c r="AL1517" s="111">
        <f>IF(AN1517=21,I1517,0)</f>
      </c>
      <c r="AN1517" s="111" t="n">
        <v>21</v>
      </c>
      <c r="AO1517" s="111">
        <f>H1517*0.565422242</f>
      </c>
      <c r="AP1517" s="111">
        <f>H1517*(1-0.565422242)</f>
      </c>
      <c r="AQ1517" s="153" t="s">
        <v>173</v>
      </c>
      <c r="AV1517" s="111">
        <f>AW1517+AX1517</f>
      </c>
      <c r="AW1517" s="111">
        <f>G1517*AO1517</f>
      </c>
      <c r="AX1517" s="111">
        <f>G1517*AP1517</f>
      </c>
      <c r="AY1517" s="153" t="s">
        <v>2278</v>
      </c>
      <c r="AZ1517" s="153" t="s">
        <v>1999</v>
      </c>
      <c r="BA1517" s="132" t="s">
        <v>137</v>
      </c>
      <c r="BC1517" s="111">
        <f>AW1517+AX1517</f>
      </c>
      <c r="BD1517" s="111">
        <f>H1517/(100-BE1517)*100</f>
      </c>
      <c r="BE1517" s="111" t="n">
        <v>0</v>
      </c>
      <c r="BF1517" s="111">
        <f>1517</f>
      </c>
      <c r="BH1517" s="111">
        <f>G1517*AO1517</f>
      </c>
      <c r="BI1517" s="111">
        <f>G1517*AP1517</f>
      </c>
      <c r="BJ1517" s="111">
        <f>G1517*H1517</f>
      </c>
      <c r="BK1517" s="111"/>
      <c r="BL1517" s="111" t="n">
        <v>767</v>
      </c>
      <c r="BW1517" s="111" t="n">
        <v>21</v>
      </c>
      <c r="BX1517" s="14" t="s">
        <v>2469</v>
      </c>
    </row>
    <row r="1518" customHeight="true" ht="13.5">
      <c r="A1518" s="159"/>
      <c r="C1518" s="160" t="s">
        <v>146</v>
      </c>
      <c r="D1518" s="161" t="s">
        <v>2427</v>
      </c>
      <c r="E1518" s="156"/>
      <c r="F1518" s="156"/>
      <c r="G1518" s="156"/>
      <c r="H1518" s="156"/>
      <c r="I1518" s="156"/>
      <c r="J1518" s="156"/>
      <c r="K1518" s="163"/>
    </row>
    <row r="1519">
      <c r="A1519" s="154"/>
      <c r="B1519" s="155"/>
      <c r="C1519" s="155"/>
      <c r="D1519" s="156" t="s">
        <v>2470</v>
      </c>
      <c r="E1519" s="156" t="s">
        <v>2471</v>
      </c>
      <c r="F1519" s="155"/>
      <c r="G1519" s="157" t="n">
        <v>375.9624</v>
      </c>
      <c r="H1519" s="155"/>
      <c r="I1519" s="155"/>
      <c r="J1519" s="155"/>
      <c r="K1519" s="146"/>
    </row>
    <row r="1520">
      <c r="A1520" s="154"/>
      <c r="B1520" s="155"/>
      <c r="C1520" s="155"/>
      <c r="D1520" s="156" t="s">
        <v>2472</v>
      </c>
      <c r="E1520" s="156" t="s">
        <v>2473</v>
      </c>
      <c r="F1520" s="155"/>
      <c r="G1520" s="157" t="n">
        <v>75.39246</v>
      </c>
      <c r="H1520" s="155"/>
      <c r="I1520" s="155"/>
      <c r="J1520" s="155"/>
      <c r="K1520" s="146"/>
    </row>
    <row r="1521">
      <c r="A1521" s="9" t="s">
        <v>2474</v>
      </c>
      <c r="B1521" s="10" t="s">
        <v>84</v>
      </c>
      <c r="C1521" s="10" t="s">
        <v>2475</v>
      </c>
      <c r="D1521" s="14" t="s">
        <v>2476</v>
      </c>
      <c r="E1521" s="10"/>
      <c r="F1521" s="10" t="s">
        <v>61</v>
      </c>
      <c r="G1521" s="111">
        <f>'Stavební rozpočet'!G1521</f>
      </c>
      <c r="H1521" s="111">
        <f>'Stavební rozpočet'!H1521</f>
      </c>
      <c r="I1521" s="111">
        <f>G1521*H1521</f>
      </c>
      <c r="J1521" s="153" t="s">
        <v>134</v>
      </c>
      <c r="K1521" s="146"/>
      <c r="Z1521" s="111">
        <f>IF(AQ1521="5",BJ1521,0)</f>
      </c>
      <c r="AB1521" s="111">
        <f>IF(AQ1521="1",BH1521,0)</f>
      </c>
      <c r="AC1521" s="111">
        <f>IF(AQ1521="1",BI1521,0)</f>
      </c>
      <c r="AD1521" s="111">
        <f>IF(AQ1521="7",BH1521,0)</f>
      </c>
      <c r="AE1521" s="111">
        <f>IF(AQ1521="7",BI1521,0)</f>
      </c>
      <c r="AF1521" s="111">
        <f>IF(AQ1521="2",BH1521,0)</f>
      </c>
      <c r="AG1521" s="111">
        <f>IF(AQ1521="2",BI1521,0)</f>
      </c>
      <c r="AH1521" s="111">
        <f>IF(AQ1521="0",BJ1521,0)</f>
      </c>
      <c r="AI1521" s="132" t="s">
        <v>84</v>
      </c>
      <c r="AJ1521" s="111">
        <f>IF(AN1521=0,I1521,0)</f>
      </c>
      <c r="AK1521" s="111">
        <f>IF(AN1521=12,I1521,0)</f>
      </c>
      <c r="AL1521" s="111">
        <f>IF(AN1521=21,I1521,0)</f>
      </c>
      <c r="AN1521" s="111" t="n">
        <v>21</v>
      </c>
      <c r="AO1521" s="111">
        <f>H1521*0</f>
      </c>
      <c r="AP1521" s="111">
        <f>H1521*(1-0)</f>
      </c>
      <c r="AQ1521" s="153" t="s">
        <v>156</v>
      </c>
      <c r="AV1521" s="111">
        <f>AW1521+AX1521</f>
      </c>
      <c r="AW1521" s="111">
        <f>G1521*AO1521</f>
      </c>
      <c r="AX1521" s="111">
        <f>G1521*AP1521</f>
      </c>
      <c r="AY1521" s="153" t="s">
        <v>2278</v>
      </c>
      <c r="AZ1521" s="153" t="s">
        <v>1999</v>
      </c>
      <c r="BA1521" s="132" t="s">
        <v>137</v>
      </c>
      <c r="BC1521" s="111">
        <f>AW1521+AX1521</f>
      </c>
      <c r="BD1521" s="111">
        <f>H1521/(100-BE1521)*100</f>
      </c>
      <c r="BE1521" s="111" t="n">
        <v>0</v>
      </c>
      <c r="BF1521" s="111">
        <f>1521</f>
      </c>
      <c r="BH1521" s="111">
        <f>G1521*AO1521</f>
      </c>
      <c r="BI1521" s="111">
        <f>G1521*AP1521</f>
      </c>
      <c r="BJ1521" s="111">
        <f>G1521*H1521</f>
      </c>
      <c r="BK1521" s="111"/>
      <c r="BL1521" s="111" t="n">
        <v>767</v>
      </c>
      <c r="BW1521" s="111" t="n">
        <v>21</v>
      </c>
      <c r="BX1521" s="14" t="s">
        <v>2476</v>
      </c>
    </row>
    <row r="1522">
      <c r="A1522" s="9" t="s">
        <v>2477</v>
      </c>
      <c r="B1522" s="10" t="s">
        <v>84</v>
      </c>
      <c r="C1522" s="10" t="s">
        <v>2478</v>
      </c>
      <c r="D1522" s="14" t="s">
        <v>2479</v>
      </c>
      <c r="E1522" s="10"/>
      <c r="F1522" s="10" t="s">
        <v>61</v>
      </c>
      <c r="G1522" s="111">
        <f>'Stavební rozpočet'!G1522</f>
      </c>
      <c r="H1522" s="111">
        <f>'Stavební rozpočet'!H1522</f>
      </c>
      <c r="I1522" s="111">
        <f>G1522*H1522</f>
      </c>
      <c r="J1522" s="153" t="s">
        <v>134</v>
      </c>
      <c r="K1522" s="146"/>
      <c r="Z1522" s="111">
        <f>IF(AQ1522="5",BJ1522,0)</f>
      </c>
      <c r="AB1522" s="111">
        <f>IF(AQ1522="1",BH1522,0)</f>
      </c>
      <c r="AC1522" s="111">
        <f>IF(AQ1522="1",BI1522,0)</f>
      </c>
      <c r="AD1522" s="111">
        <f>IF(AQ1522="7",BH1522,0)</f>
      </c>
      <c r="AE1522" s="111">
        <f>IF(AQ1522="7",BI1522,0)</f>
      </c>
      <c r="AF1522" s="111">
        <f>IF(AQ1522="2",BH1522,0)</f>
      </c>
      <c r="AG1522" s="111">
        <f>IF(AQ1522="2",BI1522,0)</f>
      </c>
      <c r="AH1522" s="111">
        <f>IF(AQ1522="0",BJ1522,0)</f>
      </c>
      <c r="AI1522" s="132" t="s">
        <v>84</v>
      </c>
      <c r="AJ1522" s="111">
        <f>IF(AN1522=0,I1522,0)</f>
      </c>
      <c r="AK1522" s="111">
        <f>IF(AN1522=12,I1522,0)</f>
      </c>
      <c r="AL1522" s="111">
        <f>IF(AN1522=21,I1522,0)</f>
      </c>
      <c r="AN1522" s="111" t="n">
        <v>21</v>
      </c>
      <c r="AO1522" s="111">
        <f>H1522*0</f>
      </c>
      <c r="AP1522" s="111">
        <f>H1522*(1-0)</f>
      </c>
      <c r="AQ1522" s="153" t="s">
        <v>156</v>
      </c>
      <c r="AV1522" s="111">
        <f>AW1522+AX1522</f>
      </c>
      <c r="AW1522" s="111">
        <f>G1522*AO1522</f>
      </c>
      <c r="AX1522" s="111">
        <f>G1522*AP1522</f>
      </c>
      <c r="AY1522" s="153" t="s">
        <v>2278</v>
      </c>
      <c r="AZ1522" s="153" t="s">
        <v>1999</v>
      </c>
      <c r="BA1522" s="132" t="s">
        <v>137</v>
      </c>
      <c r="BC1522" s="111">
        <f>AW1522+AX1522</f>
      </c>
      <c r="BD1522" s="111">
        <f>H1522/(100-BE1522)*100</f>
      </c>
      <c r="BE1522" s="111" t="n">
        <v>0</v>
      </c>
      <c r="BF1522" s="111">
        <f>1522</f>
      </c>
      <c r="BH1522" s="111">
        <f>G1522*AO1522</f>
      </c>
      <c r="BI1522" s="111">
        <f>G1522*AP1522</f>
      </c>
      <c r="BJ1522" s="111">
        <f>G1522*H1522</f>
      </c>
      <c r="BK1522" s="111"/>
      <c r="BL1522" s="111" t="n">
        <v>767</v>
      </c>
      <c r="BW1522" s="111" t="n">
        <v>21</v>
      </c>
      <c r="BX1522" s="14" t="s">
        <v>2479</v>
      </c>
    </row>
    <row r="1523">
      <c r="A1523" s="147" t="s">
        <v>4</v>
      </c>
      <c r="B1523" s="148" t="s">
        <v>84</v>
      </c>
      <c r="C1523" s="148" t="s">
        <v>2480</v>
      </c>
      <c r="D1523" s="149" t="s">
        <v>2481</v>
      </c>
      <c r="E1523" s="148"/>
      <c r="F1523" s="150" t="s">
        <v>79</v>
      </c>
      <c r="G1523" s="150" t="s">
        <v>79</v>
      </c>
      <c r="H1523" s="150" t="s">
        <v>79</v>
      </c>
      <c r="I1523" s="117">
        <f>SUM(I1524:I1607)</f>
      </c>
      <c r="J1523" s="132" t="s">
        <v>4</v>
      </c>
      <c r="K1523" s="146"/>
      <c r="AI1523" s="132" t="s">
        <v>84</v>
      </c>
      <c r="AS1523" s="117">
        <f>SUM(AJ1524:AJ1607)</f>
      </c>
      <c r="AT1523" s="117">
        <f>SUM(AK1524:AK1607)</f>
      </c>
      <c r="AU1523" s="117">
        <f>SUM(AL1524:AL1607)</f>
      </c>
    </row>
    <row r="1524">
      <c r="A1524" s="9" t="s">
        <v>2482</v>
      </c>
      <c r="B1524" s="10" t="s">
        <v>84</v>
      </c>
      <c r="C1524" s="10" t="s">
        <v>2483</v>
      </c>
      <c r="D1524" s="14" t="s">
        <v>2484</v>
      </c>
      <c r="E1524" s="10"/>
      <c r="F1524" s="10" t="s">
        <v>145</v>
      </c>
      <c r="G1524" s="111">
        <f>'Stavební rozpočet'!G1524</f>
      </c>
      <c r="H1524" s="111">
        <f>'Stavební rozpočet'!H1524</f>
      </c>
      <c r="I1524" s="111">
        <f>G1524*H1524</f>
      </c>
      <c r="J1524" s="153" t="s">
        <v>134</v>
      </c>
      <c r="K1524" s="146"/>
      <c r="Z1524" s="111">
        <f>IF(AQ1524="5",BJ1524,0)</f>
      </c>
      <c r="AB1524" s="111">
        <f>IF(AQ1524="1",BH1524,0)</f>
      </c>
      <c r="AC1524" s="111">
        <f>IF(AQ1524="1",BI1524,0)</f>
      </c>
      <c r="AD1524" s="111">
        <f>IF(AQ1524="7",BH1524,0)</f>
      </c>
      <c r="AE1524" s="111">
        <f>IF(AQ1524="7",BI1524,0)</f>
      </c>
      <c r="AF1524" s="111">
        <f>IF(AQ1524="2",BH1524,0)</f>
      </c>
      <c r="AG1524" s="111">
        <f>IF(AQ1524="2",BI1524,0)</f>
      </c>
      <c r="AH1524" s="111">
        <f>IF(AQ1524="0",BJ1524,0)</f>
      </c>
      <c r="AI1524" s="132" t="s">
        <v>84</v>
      </c>
      <c r="AJ1524" s="111">
        <f>IF(AN1524=0,I1524,0)</f>
      </c>
      <c r="AK1524" s="111">
        <f>IF(AN1524=12,I1524,0)</f>
      </c>
      <c r="AL1524" s="111">
        <f>IF(AN1524=21,I1524,0)</f>
      </c>
      <c r="AN1524" s="111" t="n">
        <v>21</v>
      </c>
      <c r="AO1524" s="111">
        <f>H1524*0</f>
      </c>
      <c r="AP1524" s="111">
        <f>H1524*(1-0)</f>
      </c>
      <c r="AQ1524" s="153" t="s">
        <v>173</v>
      </c>
      <c r="AV1524" s="111">
        <f>AW1524+AX1524</f>
      </c>
      <c r="AW1524" s="111">
        <f>G1524*AO1524</f>
      </c>
      <c r="AX1524" s="111">
        <f>G1524*AP1524</f>
      </c>
      <c r="AY1524" s="153" t="s">
        <v>2485</v>
      </c>
      <c r="AZ1524" s="153" t="s">
        <v>2486</v>
      </c>
      <c r="BA1524" s="132" t="s">
        <v>137</v>
      </c>
      <c r="BC1524" s="111">
        <f>AW1524+AX1524</f>
      </c>
      <c r="BD1524" s="111">
        <f>H1524/(100-BE1524)*100</f>
      </c>
      <c r="BE1524" s="111" t="n">
        <v>0</v>
      </c>
      <c r="BF1524" s="111">
        <f>1524</f>
      </c>
      <c r="BH1524" s="111">
        <f>G1524*AO1524</f>
      </c>
      <c r="BI1524" s="111">
        <f>G1524*AP1524</f>
      </c>
      <c r="BJ1524" s="111">
        <f>G1524*H1524</f>
      </c>
      <c r="BK1524" s="111"/>
      <c r="BL1524" s="111" t="n">
        <v>771</v>
      </c>
      <c r="BW1524" s="111" t="n">
        <v>21</v>
      </c>
      <c r="BX1524" s="14" t="s">
        <v>2484</v>
      </c>
    </row>
    <row r="1525">
      <c r="A1525" s="154"/>
      <c r="B1525" s="155"/>
      <c r="C1525" s="155"/>
      <c r="D1525" s="156" t="s">
        <v>1250</v>
      </c>
      <c r="E1525" s="156" t="s">
        <v>2487</v>
      </c>
      <c r="F1525" s="155"/>
      <c r="G1525" s="157" t="n">
        <v>7.6</v>
      </c>
      <c r="H1525" s="155"/>
      <c r="I1525" s="155"/>
      <c r="J1525" s="155"/>
      <c r="K1525" s="146"/>
    </row>
    <row r="1526">
      <c r="A1526" s="154"/>
      <c r="B1526" s="155"/>
      <c r="C1526" s="155"/>
      <c r="D1526" s="156" t="s">
        <v>1252</v>
      </c>
      <c r="E1526" s="156" t="s">
        <v>2488</v>
      </c>
      <c r="F1526" s="155"/>
      <c r="G1526" s="157" t="n">
        <v>47.3</v>
      </c>
      <c r="H1526" s="155"/>
      <c r="I1526" s="155"/>
      <c r="J1526" s="155"/>
      <c r="K1526" s="146"/>
    </row>
    <row r="1527">
      <c r="A1527" s="9" t="s">
        <v>2489</v>
      </c>
      <c r="B1527" s="10" t="s">
        <v>84</v>
      </c>
      <c r="C1527" s="10" t="s">
        <v>2490</v>
      </c>
      <c r="D1527" s="14" t="s">
        <v>2491</v>
      </c>
      <c r="E1527" s="10"/>
      <c r="F1527" s="10" t="s">
        <v>145</v>
      </c>
      <c r="G1527" s="111">
        <f>'Stavební rozpočet'!G1527</f>
      </c>
      <c r="H1527" s="111">
        <f>'Stavební rozpočet'!H1527</f>
      </c>
      <c r="I1527" s="111">
        <f>G1527*H1527</f>
      </c>
      <c r="J1527" s="153" t="s">
        <v>134</v>
      </c>
      <c r="K1527" s="146"/>
      <c r="Z1527" s="111">
        <f>IF(AQ1527="5",BJ1527,0)</f>
      </c>
      <c r="AB1527" s="111">
        <f>IF(AQ1527="1",BH1527,0)</f>
      </c>
      <c r="AC1527" s="111">
        <f>IF(AQ1527="1",BI1527,0)</f>
      </c>
      <c r="AD1527" s="111">
        <f>IF(AQ1527="7",BH1527,0)</f>
      </c>
      <c r="AE1527" s="111">
        <f>IF(AQ1527="7",BI1527,0)</f>
      </c>
      <c r="AF1527" s="111">
        <f>IF(AQ1527="2",BH1527,0)</f>
      </c>
      <c r="AG1527" s="111">
        <f>IF(AQ1527="2",BI1527,0)</f>
      </c>
      <c r="AH1527" s="111">
        <f>IF(AQ1527="0",BJ1527,0)</f>
      </c>
      <c r="AI1527" s="132" t="s">
        <v>84</v>
      </c>
      <c r="AJ1527" s="111">
        <f>IF(AN1527=0,I1527,0)</f>
      </c>
      <c r="AK1527" s="111">
        <f>IF(AN1527=12,I1527,0)</f>
      </c>
      <c r="AL1527" s="111">
        <f>IF(AN1527=21,I1527,0)</f>
      </c>
      <c r="AN1527" s="111" t="n">
        <v>21</v>
      </c>
      <c r="AO1527" s="111">
        <f>H1527*0.643868521</f>
      </c>
      <c r="AP1527" s="111">
        <f>H1527*(1-0.643868521)</f>
      </c>
      <c r="AQ1527" s="153" t="s">
        <v>173</v>
      </c>
      <c r="AV1527" s="111">
        <f>AW1527+AX1527</f>
      </c>
      <c r="AW1527" s="111">
        <f>G1527*AO1527</f>
      </c>
      <c r="AX1527" s="111">
        <f>G1527*AP1527</f>
      </c>
      <c r="AY1527" s="153" t="s">
        <v>2485</v>
      </c>
      <c r="AZ1527" s="153" t="s">
        <v>2486</v>
      </c>
      <c r="BA1527" s="132" t="s">
        <v>137</v>
      </c>
      <c r="BC1527" s="111">
        <f>AW1527+AX1527</f>
      </c>
      <c r="BD1527" s="111">
        <f>H1527/(100-BE1527)*100</f>
      </c>
      <c r="BE1527" s="111" t="n">
        <v>0</v>
      </c>
      <c r="BF1527" s="111">
        <f>1527</f>
      </c>
      <c r="BH1527" s="111">
        <f>G1527*AO1527</f>
      </c>
      <c r="BI1527" s="111">
        <f>G1527*AP1527</f>
      </c>
      <c r="BJ1527" s="111">
        <f>G1527*H1527</f>
      </c>
      <c r="BK1527" s="111"/>
      <c r="BL1527" s="111" t="n">
        <v>771</v>
      </c>
      <c r="BW1527" s="111" t="n">
        <v>21</v>
      </c>
      <c r="BX1527" s="14" t="s">
        <v>2491</v>
      </c>
    </row>
    <row r="1528" customHeight="true" ht="13.5">
      <c r="A1528" s="159"/>
      <c r="C1528" s="160" t="s">
        <v>146</v>
      </c>
      <c r="D1528" s="161" t="s">
        <v>2492</v>
      </c>
      <c r="E1528" s="156"/>
      <c r="F1528" s="156"/>
      <c r="G1528" s="156"/>
      <c r="H1528" s="156"/>
      <c r="I1528" s="156"/>
      <c r="J1528" s="156"/>
      <c r="K1528" s="163"/>
    </row>
    <row r="1529">
      <c r="A1529" s="154"/>
      <c r="B1529" s="155"/>
      <c r="C1529" s="155"/>
      <c r="D1529" s="156" t="s">
        <v>1250</v>
      </c>
      <c r="E1529" s="156" t="s">
        <v>2487</v>
      </c>
      <c r="F1529" s="155"/>
      <c r="G1529" s="157" t="n">
        <v>7.6</v>
      </c>
      <c r="H1529" s="155"/>
      <c r="I1529" s="155"/>
      <c r="J1529" s="155"/>
      <c r="K1529" s="146"/>
    </row>
    <row r="1530">
      <c r="A1530" s="154"/>
      <c r="B1530" s="155"/>
      <c r="C1530" s="155"/>
      <c r="D1530" s="156" t="s">
        <v>1252</v>
      </c>
      <c r="E1530" s="156" t="s">
        <v>2488</v>
      </c>
      <c r="F1530" s="155"/>
      <c r="G1530" s="157" t="n">
        <v>47.3</v>
      </c>
      <c r="H1530" s="155"/>
      <c r="I1530" s="155"/>
      <c r="J1530" s="155"/>
      <c r="K1530" s="146"/>
    </row>
    <row r="1531">
      <c r="A1531" s="9" t="s">
        <v>2493</v>
      </c>
      <c r="B1531" s="10" t="s">
        <v>84</v>
      </c>
      <c r="C1531" s="10" t="s">
        <v>2494</v>
      </c>
      <c r="D1531" s="14" t="s">
        <v>2495</v>
      </c>
      <c r="E1531" s="10"/>
      <c r="F1531" s="10" t="s">
        <v>145</v>
      </c>
      <c r="G1531" s="111">
        <f>'Stavební rozpočet'!G1531</f>
      </c>
      <c r="H1531" s="111">
        <f>'Stavební rozpočet'!H1531</f>
      </c>
      <c r="I1531" s="111">
        <f>G1531*H1531</f>
      </c>
      <c r="J1531" s="153" t="s">
        <v>134</v>
      </c>
      <c r="K1531" s="146"/>
      <c r="Z1531" s="111">
        <f>IF(AQ1531="5",BJ1531,0)</f>
      </c>
      <c r="AB1531" s="111">
        <f>IF(AQ1531="1",BH1531,0)</f>
      </c>
      <c r="AC1531" s="111">
        <f>IF(AQ1531="1",BI1531,0)</f>
      </c>
      <c r="AD1531" s="111">
        <f>IF(AQ1531="7",BH1531,0)</f>
      </c>
      <c r="AE1531" s="111">
        <f>IF(AQ1531="7",BI1531,0)</f>
      </c>
      <c r="AF1531" s="111">
        <f>IF(AQ1531="2",BH1531,0)</f>
      </c>
      <c r="AG1531" s="111">
        <f>IF(AQ1531="2",BI1531,0)</f>
      </c>
      <c r="AH1531" s="111">
        <f>IF(AQ1531="0",BJ1531,0)</f>
      </c>
      <c r="AI1531" s="132" t="s">
        <v>84</v>
      </c>
      <c r="AJ1531" s="111">
        <f>IF(AN1531=0,I1531,0)</f>
      </c>
      <c r="AK1531" s="111">
        <f>IF(AN1531=12,I1531,0)</f>
      </c>
      <c r="AL1531" s="111">
        <f>IF(AN1531=21,I1531,0)</f>
      </c>
      <c r="AN1531" s="111" t="n">
        <v>21</v>
      </c>
      <c r="AO1531" s="111">
        <f>H1531*0</f>
      </c>
      <c r="AP1531" s="111">
        <f>H1531*(1-0)</f>
      </c>
      <c r="AQ1531" s="153" t="s">
        <v>173</v>
      </c>
      <c r="AV1531" s="111">
        <f>AW1531+AX1531</f>
      </c>
      <c r="AW1531" s="111">
        <f>G1531*AO1531</f>
      </c>
      <c r="AX1531" s="111">
        <f>G1531*AP1531</f>
      </c>
      <c r="AY1531" s="153" t="s">
        <v>2485</v>
      </c>
      <c r="AZ1531" s="153" t="s">
        <v>2486</v>
      </c>
      <c r="BA1531" s="132" t="s">
        <v>137</v>
      </c>
      <c r="BC1531" s="111">
        <f>AW1531+AX1531</f>
      </c>
      <c r="BD1531" s="111">
        <f>H1531/(100-BE1531)*100</f>
      </c>
      <c r="BE1531" s="111" t="n">
        <v>0</v>
      </c>
      <c r="BF1531" s="111">
        <f>1531</f>
      </c>
      <c r="BH1531" s="111">
        <f>G1531*AO1531</f>
      </c>
      <c r="BI1531" s="111">
        <f>G1531*AP1531</f>
      </c>
      <c r="BJ1531" s="111">
        <f>G1531*H1531</f>
      </c>
      <c r="BK1531" s="111"/>
      <c r="BL1531" s="111" t="n">
        <v>771</v>
      </c>
      <c r="BW1531" s="111" t="n">
        <v>21</v>
      </c>
      <c r="BX1531" s="14" t="s">
        <v>2495</v>
      </c>
    </row>
    <row r="1532" customHeight="true" ht="13.5">
      <c r="A1532" s="159"/>
      <c r="C1532" s="160" t="s">
        <v>146</v>
      </c>
      <c r="D1532" s="161" t="s">
        <v>2496</v>
      </c>
      <c r="E1532" s="156"/>
      <c r="F1532" s="156"/>
      <c r="G1532" s="156"/>
      <c r="H1532" s="156"/>
      <c r="I1532" s="156"/>
      <c r="J1532" s="156"/>
      <c r="K1532" s="163"/>
    </row>
    <row r="1533">
      <c r="A1533" s="154"/>
      <c r="B1533" s="155"/>
      <c r="C1533" s="155"/>
      <c r="D1533" s="156" t="s">
        <v>1250</v>
      </c>
      <c r="E1533" s="156" t="s">
        <v>2487</v>
      </c>
      <c r="F1533" s="155"/>
      <c r="G1533" s="157" t="n">
        <v>7.6</v>
      </c>
      <c r="H1533" s="155"/>
      <c r="I1533" s="155"/>
      <c r="J1533" s="155"/>
      <c r="K1533" s="146"/>
    </row>
    <row r="1534">
      <c r="A1534" s="154"/>
      <c r="B1534" s="155"/>
      <c r="C1534" s="155"/>
      <c r="D1534" s="156" t="s">
        <v>1252</v>
      </c>
      <c r="E1534" s="156" t="s">
        <v>2488</v>
      </c>
      <c r="F1534" s="155"/>
      <c r="G1534" s="157" t="n">
        <v>47.3</v>
      </c>
      <c r="H1534" s="155"/>
      <c r="I1534" s="155"/>
      <c r="J1534" s="155"/>
      <c r="K1534" s="146"/>
    </row>
    <row r="1535">
      <c r="A1535" s="9" t="s">
        <v>2497</v>
      </c>
      <c r="B1535" s="10" t="s">
        <v>84</v>
      </c>
      <c r="C1535" s="10" t="s">
        <v>2498</v>
      </c>
      <c r="D1535" s="14" t="s">
        <v>2499</v>
      </c>
      <c r="E1535" s="10"/>
      <c r="F1535" s="10" t="s">
        <v>2426</v>
      </c>
      <c r="G1535" s="111">
        <f>'Stavební rozpočet'!G1535</f>
      </c>
      <c r="H1535" s="111">
        <f>'Stavební rozpočet'!H1535</f>
      </c>
      <c r="I1535" s="111">
        <f>G1535*H1535</f>
      </c>
      <c r="J1535" s="153" t="s">
        <v>134</v>
      </c>
      <c r="K1535" s="146"/>
      <c r="Z1535" s="111">
        <f>IF(AQ1535="5",BJ1535,0)</f>
      </c>
      <c r="AB1535" s="111">
        <f>IF(AQ1535="1",BH1535,0)</f>
      </c>
      <c r="AC1535" s="111">
        <f>IF(AQ1535="1",BI1535,0)</f>
      </c>
      <c r="AD1535" s="111">
        <f>IF(AQ1535="7",BH1535,0)</f>
      </c>
      <c r="AE1535" s="111">
        <f>IF(AQ1535="7",BI1535,0)</f>
      </c>
      <c r="AF1535" s="111">
        <f>IF(AQ1535="2",BH1535,0)</f>
      </c>
      <c r="AG1535" s="111">
        <f>IF(AQ1535="2",BI1535,0)</f>
      </c>
      <c r="AH1535" s="111">
        <f>IF(AQ1535="0",BJ1535,0)</f>
      </c>
      <c r="AI1535" s="132" t="s">
        <v>84</v>
      </c>
      <c r="AJ1535" s="111">
        <f>IF(AN1535=0,I1535,0)</f>
      </c>
      <c r="AK1535" s="111">
        <f>IF(AN1535=12,I1535,0)</f>
      </c>
      <c r="AL1535" s="111">
        <f>IF(AN1535=21,I1535,0)</f>
      </c>
      <c r="AN1535" s="111" t="n">
        <v>21</v>
      </c>
      <c r="AO1535" s="111">
        <f>H1535*1</f>
      </c>
      <c r="AP1535" s="111">
        <f>H1535*(1-1)</f>
      </c>
      <c r="AQ1535" s="153" t="s">
        <v>173</v>
      </c>
      <c r="AV1535" s="111">
        <f>AW1535+AX1535</f>
      </c>
      <c r="AW1535" s="111">
        <f>G1535*AO1535</f>
      </c>
      <c r="AX1535" s="111">
        <f>G1535*AP1535</f>
      </c>
      <c r="AY1535" s="153" t="s">
        <v>2485</v>
      </c>
      <c r="AZ1535" s="153" t="s">
        <v>2486</v>
      </c>
      <c r="BA1535" s="132" t="s">
        <v>137</v>
      </c>
      <c r="BC1535" s="111">
        <f>AW1535+AX1535</f>
      </c>
      <c r="BD1535" s="111">
        <f>H1535/(100-BE1535)*100</f>
      </c>
      <c r="BE1535" s="111" t="n">
        <v>0</v>
      </c>
      <c r="BF1535" s="111">
        <f>1535</f>
      </c>
      <c r="BH1535" s="111">
        <f>G1535*AO1535</f>
      </c>
      <c r="BI1535" s="111">
        <f>G1535*AP1535</f>
      </c>
      <c r="BJ1535" s="111">
        <f>G1535*H1535</f>
      </c>
      <c r="BK1535" s="111"/>
      <c r="BL1535" s="111" t="n">
        <v>771</v>
      </c>
      <c r="BW1535" s="111" t="n">
        <v>21</v>
      </c>
      <c r="BX1535" s="14" t="s">
        <v>2499</v>
      </c>
    </row>
    <row r="1536">
      <c r="A1536" s="154"/>
      <c r="B1536" s="155"/>
      <c r="C1536" s="155"/>
      <c r="D1536" s="156" t="s">
        <v>4</v>
      </c>
      <c r="E1536" s="156" t="s">
        <v>2500</v>
      </c>
      <c r="F1536" s="155"/>
      <c r="G1536" s="157" t="n">
        <v>0</v>
      </c>
      <c r="H1536" s="155"/>
      <c r="I1536" s="155"/>
      <c r="J1536" s="155"/>
      <c r="K1536" s="146"/>
    </row>
    <row r="1537">
      <c r="A1537" s="154"/>
      <c r="B1537" s="155"/>
      <c r="C1537" s="155"/>
      <c r="D1537" s="156" t="s">
        <v>2501</v>
      </c>
      <c r="E1537" s="156" t="s">
        <v>1730</v>
      </c>
      <c r="F1537" s="155"/>
      <c r="G1537" s="157" t="n">
        <v>32.94</v>
      </c>
      <c r="H1537" s="155"/>
      <c r="I1537" s="155"/>
      <c r="J1537" s="155"/>
      <c r="K1537" s="146"/>
    </row>
    <row r="1538">
      <c r="A1538" s="154"/>
      <c r="B1538" s="155"/>
      <c r="C1538" s="155"/>
      <c r="D1538" s="156" t="s">
        <v>2502</v>
      </c>
      <c r="E1538" s="156" t="s">
        <v>2487</v>
      </c>
      <c r="F1538" s="155"/>
      <c r="G1538" s="157" t="n">
        <v>45.6</v>
      </c>
      <c r="H1538" s="155"/>
      <c r="I1538" s="155"/>
      <c r="J1538" s="155"/>
      <c r="K1538" s="146"/>
    </row>
    <row r="1539">
      <c r="A1539" s="154"/>
      <c r="B1539" s="155"/>
      <c r="C1539" s="155"/>
      <c r="D1539" s="156" t="s">
        <v>2503</v>
      </c>
      <c r="E1539" s="156" t="s">
        <v>2488</v>
      </c>
      <c r="F1539" s="155"/>
      <c r="G1539" s="157" t="n">
        <v>283.8</v>
      </c>
      <c r="H1539" s="155"/>
      <c r="I1539" s="155"/>
      <c r="J1539" s="155"/>
      <c r="K1539" s="146"/>
    </row>
    <row r="1540">
      <c r="A1540" s="9" t="s">
        <v>2504</v>
      </c>
      <c r="B1540" s="10" t="s">
        <v>84</v>
      </c>
      <c r="C1540" s="10" t="s">
        <v>2505</v>
      </c>
      <c r="D1540" s="14" t="s">
        <v>2506</v>
      </c>
      <c r="E1540" s="10"/>
      <c r="F1540" s="10" t="s">
        <v>145</v>
      </c>
      <c r="G1540" s="111">
        <f>'Stavební rozpočet'!G1540</f>
      </c>
      <c r="H1540" s="111">
        <f>'Stavební rozpočet'!H1540</f>
      </c>
      <c r="I1540" s="111">
        <f>G1540*H1540</f>
      </c>
      <c r="J1540" s="153" t="s">
        <v>134</v>
      </c>
      <c r="K1540" s="146"/>
      <c r="Z1540" s="111">
        <f>IF(AQ1540="5",BJ1540,0)</f>
      </c>
      <c r="AB1540" s="111">
        <f>IF(AQ1540="1",BH1540,0)</f>
      </c>
      <c r="AC1540" s="111">
        <f>IF(AQ1540="1",BI1540,0)</f>
      </c>
      <c r="AD1540" s="111">
        <f>IF(AQ1540="7",BH1540,0)</f>
      </c>
      <c r="AE1540" s="111">
        <f>IF(AQ1540="7",BI1540,0)</f>
      </c>
      <c r="AF1540" s="111">
        <f>IF(AQ1540="2",BH1540,0)</f>
      </c>
      <c r="AG1540" s="111">
        <f>IF(AQ1540="2",BI1540,0)</f>
      </c>
      <c r="AH1540" s="111">
        <f>IF(AQ1540="0",BJ1540,0)</f>
      </c>
      <c r="AI1540" s="132" t="s">
        <v>84</v>
      </c>
      <c r="AJ1540" s="111">
        <f>IF(AN1540=0,I1540,0)</f>
      </c>
      <c r="AK1540" s="111">
        <f>IF(AN1540=12,I1540,0)</f>
      </c>
      <c r="AL1540" s="111">
        <f>IF(AN1540=21,I1540,0)</f>
      </c>
      <c r="AN1540" s="111" t="n">
        <v>21</v>
      </c>
      <c r="AO1540" s="111">
        <f>H1540*0</f>
      </c>
      <c r="AP1540" s="111">
        <f>H1540*(1-0)</f>
      </c>
      <c r="AQ1540" s="153" t="s">
        <v>173</v>
      </c>
      <c r="AV1540" s="111">
        <f>AW1540+AX1540</f>
      </c>
      <c r="AW1540" s="111">
        <f>G1540*AO1540</f>
      </c>
      <c r="AX1540" s="111">
        <f>G1540*AP1540</f>
      </c>
      <c r="AY1540" s="153" t="s">
        <v>2485</v>
      </c>
      <c r="AZ1540" s="153" t="s">
        <v>2486</v>
      </c>
      <c r="BA1540" s="132" t="s">
        <v>137</v>
      </c>
      <c r="BC1540" s="111">
        <f>AW1540+AX1540</f>
      </c>
      <c r="BD1540" s="111">
        <f>H1540/(100-BE1540)*100</f>
      </c>
      <c r="BE1540" s="111" t="n">
        <v>0</v>
      </c>
      <c r="BF1540" s="111">
        <f>1540</f>
      </c>
      <c r="BH1540" s="111">
        <f>G1540*AO1540</f>
      </c>
      <c r="BI1540" s="111">
        <f>G1540*AP1540</f>
      </c>
      <c r="BJ1540" s="111">
        <f>G1540*H1540</f>
      </c>
      <c r="BK1540" s="111"/>
      <c r="BL1540" s="111" t="n">
        <v>771</v>
      </c>
      <c r="BW1540" s="111" t="n">
        <v>21</v>
      </c>
      <c r="BX1540" s="14" t="s">
        <v>2506</v>
      </c>
    </row>
    <row r="1541" customHeight="true" ht="13.5">
      <c r="A1541" s="159"/>
      <c r="C1541" s="160" t="s">
        <v>146</v>
      </c>
      <c r="D1541" s="161" t="s">
        <v>2191</v>
      </c>
      <c r="E1541" s="156"/>
      <c r="F1541" s="156"/>
      <c r="G1541" s="156"/>
      <c r="H1541" s="156"/>
      <c r="I1541" s="156"/>
      <c r="J1541" s="156"/>
      <c r="K1541" s="163"/>
    </row>
    <row r="1542">
      <c r="A1542" s="154"/>
      <c r="B1542" s="155"/>
      <c r="C1542" s="155"/>
      <c r="D1542" s="156" t="s">
        <v>1250</v>
      </c>
      <c r="E1542" s="156" t="s">
        <v>2487</v>
      </c>
      <c r="F1542" s="155"/>
      <c r="G1542" s="157" t="n">
        <v>7.6</v>
      </c>
      <c r="H1542" s="155"/>
      <c r="I1542" s="155"/>
      <c r="J1542" s="155"/>
      <c r="K1542" s="146"/>
    </row>
    <row r="1543">
      <c r="A1543" s="154"/>
      <c r="B1543" s="155"/>
      <c r="C1543" s="155"/>
      <c r="D1543" s="156" t="s">
        <v>1252</v>
      </c>
      <c r="E1543" s="156" t="s">
        <v>2488</v>
      </c>
      <c r="F1543" s="155"/>
      <c r="G1543" s="157" t="n">
        <v>47.3</v>
      </c>
      <c r="H1543" s="155"/>
      <c r="I1543" s="155"/>
      <c r="J1543" s="155"/>
      <c r="K1543" s="146"/>
    </row>
    <row r="1544">
      <c r="A1544" s="9" t="s">
        <v>2507</v>
      </c>
      <c r="B1544" s="10" t="s">
        <v>84</v>
      </c>
      <c r="C1544" s="10" t="s">
        <v>2508</v>
      </c>
      <c r="D1544" s="14" t="s">
        <v>2509</v>
      </c>
      <c r="E1544" s="10"/>
      <c r="F1544" s="10" t="s">
        <v>2426</v>
      </c>
      <c r="G1544" s="111">
        <f>'Stavební rozpočet'!G1544</f>
      </c>
      <c r="H1544" s="111">
        <f>'Stavební rozpočet'!H1544</f>
      </c>
      <c r="I1544" s="111">
        <f>G1544*H1544</f>
      </c>
      <c r="J1544" s="153" t="s">
        <v>134</v>
      </c>
      <c r="K1544" s="146"/>
      <c r="Z1544" s="111">
        <f>IF(AQ1544="5",BJ1544,0)</f>
      </c>
      <c r="AB1544" s="111">
        <f>IF(AQ1544="1",BH1544,0)</f>
      </c>
      <c r="AC1544" s="111">
        <f>IF(AQ1544="1",BI1544,0)</f>
      </c>
      <c r="AD1544" s="111">
        <f>IF(AQ1544="7",BH1544,0)</f>
      </c>
      <c r="AE1544" s="111">
        <f>IF(AQ1544="7",BI1544,0)</f>
      </c>
      <c r="AF1544" s="111">
        <f>IF(AQ1544="2",BH1544,0)</f>
      </c>
      <c r="AG1544" s="111">
        <f>IF(AQ1544="2",BI1544,0)</f>
      </c>
      <c r="AH1544" s="111">
        <f>IF(AQ1544="0",BJ1544,0)</f>
      </c>
      <c r="AI1544" s="132" t="s">
        <v>84</v>
      </c>
      <c r="AJ1544" s="111">
        <f>IF(AN1544=0,I1544,0)</f>
      </c>
      <c r="AK1544" s="111">
        <f>IF(AN1544=12,I1544,0)</f>
      </c>
      <c r="AL1544" s="111">
        <f>IF(AN1544=21,I1544,0)</f>
      </c>
      <c r="AN1544" s="111" t="n">
        <v>21</v>
      </c>
      <c r="AO1544" s="111">
        <f>H1544*1</f>
      </c>
      <c r="AP1544" s="111">
        <f>H1544*(1-1)</f>
      </c>
      <c r="AQ1544" s="153" t="s">
        <v>173</v>
      </c>
      <c r="AV1544" s="111">
        <f>AW1544+AX1544</f>
      </c>
      <c r="AW1544" s="111">
        <f>G1544*AO1544</f>
      </c>
      <c r="AX1544" s="111">
        <f>G1544*AP1544</f>
      </c>
      <c r="AY1544" s="153" t="s">
        <v>2485</v>
      </c>
      <c r="AZ1544" s="153" t="s">
        <v>2486</v>
      </c>
      <c r="BA1544" s="132" t="s">
        <v>137</v>
      </c>
      <c r="BC1544" s="111">
        <f>AW1544+AX1544</f>
      </c>
      <c r="BD1544" s="111">
        <f>H1544/(100-BE1544)*100</f>
      </c>
      <c r="BE1544" s="111" t="n">
        <v>0</v>
      </c>
      <c r="BF1544" s="111">
        <f>1544</f>
      </c>
      <c r="BH1544" s="111">
        <f>G1544*AO1544</f>
      </c>
      <c r="BI1544" s="111">
        <f>G1544*AP1544</f>
      </c>
      <c r="BJ1544" s="111">
        <f>G1544*H1544</f>
      </c>
      <c r="BK1544" s="111"/>
      <c r="BL1544" s="111" t="n">
        <v>771</v>
      </c>
      <c r="BW1544" s="111" t="n">
        <v>21</v>
      </c>
      <c r="BX1544" s="14" t="s">
        <v>2509</v>
      </c>
    </row>
    <row r="1545">
      <c r="A1545" s="154"/>
      <c r="B1545" s="155"/>
      <c r="C1545" s="155"/>
      <c r="D1545" s="156" t="s">
        <v>4</v>
      </c>
      <c r="E1545" s="156" t="s">
        <v>2510</v>
      </c>
      <c r="F1545" s="155"/>
      <c r="G1545" s="157" t="n">
        <v>0</v>
      </c>
      <c r="H1545" s="155"/>
      <c r="I1545" s="155"/>
      <c r="J1545" s="155"/>
      <c r="K1545" s="146"/>
    </row>
    <row r="1546">
      <c r="A1546" s="154"/>
      <c r="B1546" s="155"/>
      <c r="C1546" s="155"/>
      <c r="D1546" s="156" t="s">
        <v>2511</v>
      </c>
      <c r="E1546" s="156" t="s">
        <v>2487</v>
      </c>
      <c r="F1546" s="155"/>
      <c r="G1546" s="157" t="n">
        <v>23.408</v>
      </c>
      <c r="H1546" s="155"/>
      <c r="I1546" s="155"/>
      <c r="J1546" s="155"/>
      <c r="K1546" s="146"/>
    </row>
    <row r="1547">
      <c r="A1547" s="154"/>
      <c r="B1547" s="155"/>
      <c r="C1547" s="155"/>
      <c r="D1547" s="156" t="s">
        <v>2512</v>
      </c>
      <c r="E1547" s="156" t="s">
        <v>2488</v>
      </c>
      <c r="F1547" s="155"/>
      <c r="G1547" s="157" t="n">
        <v>145.684</v>
      </c>
      <c r="H1547" s="155"/>
      <c r="I1547" s="155"/>
      <c r="J1547" s="155"/>
      <c r="K1547" s="146"/>
    </row>
    <row r="1548">
      <c r="A1548" s="9" t="s">
        <v>2513</v>
      </c>
      <c r="B1548" s="10" t="s">
        <v>84</v>
      </c>
      <c r="C1548" s="10" t="s">
        <v>2514</v>
      </c>
      <c r="D1548" s="14" t="s">
        <v>2515</v>
      </c>
      <c r="E1548" s="10"/>
      <c r="F1548" s="10" t="s">
        <v>145</v>
      </c>
      <c r="G1548" s="111">
        <f>'Stavební rozpočet'!G1548</f>
      </c>
      <c r="H1548" s="111">
        <f>'Stavební rozpočet'!H1548</f>
      </c>
      <c r="I1548" s="111">
        <f>G1548*H1548</f>
      </c>
      <c r="J1548" s="153" t="s">
        <v>134</v>
      </c>
      <c r="K1548" s="146"/>
      <c r="Z1548" s="111">
        <f>IF(AQ1548="5",BJ1548,0)</f>
      </c>
      <c r="AB1548" s="111">
        <f>IF(AQ1548="1",BH1548,0)</f>
      </c>
      <c r="AC1548" s="111">
        <f>IF(AQ1548="1",BI1548,0)</f>
      </c>
      <c r="AD1548" s="111">
        <f>IF(AQ1548="7",BH1548,0)</f>
      </c>
      <c r="AE1548" s="111">
        <f>IF(AQ1548="7",BI1548,0)</f>
      </c>
      <c r="AF1548" s="111">
        <f>IF(AQ1548="2",BH1548,0)</f>
      </c>
      <c r="AG1548" s="111">
        <f>IF(AQ1548="2",BI1548,0)</f>
      </c>
      <c r="AH1548" s="111">
        <f>IF(AQ1548="0",BJ1548,0)</f>
      </c>
      <c r="AI1548" s="132" t="s">
        <v>84</v>
      </c>
      <c r="AJ1548" s="111">
        <f>IF(AN1548=0,I1548,0)</f>
      </c>
      <c r="AK1548" s="111">
        <f>IF(AN1548=12,I1548,0)</f>
      </c>
      <c r="AL1548" s="111">
        <f>IF(AN1548=21,I1548,0)</f>
      </c>
      <c r="AN1548" s="111" t="n">
        <v>21</v>
      </c>
      <c r="AO1548" s="111">
        <f>H1548*0.477365492</f>
      </c>
      <c r="AP1548" s="111">
        <f>H1548*(1-0.477365492)</f>
      </c>
      <c r="AQ1548" s="153" t="s">
        <v>173</v>
      </c>
      <c r="AV1548" s="111">
        <f>AW1548+AX1548</f>
      </c>
      <c r="AW1548" s="111">
        <f>G1548*AO1548</f>
      </c>
      <c r="AX1548" s="111">
        <f>G1548*AP1548</f>
      </c>
      <c r="AY1548" s="153" t="s">
        <v>2485</v>
      </c>
      <c r="AZ1548" s="153" t="s">
        <v>2486</v>
      </c>
      <c r="BA1548" s="132" t="s">
        <v>137</v>
      </c>
      <c r="BC1548" s="111">
        <f>AW1548+AX1548</f>
      </c>
      <c r="BD1548" s="111">
        <f>H1548/(100-BE1548)*100</f>
      </c>
      <c r="BE1548" s="111" t="n">
        <v>0</v>
      </c>
      <c r="BF1548" s="111">
        <f>1548</f>
      </c>
      <c r="BH1548" s="111">
        <f>G1548*AO1548</f>
      </c>
      <c r="BI1548" s="111">
        <f>G1548*AP1548</f>
      </c>
      <c r="BJ1548" s="111">
        <f>G1548*H1548</f>
      </c>
      <c r="BK1548" s="111"/>
      <c r="BL1548" s="111" t="n">
        <v>771</v>
      </c>
      <c r="BW1548" s="111" t="n">
        <v>21</v>
      </c>
      <c r="BX1548" s="14" t="s">
        <v>2515</v>
      </c>
    </row>
    <row r="1549" customHeight="true" ht="13.5">
      <c r="A1549" s="159"/>
      <c r="C1549" s="160" t="s">
        <v>146</v>
      </c>
      <c r="D1549" s="161" t="s">
        <v>897</v>
      </c>
      <c r="E1549" s="156"/>
      <c r="F1549" s="156"/>
      <c r="G1549" s="156"/>
      <c r="H1549" s="156"/>
      <c r="I1549" s="156"/>
      <c r="J1549" s="156"/>
      <c r="K1549" s="163"/>
    </row>
    <row r="1550">
      <c r="A1550" s="154"/>
      <c r="B1550" s="155"/>
      <c r="C1550" s="155"/>
      <c r="D1550" s="156" t="s">
        <v>1250</v>
      </c>
      <c r="E1550" s="156" t="s">
        <v>2487</v>
      </c>
      <c r="F1550" s="155"/>
      <c r="G1550" s="157" t="n">
        <v>7.6</v>
      </c>
      <c r="H1550" s="155"/>
      <c r="I1550" s="155"/>
      <c r="J1550" s="155"/>
      <c r="K1550" s="146"/>
    </row>
    <row r="1551">
      <c r="A1551" s="154"/>
      <c r="B1551" s="155"/>
      <c r="C1551" s="155"/>
      <c r="D1551" s="156" t="s">
        <v>1252</v>
      </c>
      <c r="E1551" s="156" t="s">
        <v>2488</v>
      </c>
      <c r="F1551" s="155"/>
      <c r="G1551" s="157" t="n">
        <v>47.3</v>
      </c>
      <c r="H1551" s="155"/>
      <c r="I1551" s="155"/>
      <c r="J1551" s="155"/>
      <c r="K1551" s="146"/>
    </row>
    <row r="1552">
      <c r="A1552" s="9" t="s">
        <v>2516</v>
      </c>
      <c r="B1552" s="10" t="s">
        <v>84</v>
      </c>
      <c r="C1552" s="10" t="s">
        <v>2517</v>
      </c>
      <c r="D1552" s="14" t="s">
        <v>2518</v>
      </c>
      <c r="E1552" s="10"/>
      <c r="F1552" s="10" t="s">
        <v>145</v>
      </c>
      <c r="G1552" s="111">
        <f>'Stavební rozpočet'!G1552</f>
      </c>
      <c r="H1552" s="111">
        <f>'Stavební rozpočet'!H1552</f>
      </c>
      <c r="I1552" s="111">
        <f>G1552*H1552</f>
      </c>
      <c r="J1552" s="153" t="s">
        <v>134</v>
      </c>
      <c r="K1552" s="146"/>
      <c r="Z1552" s="111">
        <f>IF(AQ1552="5",BJ1552,0)</f>
      </c>
      <c r="AB1552" s="111">
        <f>IF(AQ1552="1",BH1552,0)</f>
      </c>
      <c r="AC1552" s="111">
        <f>IF(AQ1552="1",BI1552,0)</f>
      </c>
      <c r="AD1552" s="111">
        <f>IF(AQ1552="7",BH1552,0)</f>
      </c>
      <c r="AE1552" s="111">
        <f>IF(AQ1552="7",BI1552,0)</f>
      </c>
      <c r="AF1552" s="111">
        <f>IF(AQ1552="2",BH1552,0)</f>
      </c>
      <c r="AG1552" s="111">
        <f>IF(AQ1552="2",BI1552,0)</f>
      </c>
      <c r="AH1552" s="111">
        <f>IF(AQ1552="0",BJ1552,0)</f>
      </c>
      <c r="AI1552" s="132" t="s">
        <v>84</v>
      </c>
      <c r="AJ1552" s="111">
        <f>IF(AN1552=0,I1552,0)</f>
      </c>
      <c r="AK1552" s="111">
        <f>IF(AN1552=12,I1552,0)</f>
      </c>
      <c r="AL1552" s="111">
        <f>IF(AN1552=21,I1552,0)</f>
      </c>
      <c r="AN1552" s="111" t="n">
        <v>21</v>
      </c>
      <c r="AO1552" s="111">
        <f>H1552*0.218135942</f>
      </c>
      <c r="AP1552" s="111">
        <f>H1552*(1-0.218135942)</f>
      </c>
      <c r="AQ1552" s="153" t="s">
        <v>173</v>
      </c>
      <c r="AV1552" s="111">
        <f>AW1552+AX1552</f>
      </c>
      <c r="AW1552" s="111">
        <f>G1552*AO1552</f>
      </c>
      <c r="AX1552" s="111">
        <f>G1552*AP1552</f>
      </c>
      <c r="AY1552" s="153" t="s">
        <v>2485</v>
      </c>
      <c r="AZ1552" s="153" t="s">
        <v>2486</v>
      </c>
      <c r="BA1552" s="132" t="s">
        <v>137</v>
      </c>
      <c r="BC1552" s="111">
        <f>AW1552+AX1552</f>
      </c>
      <c r="BD1552" s="111">
        <f>H1552/(100-BE1552)*100</f>
      </c>
      <c r="BE1552" s="111" t="n">
        <v>0</v>
      </c>
      <c r="BF1552" s="111">
        <f>1552</f>
      </c>
      <c r="BH1552" s="111">
        <f>G1552*AO1552</f>
      </c>
      <c r="BI1552" s="111">
        <f>G1552*AP1552</f>
      </c>
      <c r="BJ1552" s="111">
        <f>G1552*H1552</f>
      </c>
      <c r="BK1552" s="111"/>
      <c r="BL1552" s="111" t="n">
        <v>771</v>
      </c>
      <c r="BW1552" s="111" t="n">
        <v>21</v>
      </c>
      <c r="BX1552" s="14" t="s">
        <v>2518</v>
      </c>
    </row>
    <row r="1553">
      <c r="A1553" s="154"/>
      <c r="B1553" s="155"/>
      <c r="C1553" s="155"/>
      <c r="D1553" s="156" t="s">
        <v>1250</v>
      </c>
      <c r="E1553" s="156" t="s">
        <v>2487</v>
      </c>
      <c r="F1553" s="155"/>
      <c r="G1553" s="157" t="n">
        <v>7.6</v>
      </c>
      <c r="H1553" s="155"/>
      <c r="I1553" s="155"/>
      <c r="J1553" s="155"/>
      <c r="K1553" s="146"/>
    </row>
    <row r="1554">
      <c r="A1554" s="154"/>
      <c r="B1554" s="155"/>
      <c r="C1554" s="155"/>
      <c r="D1554" s="156" t="s">
        <v>1252</v>
      </c>
      <c r="E1554" s="156" t="s">
        <v>2488</v>
      </c>
      <c r="F1554" s="155"/>
      <c r="G1554" s="157" t="n">
        <v>47.3</v>
      </c>
      <c r="H1554" s="155"/>
      <c r="I1554" s="155"/>
      <c r="J1554" s="155"/>
      <c r="K1554" s="146"/>
    </row>
    <row r="1555">
      <c r="A1555" s="9" t="s">
        <v>2519</v>
      </c>
      <c r="B1555" s="10" t="s">
        <v>84</v>
      </c>
      <c r="C1555" s="10" t="s">
        <v>2520</v>
      </c>
      <c r="D1555" s="14" t="s">
        <v>2521</v>
      </c>
      <c r="E1555" s="10"/>
      <c r="F1555" s="10" t="s">
        <v>145</v>
      </c>
      <c r="G1555" s="111">
        <f>'Stavební rozpočet'!G1555</f>
      </c>
      <c r="H1555" s="111">
        <f>'Stavební rozpočet'!H1555</f>
      </c>
      <c r="I1555" s="111">
        <f>G1555*H1555</f>
      </c>
      <c r="J1555" s="153" t="s">
        <v>134</v>
      </c>
      <c r="K1555" s="146"/>
      <c r="Z1555" s="111">
        <f>IF(AQ1555="5",BJ1555,0)</f>
      </c>
      <c r="AB1555" s="111">
        <f>IF(AQ1555="1",BH1555,0)</f>
      </c>
      <c r="AC1555" s="111">
        <f>IF(AQ1555="1",BI1555,0)</f>
      </c>
      <c r="AD1555" s="111">
        <f>IF(AQ1555="7",BH1555,0)</f>
      </c>
      <c r="AE1555" s="111">
        <f>IF(AQ1555="7",BI1555,0)</f>
      </c>
      <c r="AF1555" s="111">
        <f>IF(AQ1555="2",BH1555,0)</f>
      </c>
      <c r="AG1555" s="111">
        <f>IF(AQ1555="2",BI1555,0)</f>
      </c>
      <c r="AH1555" s="111">
        <f>IF(AQ1555="0",BJ1555,0)</f>
      </c>
      <c r="AI1555" s="132" t="s">
        <v>84</v>
      </c>
      <c r="AJ1555" s="111">
        <f>IF(AN1555=0,I1555,0)</f>
      </c>
      <c r="AK1555" s="111">
        <f>IF(AN1555=12,I1555,0)</f>
      </c>
      <c r="AL1555" s="111">
        <f>IF(AN1555=21,I1555,0)</f>
      </c>
      <c r="AN1555" s="111" t="n">
        <v>21</v>
      </c>
      <c r="AO1555" s="111">
        <f>H1555*1</f>
      </c>
      <c r="AP1555" s="111">
        <f>H1555*(1-1)</f>
      </c>
      <c r="AQ1555" s="153" t="s">
        <v>173</v>
      </c>
      <c r="AV1555" s="111">
        <f>AW1555+AX1555</f>
      </c>
      <c r="AW1555" s="111">
        <f>G1555*AO1555</f>
      </c>
      <c r="AX1555" s="111">
        <f>G1555*AP1555</f>
      </c>
      <c r="AY1555" s="153" t="s">
        <v>2485</v>
      </c>
      <c r="AZ1555" s="153" t="s">
        <v>2486</v>
      </c>
      <c r="BA1555" s="132" t="s">
        <v>137</v>
      </c>
      <c r="BC1555" s="111">
        <f>AW1555+AX1555</f>
      </c>
      <c r="BD1555" s="111">
        <f>H1555/(100-BE1555)*100</f>
      </c>
      <c r="BE1555" s="111" t="n">
        <v>0</v>
      </c>
      <c r="BF1555" s="111">
        <f>1555</f>
      </c>
      <c r="BH1555" s="111">
        <f>G1555*AO1555</f>
      </c>
      <c r="BI1555" s="111">
        <f>G1555*AP1555</f>
      </c>
      <c r="BJ1555" s="111">
        <f>G1555*H1555</f>
      </c>
      <c r="BK1555" s="111"/>
      <c r="BL1555" s="111" t="n">
        <v>771</v>
      </c>
      <c r="BW1555" s="111" t="n">
        <v>21</v>
      </c>
      <c r="BX1555" s="14" t="s">
        <v>2521</v>
      </c>
    </row>
    <row r="1556">
      <c r="A1556" s="154"/>
      <c r="B1556" s="155"/>
      <c r="C1556" s="155"/>
      <c r="D1556" s="156" t="s">
        <v>1250</v>
      </c>
      <c r="E1556" s="156" t="s">
        <v>2487</v>
      </c>
      <c r="F1556" s="155"/>
      <c r="G1556" s="157" t="n">
        <v>7.6</v>
      </c>
      <c r="H1556" s="155"/>
      <c r="I1556" s="155"/>
      <c r="J1556" s="155"/>
      <c r="K1556" s="146"/>
    </row>
    <row r="1557">
      <c r="A1557" s="154"/>
      <c r="B1557" s="155"/>
      <c r="C1557" s="155"/>
      <c r="D1557" s="156" t="s">
        <v>1252</v>
      </c>
      <c r="E1557" s="156" t="s">
        <v>2488</v>
      </c>
      <c r="F1557" s="155"/>
      <c r="G1557" s="157" t="n">
        <v>47.3</v>
      </c>
      <c r="H1557" s="155"/>
      <c r="I1557" s="155"/>
      <c r="J1557" s="155"/>
      <c r="K1557" s="146"/>
    </row>
    <row r="1558">
      <c r="A1558" s="154"/>
      <c r="B1558" s="155"/>
      <c r="C1558" s="155"/>
      <c r="D1558" s="156" t="s">
        <v>2522</v>
      </c>
      <c r="E1558" s="156" t="s">
        <v>2523</v>
      </c>
      <c r="F1558" s="155"/>
      <c r="G1558" s="157" t="n">
        <v>1.523</v>
      </c>
      <c r="H1558" s="155"/>
      <c r="I1558" s="155"/>
      <c r="J1558" s="155"/>
      <c r="K1558" s="146"/>
    </row>
    <row r="1559">
      <c r="A1559" s="154"/>
      <c r="B1559" s="155"/>
      <c r="C1559" s="155"/>
      <c r="D1559" s="156" t="s">
        <v>2524</v>
      </c>
      <c r="E1559" s="156" t="s">
        <v>1730</v>
      </c>
      <c r="F1559" s="155"/>
      <c r="G1559" s="157" t="n">
        <v>5.6423</v>
      </c>
      <c r="H1559" s="155"/>
      <c r="I1559" s="155"/>
      <c r="J1559" s="155"/>
      <c r="K1559" s="146"/>
    </row>
    <row r="1560">
      <c r="A1560" s="9" t="s">
        <v>2525</v>
      </c>
      <c r="B1560" s="10" t="s">
        <v>84</v>
      </c>
      <c r="C1560" s="10" t="s">
        <v>2526</v>
      </c>
      <c r="D1560" s="14" t="s">
        <v>2527</v>
      </c>
      <c r="E1560" s="10"/>
      <c r="F1560" s="10" t="s">
        <v>282</v>
      </c>
      <c r="G1560" s="111">
        <f>'Stavební rozpočet'!G1560</f>
      </c>
      <c r="H1560" s="111">
        <f>'Stavební rozpočet'!H1560</f>
      </c>
      <c r="I1560" s="111">
        <f>G1560*H1560</f>
      </c>
      <c r="J1560" s="153" t="s">
        <v>134</v>
      </c>
      <c r="K1560" s="146"/>
      <c r="Z1560" s="111">
        <f>IF(AQ1560="5",BJ1560,0)</f>
      </c>
      <c r="AB1560" s="111">
        <f>IF(AQ1560="1",BH1560,0)</f>
      </c>
      <c r="AC1560" s="111">
        <f>IF(AQ1560="1",BI1560,0)</f>
      </c>
      <c r="AD1560" s="111">
        <f>IF(AQ1560="7",BH1560,0)</f>
      </c>
      <c r="AE1560" s="111">
        <f>IF(AQ1560="7",BI1560,0)</f>
      </c>
      <c r="AF1560" s="111">
        <f>IF(AQ1560="2",BH1560,0)</f>
      </c>
      <c r="AG1560" s="111">
        <f>IF(AQ1560="2",BI1560,0)</f>
      </c>
      <c r="AH1560" s="111">
        <f>IF(AQ1560="0",BJ1560,0)</f>
      </c>
      <c r="AI1560" s="132" t="s">
        <v>84</v>
      </c>
      <c r="AJ1560" s="111">
        <f>IF(AN1560=0,I1560,0)</f>
      </c>
      <c r="AK1560" s="111">
        <f>IF(AN1560=12,I1560,0)</f>
      </c>
      <c r="AL1560" s="111">
        <f>IF(AN1560=21,I1560,0)</f>
      </c>
      <c r="AN1560" s="111" t="n">
        <v>21</v>
      </c>
      <c r="AO1560" s="111">
        <f>H1560*0</f>
      </c>
      <c r="AP1560" s="111">
        <f>H1560*(1-0)</f>
      </c>
      <c r="AQ1560" s="153" t="s">
        <v>173</v>
      </c>
      <c r="AV1560" s="111">
        <f>AW1560+AX1560</f>
      </c>
      <c r="AW1560" s="111">
        <f>G1560*AO1560</f>
      </c>
      <c r="AX1560" s="111">
        <f>G1560*AP1560</f>
      </c>
      <c r="AY1560" s="153" t="s">
        <v>2485</v>
      </c>
      <c r="AZ1560" s="153" t="s">
        <v>2486</v>
      </c>
      <c r="BA1560" s="132" t="s">
        <v>137</v>
      </c>
      <c r="BC1560" s="111">
        <f>AW1560+AX1560</f>
      </c>
      <c r="BD1560" s="111">
        <f>H1560/(100-BE1560)*100</f>
      </c>
      <c r="BE1560" s="111" t="n">
        <v>0</v>
      </c>
      <c r="BF1560" s="111">
        <f>1560</f>
      </c>
      <c r="BH1560" s="111">
        <f>G1560*AO1560</f>
      </c>
      <c r="BI1560" s="111">
        <f>G1560*AP1560</f>
      </c>
      <c r="BJ1560" s="111">
        <f>G1560*H1560</f>
      </c>
      <c r="BK1560" s="111"/>
      <c r="BL1560" s="111" t="n">
        <v>771</v>
      </c>
      <c r="BW1560" s="111" t="n">
        <v>21</v>
      </c>
      <c r="BX1560" s="14" t="s">
        <v>2527</v>
      </c>
    </row>
    <row r="1561">
      <c r="A1561" s="154"/>
      <c r="B1561" s="155"/>
      <c r="C1561" s="155"/>
      <c r="D1561" s="156" t="s">
        <v>2528</v>
      </c>
      <c r="E1561" s="156" t="s">
        <v>989</v>
      </c>
      <c r="F1561" s="155"/>
      <c r="G1561" s="157" t="n">
        <v>15.23</v>
      </c>
      <c r="H1561" s="155"/>
      <c r="I1561" s="155"/>
      <c r="J1561" s="155"/>
      <c r="K1561" s="146"/>
    </row>
    <row r="1562">
      <c r="A1562" s="9" t="s">
        <v>2529</v>
      </c>
      <c r="B1562" s="10" t="s">
        <v>84</v>
      </c>
      <c r="C1562" s="10" t="s">
        <v>2530</v>
      </c>
      <c r="D1562" s="14" t="s">
        <v>2531</v>
      </c>
      <c r="E1562" s="10"/>
      <c r="F1562" s="10" t="s">
        <v>282</v>
      </c>
      <c r="G1562" s="111">
        <f>'Stavební rozpočet'!G1562</f>
      </c>
      <c r="H1562" s="111">
        <f>'Stavební rozpočet'!H1562</f>
      </c>
      <c r="I1562" s="111">
        <f>G1562*H1562</f>
      </c>
      <c r="J1562" s="153" t="s">
        <v>134</v>
      </c>
      <c r="K1562" s="146"/>
      <c r="Z1562" s="111">
        <f>IF(AQ1562="5",BJ1562,0)</f>
      </c>
      <c r="AB1562" s="111">
        <f>IF(AQ1562="1",BH1562,0)</f>
      </c>
      <c r="AC1562" s="111">
        <f>IF(AQ1562="1",BI1562,0)</f>
      </c>
      <c r="AD1562" s="111">
        <f>IF(AQ1562="7",BH1562,0)</f>
      </c>
      <c r="AE1562" s="111">
        <f>IF(AQ1562="7",BI1562,0)</f>
      </c>
      <c r="AF1562" s="111">
        <f>IF(AQ1562="2",BH1562,0)</f>
      </c>
      <c r="AG1562" s="111">
        <f>IF(AQ1562="2",BI1562,0)</f>
      </c>
      <c r="AH1562" s="111">
        <f>IF(AQ1562="0",BJ1562,0)</f>
      </c>
      <c r="AI1562" s="132" t="s">
        <v>84</v>
      </c>
      <c r="AJ1562" s="111">
        <f>IF(AN1562=0,I1562,0)</f>
      </c>
      <c r="AK1562" s="111">
        <f>IF(AN1562=12,I1562,0)</f>
      </c>
      <c r="AL1562" s="111">
        <f>IF(AN1562=21,I1562,0)</f>
      </c>
      <c r="AN1562" s="111" t="n">
        <v>21</v>
      </c>
      <c r="AO1562" s="111">
        <f>H1562*0.053904762</f>
      </c>
      <c r="AP1562" s="111">
        <f>H1562*(1-0.053904762)</f>
      </c>
      <c r="AQ1562" s="153" t="s">
        <v>173</v>
      </c>
      <c r="AV1562" s="111">
        <f>AW1562+AX1562</f>
      </c>
      <c r="AW1562" s="111">
        <f>G1562*AO1562</f>
      </c>
      <c r="AX1562" s="111">
        <f>G1562*AP1562</f>
      </c>
      <c r="AY1562" s="153" t="s">
        <v>2485</v>
      </c>
      <c r="AZ1562" s="153" t="s">
        <v>2486</v>
      </c>
      <c r="BA1562" s="132" t="s">
        <v>137</v>
      </c>
      <c r="BC1562" s="111">
        <f>AW1562+AX1562</f>
      </c>
      <c r="BD1562" s="111">
        <f>H1562/(100-BE1562)*100</f>
      </c>
      <c r="BE1562" s="111" t="n">
        <v>0</v>
      </c>
      <c r="BF1562" s="111">
        <f>1562</f>
      </c>
      <c r="BH1562" s="111">
        <f>G1562*AO1562</f>
      </c>
      <c r="BI1562" s="111">
        <f>G1562*AP1562</f>
      </c>
      <c r="BJ1562" s="111">
        <f>G1562*H1562</f>
      </c>
      <c r="BK1562" s="111"/>
      <c r="BL1562" s="111" t="n">
        <v>771</v>
      </c>
      <c r="BW1562" s="111" t="n">
        <v>21</v>
      </c>
      <c r="BX1562" s="14" t="s">
        <v>2531</v>
      </c>
    </row>
    <row r="1563">
      <c r="A1563" s="154"/>
      <c r="B1563" s="155"/>
      <c r="C1563" s="155"/>
      <c r="D1563" s="156" t="s">
        <v>2528</v>
      </c>
      <c r="E1563" s="156" t="s">
        <v>989</v>
      </c>
      <c r="F1563" s="155"/>
      <c r="G1563" s="157" t="n">
        <v>15.23</v>
      </c>
      <c r="H1563" s="155"/>
      <c r="I1563" s="155"/>
      <c r="J1563" s="155"/>
      <c r="K1563" s="146"/>
    </row>
    <row r="1564">
      <c r="A1564" s="9" t="s">
        <v>2532</v>
      </c>
      <c r="B1564" s="10" t="s">
        <v>84</v>
      </c>
      <c r="C1564" s="10" t="s">
        <v>2533</v>
      </c>
      <c r="D1564" s="14" t="s">
        <v>2534</v>
      </c>
      <c r="E1564" s="10"/>
      <c r="F1564" s="10" t="s">
        <v>282</v>
      </c>
      <c r="G1564" s="111">
        <f>'Stavební rozpočet'!G1564</f>
      </c>
      <c r="H1564" s="111">
        <f>'Stavební rozpočet'!H1564</f>
      </c>
      <c r="I1564" s="111">
        <f>G1564*H1564</f>
      </c>
      <c r="J1564" s="153" t="s">
        <v>134</v>
      </c>
      <c r="K1564" s="146"/>
      <c r="Z1564" s="111">
        <f>IF(AQ1564="5",BJ1564,0)</f>
      </c>
      <c r="AB1564" s="111">
        <f>IF(AQ1564="1",BH1564,0)</f>
      </c>
      <c r="AC1564" s="111">
        <f>IF(AQ1564="1",BI1564,0)</f>
      </c>
      <c r="AD1564" s="111">
        <f>IF(AQ1564="7",BH1564,0)</f>
      </c>
      <c r="AE1564" s="111">
        <f>IF(AQ1564="7",BI1564,0)</f>
      </c>
      <c r="AF1564" s="111">
        <f>IF(AQ1564="2",BH1564,0)</f>
      </c>
      <c r="AG1564" s="111">
        <f>IF(AQ1564="2",BI1564,0)</f>
      </c>
      <c r="AH1564" s="111">
        <f>IF(AQ1564="0",BJ1564,0)</f>
      </c>
      <c r="AI1564" s="132" t="s">
        <v>84</v>
      </c>
      <c r="AJ1564" s="111">
        <f>IF(AN1564=0,I1564,0)</f>
      </c>
      <c r="AK1564" s="111">
        <f>IF(AN1564=12,I1564,0)</f>
      </c>
      <c r="AL1564" s="111">
        <f>IF(AN1564=21,I1564,0)</f>
      </c>
      <c r="AN1564" s="111" t="n">
        <v>21</v>
      </c>
      <c r="AO1564" s="111">
        <f>H1564*0.500126974</f>
      </c>
      <c r="AP1564" s="111">
        <f>H1564*(1-0.500126974)</f>
      </c>
      <c r="AQ1564" s="153" t="s">
        <v>173</v>
      </c>
      <c r="AV1564" s="111">
        <f>AW1564+AX1564</f>
      </c>
      <c r="AW1564" s="111">
        <f>G1564*AO1564</f>
      </c>
      <c r="AX1564" s="111">
        <f>G1564*AP1564</f>
      </c>
      <c r="AY1564" s="153" t="s">
        <v>2485</v>
      </c>
      <c r="AZ1564" s="153" t="s">
        <v>2486</v>
      </c>
      <c r="BA1564" s="132" t="s">
        <v>137</v>
      </c>
      <c r="BC1564" s="111">
        <f>AW1564+AX1564</f>
      </c>
      <c r="BD1564" s="111">
        <f>H1564/(100-BE1564)*100</f>
      </c>
      <c r="BE1564" s="111" t="n">
        <v>0</v>
      </c>
      <c r="BF1564" s="111">
        <f>1564</f>
      </c>
      <c r="BH1564" s="111">
        <f>G1564*AO1564</f>
      </c>
      <c r="BI1564" s="111">
        <f>G1564*AP1564</f>
      </c>
      <c r="BJ1564" s="111">
        <f>G1564*H1564</f>
      </c>
      <c r="BK1564" s="111"/>
      <c r="BL1564" s="111" t="n">
        <v>771</v>
      </c>
      <c r="BW1564" s="111" t="n">
        <v>21</v>
      </c>
      <c r="BX1564" s="14" t="s">
        <v>2534</v>
      </c>
    </row>
    <row r="1565">
      <c r="A1565" s="154"/>
      <c r="B1565" s="155"/>
      <c r="C1565" s="155"/>
      <c r="D1565" s="156" t="s">
        <v>2528</v>
      </c>
      <c r="E1565" s="156" t="s">
        <v>989</v>
      </c>
      <c r="F1565" s="155"/>
      <c r="G1565" s="157" t="n">
        <v>15.23</v>
      </c>
      <c r="H1565" s="155"/>
      <c r="I1565" s="155"/>
      <c r="J1565" s="155"/>
      <c r="K1565" s="146"/>
    </row>
    <row r="1566">
      <c r="A1566" s="154"/>
      <c r="B1566" s="155"/>
      <c r="C1566" s="155"/>
      <c r="D1566" s="156" t="s">
        <v>2535</v>
      </c>
      <c r="E1566" s="156" t="s">
        <v>864</v>
      </c>
      <c r="F1566" s="155"/>
      <c r="G1566" s="157" t="n">
        <v>10.57</v>
      </c>
      <c r="H1566" s="155"/>
      <c r="I1566" s="155"/>
      <c r="J1566" s="155"/>
      <c r="K1566" s="146"/>
    </row>
    <row r="1567">
      <c r="A1567" s="154"/>
      <c r="B1567" s="155"/>
      <c r="C1567" s="155"/>
      <c r="D1567" s="156" t="s">
        <v>2536</v>
      </c>
      <c r="E1567" s="156" t="s">
        <v>566</v>
      </c>
      <c r="F1567" s="155"/>
      <c r="G1567" s="157" t="n">
        <v>10.37</v>
      </c>
      <c r="H1567" s="155"/>
      <c r="I1567" s="155"/>
      <c r="J1567" s="155"/>
      <c r="K1567" s="146"/>
    </row>
    <row r="1568">
      <c r="A1568" s="154"/>
      <c r="B1568" s="155"/>
      <c r="C1568" s="155"/>
      <c r="D1568" s="156" t="s">
        <v>2537</v>
      </c>
      <c r="E1568" s="156" t="s">
        <v>865</v>
      </c>
      <c r="F1568" s="155"/>
      <c r="G1568" s="157" t="n">
        <v>7.2</v>
      </c>
      <c r="H1568" s="155"/>
      <c r="I1568" s="155"/>
      <c r="J1568" s="155"/>
      <c r="K1568" s="146"/>
    </row>
    <row r="1569">
      <c r="A1569" s="154"/>
      <c r="B1569" s="155"/>
      <c r="C1569" s="155"/>
      <c r="D1569" s="156" t="s">
        <v>2538</v>
      </c>
      <c r="E1569" s="156" t="s">
        <v>1030</v>
      </c>
      <c r="F1569" s="155"/>
      <c r="G1569" s="157" t="n">
        <v>6.9</v>
      </c>
      <c r="H1569" s="155"/>
      <c r="I1569" s="155"/>
      <c r="J1569" s="155"/>
      <c r="K1569" s="146"/>
    </row>
    <row r="1570">
      <c r="A1570" s="154"/>
      <c r="B1570" s="155"/>
      <c r="C1570" s="155"/>
      <c r="D1570" s="156" t="s">
        <v>2539</v>
      </c>
      <c r="E1570" s="156" t="s">
        <v>1032</v>
      </c>
      <c r="F1570" s="155"/>
      <c r="G1570" s="157" t="n">
        <v>10.58</v>
      </c>
      <c r="H1570" s="155"/>
      <c r="I1570" s="155"/>
      <c r="J1570" s="155"/>
      <c r="K1570" s="146"/>
    </row>
    <row r="1571">
      <c r="A1571" s="154"/>
      <c r="B1571" s="155"/>
      <c r="C1571" s="155"/>
      <c r="D1571" s="156" t="s">
        <v>2540</v>
      </c>
      <c r="E1571" s="156" t="s">
        <v>1034</v>
      </c>
      <c r="F1571" s="155"/>
      <c r="G1571" s="157" t="n">
        <v>4.82</v>
      </c>
      <c r="H1571" s="155"/>
      <c r="I1571" s="155"/>
      <c r="J1571" s="155"/>
      <c r="K1571" s="146"/>
    </row>
    <row r="1572">
      <c r="A1572" s="154"/>
      <c r="B1572" s="155"/>
      <c r="C1572" s="155"/>
      <c r="D1572" s="156" t="s">
        <v>2541</v>
      </c>
      <c r="E1572" s="156" t="s">
        <v>1008</v>
      </c>
      <c r="F1572" s="155"/>
      <c r="G1572" s="157" t="n">
        <v>8.2</v>
      </c>
      <c r="H1572" s="155"/>
      <c r="I1572" s="155"/>
      <c r="J1572" s="155"/>
      <c r="K1572" s="146"/>
    </row>
    <row r="1573">
      <c r="A1573" s="154"/>
      <c r="B1573" s="155"/>
      <c r="C1573" s="155"/>
      <c r="D1573" s="156" t="s">
        <v>2541</v>
      </c>
      <c r="E1573" s="156" t="s">
        <v>1010</v>
      </c>
      <c r="F1573" s="155"/>
      <c r="G1573" s="157" t="n">
        <v>8.2</v>
      </c>
      <c r="H1573" s="155"/>
      <c r="I1573" s="155"/>
      <c r="J1573" s="155"/>
      <c r="K1573" s="146"/>
    </row>
    <row r="1574">
      <c r="A1574" s="9" t="s">
        <v>2542</v>
      </c>
      <c r="B1574" s="10" t="s">
        <v>84</v>
      </c>
      <c r="C1574" s="10" t="s">
        <v>2543</v>
      </c>
      <c r="D1574" s="14" t="s">
        <v>2544</v>
      </c>
      <c r="E1574" s="10"/>
      <c r="F1574" s="10" t="s">
        <v>145</v>
      </c>
      <c r="G1574" s="111">
        <f>'Stavební rozpočet'!G1574</f>
      </c>
      <c r="H1574" s="111">
        <f>'Stavební rozpočet'!H1574</f>
      </c>
      <c r="I1574" s="111">
        <f>G1574*H1574</f>
      </c>
      <c r="J1574" s="153" t="s">
        <v>134</v>
      </c>
      <c r="K1574" s="146"/>
      <c r="Z1574" s="111">
        <f>IF(AQ1574="5",BJ1574,0)</f>
      </c>
      <c r="AB1574" s="111">
        <f>IF(AQ1574="1",BH1574,0)</f>
      </c>
      <c r="AC1574" s="111">
        <f>IF(AQ1574="1",BI1574,0)</f>
      </c>
      <c r="AD1574" s="111">
        <f>IF(AQ1574="7",BH1574,0)</f>
      </c>
      <c r="AE1574" s="111">
        <f>IF(AQ1574="7",BI1574,0)</f>
      </c>
      <c r="AF1574" s="111">
        <f>IF(AQ1574="2",BH1574,0)</f>
      </c>
      <c r="AG1574" s="111">
        <f>IF(AQ1574="2",BI1574,0)</f>
      </c>
      <c r="AH1574" s="111">
        <f>IF(AQ1574="0",BJ1574,0)</f>
      </c>
      <c r="AI1574" s="132" t="s">
        <v>84</v>
      </c>
      <c r="AJ1574" s="111">
        <f>IF(AN1574=0,I1574,0)</f>
      </c>
      <c r="AK1574" s="111">
        <f>IF(AN1574=12,I1574,0)</f>
      </c>
      <c r="AL1574" s="111">
        <f>IF(AN1574=21,I1574,0)</f>
      </c>
      <c r="AN1574" s="111" t="n">
        <v>21</v>
      </c>
      <c r="AO1574" s="111">
        <f>H1574*0</f>
      </c>
      <c r="AP1574" s="111">
        <f>H1574*(1-0)</f>
      </c>
      <c r="AQ1574" s="153" t="s">
        <v>173</v>
      </c>
      <c r="AV1574" s="111">
        <f>AW1574+AX1574</f>
      </c>
      <c r="AW1574" s="111">
        <f>G1574*AO1574</f>
      </c>
      <c r="AX1574" s="111">
        <f>G1574*AP1574</f>
      </c>
      <c r="AY1574" s="153" t="s">
        <v>2485</v>
      </c>
      <c r="AZ1574" s="153" t="s">
        <v>2486</v>
      </c>
      <c r="BA1574" s="132" t="s">
        <v>137</v>
      </c>
      <c r="BC1574" s="111">
        <f>AW1574+AX1574</f>
      </c>
      <c r="BD1574" s="111">
        <f>H1574/(100-BE1574)*100</f>
      </c>
      <c r="BE1574" s="111" t="n">
        <v>0</v>
      </c>
      <c r="BF1574" s="111">
        <f>1574</f>
      </c>
      <c r="BH1574" s="111">
        <f>G1574*AO1574</f>
      </c>
      <c r="BI1574" s="111">
        <f>G1574*AP1574</f>
      </c>
      <c r="BJ1574" s="111">
        <f>G1574*H1574</f>
      </c>
      <c r="BK1574" s="111"/>
      <c r="BL1574" s="111" t="n">
        <v>771</v>
      </c>
      <c r="BW1574" s="111" t="n">
        <v>21</v>
      </c>
      <c r="BX1574" s="14" t="s">
        <v>2544</v>
      </c>
    </row>
    <row r="1575">
      <c r="A1575" s="154"/>
      <c r="B1575" s="155"/>
      <c r="C1575" s="155"/>
      <c r="D1575" s="156" t="s">
        <v>1250</v>
      </c>
      <c r="E1575" s="156" t="s">
        <v>2487</v>
      </c>
      <c r="F1575" s="155"/>
      <c r="G1575" s="157" t="n">
        <v>7.6</v>
      </c>
      <c r="H1575" s="155"/>
      <c r="I1575" s="155"/>
      <c r="J1575" s="155"/>
      <c r="K1575" s="146"/>
    </row>
    <row r="1576">
      <c r="A1576" s="154"/>
      <c r="B1576" s="155"/>
      <c r="C1576" s="155"/>
      <c r="D1576" s="156" t="s">
        <v>2545</v>
      </c>
      <c r="E1576" s="156" t="s">
        <v>2546</v>
      </c>
      <c r="F1576" s="155"/>
      <c r="G1576" s="157" t="n">
        <v>7.7</v>
      </c>
      <c r="H1576" s="155"/>
      <c r="I1576" s="155"/>
      <c r="J1576" s="155"/>
      <c r="K1576" s="146"/>
    </row>
    <row r="1577">
      <c r="A1577" s="9" t="s">
        <v>2547</v>
      </c>
      <c r="B1577" s="10" t="s">
        <v>84</v>
      </c>
      <c r="C1577" s="10" t="s">
        <v>2548</v>
      </c>
      <c r="D1577" s="14" t="s">
        <v>2549</v>
      </c>
      <c r="E1577" s="10"/>
      <c r="F1577" s="10" t="s">
        <v>145</v>
      </c>
      <c r="G1577" s="111">
        <f>'Stavební rozpočet'!G1577</f>
      </c>
      <c r="H1577" s="111">
        <f>'Stavební rozpočet'!H1577</f>
      </c>
      <c r="I1577" s="111">
        <f>G1577*H1577</f>
      </c>
      <c r="J1577" s="153" t="s">
        <v>134</v>
      </c>
      <c r="K1577" s="146"/>
      <c r="Z1577" s="111">
        <f>IF(AQ1577="5",BJ1577,0)</f>
      </c>
      <c r="AB1577" s="111">
        <f>IF(AQ1577="1",BH1577,0)</f>
      </c>
      <c r="AC1577" s="111">
        <f>IF(AQ1577="1",BI1577,0)</f>
      </c>
      <c r="AD1577" s="111">
        <f>IF(AQ1577="7",BH1577,0)</f>
      </c>
      <c r="AE1577" s="111">
        <f>IF(AQ1577="7",BI1577,0)</f>
      </c>
      <c r="AF1577" s="111">
        <f>IF(AQ1577="2",BH1577,0)</f>
      </c>
      <c r="AG1577" s="111">
        <f>IF(AQ1577="2",BI1577,0)</f>
      </c>
      <c r="AH1577" s="111">
        <f>IF(AQ1577="0",BJ1577,0)</f>
      </c>
      <c r="AI1577" s="132" t="s">
        <v>84</v>
      </c>
      <c r="AJ1577" s="111">
        <f>IF(AN1577=0,I1577,0)</f>
      </c>
      <c r="AK1577" s="111">
        <f>IF(AN1577=12,I1577,0)</f>
      </c>
      <c r="AL1577" s="111">
        <f>IF(AN1577=21,I1577,0)</f>
      </c>
      <c r="AN1577" s="111" t="n">
        <v>21</v>
      </c>
      <c r="AO1577" s="111">
        <f>H1577*0.999998637</f>
      </c>
      <c r="AP1577" s="111">
        <f>H1577*(1-0.999998637)</f>
      </c>
      <c r="AQ1577" s="153" t="s">
        <v>173</v>
      </c>
      <c r="AV1577" s="111">
        <f>AW1577+AX1577</f>
      </c>
      <c r="AW1577" s="111">
        <f>G1577*AO1577</f>
      </c>
      <c r="AX1577" s="111">
        <f>G1577*AP1577</f>
      </c>
      <c r="AY1577" s="153" t="s">
        <v>2485</v>
      </c>
      <c r="AZ1577" s="153" t="s">
        <v>2486</v>
      </c>
      <c r="BA1577" s="132" t="s">
        <v>137</v>
      </c>
      <c r="BC1577" s="111">
        <f>AW1577+AX1577</f>
      </c>
      <c r="BD1577" s="111">
        <f>H1577/(100-BE1577)*100</f>
      </c>
      <c r="BE1577" s="111" t="n">
        <v>0</v>
      </c>
      <c r="BF1577" s="111">
        <f>1577</f>
      </c>
      <c r="BH1577" s="111">
        <f>G1577*AO1577</f>
      </c>
      <c r="BI1577" s="111">
        <f>G1577*AP1577</f>
      </c>
      <c r="BJ1577" s="111">
        <f>G1577*H1577</f>
      </c>
      <c r="BK1577" s="111"/>
      <c r="BL1577" s="111" t="n">
        <v>771</v>
      </c>
      <c r="BW1577" s="111" t="n">
        <v>21</v>
      </c>
      <c r="BX1577" s="14" t="s">
        <v>2549</v>
      </c>
    </row>
    <row r="1578" customHeight="true" ht="13.5">
      <c r="A1578" s="159"/>
      <c r="C1578" s="160" t="s">
        <v>146</v>
      </c>
      <c r="D1578" s="161" t="s">
        <v>2550</v>
      </c>
      <c r="E1578" s="156"/>
      <c r="F1578" s="156"/>
      <c r="G1578" s="156"/>
      <c r="H1578" s="156"/>
      <c r="I1578" s="156"/>
      <c r="J1578" s="156"/>
      <c r="K1578" s="163"/>
    </row>
    <row r="1579">
      <c r="A1579" s="154"/>
      <c r="B1579" s="155"/>
      <c r="C1579" s="155"/>
      <c r="D1579" s="156" t="s">
        <v>1250</v>
      </c>
      <c r="E1579" s="156" t="s">
        <v>2487</v>
      </c>
      <c r="F1579" s="155"/>
      <c r="G1579" s="157" t="n">
        <v>7.6</v>
      </c>
      <c r="H1579" s="155"/>
      <c r="I1579" s="155"/>
      <c r="J1579" s="155"/>
      <c r="K1579" s="146"/>
    </row>
    <row r="1580">
      <c r="A1580" s="154"/>
      <c r="B1580" s="155"/>
      <c r="C1580" s="155"/>
      <c r="D1580" s="156" t="s">
        <v>1252</v>
      </c>
      <c r="E1580" s="156" t="s">
        <v>2488</v>
      </c>
      <c r="F1580" s="155"/>
      <c r="G1580" s="157" t="n">
        <v>47.3</v>
      </c>
      <c r="H1580" s="155"/>
      <c r="I1580" s="155"/>
      <c r="J1580" s="155"/>
      <c r="K1580" s="146"/>
    </row>
    <row r="1581">
      <c r="A1581" s="154"/>
      <c r="B1581" s="155"/>
      <c r="C1581" s="155"/>
      <c r="D1581" s="156" t="s">
        <v>2551</v>
      </c>
      <c r="E1581" s="156" t="s">
        <v>2552</v>
      </c>
      <c r="F1581" s="155"/>
      <c r="G1581" s="157" t="n">
        <v>1.523</v>
      </c>
      <c r="H1581" s="155"/>
      <c r="I1581" s="155"/>
      <c r="J1581" s="155"/>
      <c r="K1581" s="146"/>
    </row>
    <row r="1582">
      <c r="A1582" s="9" t="s">
        <v>2553</v>
      </c>
      <c r="B1582" s="10" t="s">
        <v>84</v>
      </c>
      <c r="C1582" s="10" t="s">
        <v>2554</v>
      </c>
      <c r="D1582" s="14" t="s">
        <v>2555</v>
      </c>
      <c r="E1582" s="10"/>
      <c r="F1582" s="10" t="s">
        <v>282</v>
      </c>
      <c r="G1582" s="111">
        <f>'Stavební rozpočet'!G1582</f>
      </c>
      <c r="H1582" s="111">
        <f>'Stavební rozpočet'!H1582</f>
      </c>
      <c r="I1582" s="111">
        <f>G1582*H1582</f>
      </c>
      <c r="J1582" s="153" t="s">
        <v>134</v>
      </c>
      <c r="K1582" s="146"/>
      <c r="Z1582" s="111">
        <f>IF(AQ1582="5",BJ1582,0)</f>
      </c>
      <c r="AB1582" s="111">
        <f>IF(AQ1582="1",BH1582,0)</f>
      </c>
      <c r="AC1582" s="111">
        <f>IF(AQ1582="1",BI1582,0)</f>
      </c>
      <c r="AD1582" s="111">
        <f>IF(AQ1582="7",BH1582,0)</f>
      </c>
      <c r="AE1582" s="111">
        <f>IF(AQ1582="7",BI1582,0)</f>
      </c>
      <c r="AF1582" s="111">
        <f>IF(AQ1582="2",BH1582,0)</f>
      </c>
      <c r="AG1582" s="111">
        <f>IF(AQ1582="2",BI1582,0)</f>
      </c>
      <c r="AH1582" s="111">
        <f>IF(AQ1582="0",BJ1582,0)</f>
      </c>
      <c r="AI1582" s="132" t="s">
        <v>84</v>
      </c>
      <c r="AJ1582" s="111">
        <f>IF(AN1582=0,I1582,0)</f>
      </c>
      <c r="AK1582" s="111">
        <f>IF(AN1582=12,I1582,0)</f>
      </c>
      <c r="AL1582" s="111">
        <f>IF(AN1582=21,I1582,0)</f>
      </c>
      <c r="AN1582" s="111" t="n">
        <v>21</v>
      </c>
      <c r="AO1582" s="111">
        <f>H1582*0.830641283</f>
      </c>
      <c r="AP1582" s="111">
        <f>H1582*(1-0.830641283)</f>
      </c>
      <c r="AQ1582" s="153" t="s">
        <v>173</v>
      </c>
      <c r="AV1582" s="111">
        <f>AW1582+AX1582</f>
      </c>
      <c r="AW1582" s="111">
        <f>G1582*AO1582</f>
      </c>
      <c r="AX1582" s="111">
        <f>G1582*AP1582</f>
      </c>
      <c r="AY1582" s="153" t="s">
        <v>2485</v>
      </c>
      <c r="AZ1582" s="153" t="s">
        <v>2486</v>
      </c>
      <c r="BA1582" s="132" t="s">
        <v>137</v>
      </c>
      <c r="BC1582" s="111">
        <f>AW1582+AX1582</f>
      </c>
      <c r="BD1582" s="111">
        <f>H1582/(100-BE1582)*100</f>
      </c>
      <c r="BE1582" s="111" t="n">
        <v>0</v>
      </c>
      <c r="BF1582" s="111">
        <f>1582</f>
      </c>
      <c r="BH1582" s="111">
        <f>G1582*AO1582</f>
      </c>
      <c r="BI1582" s="111">
        <f>G1582*AP1582</f>
      </c>
      <c r="BJ1582" s="111">
        <f>G1582*H1582</f>
      </c>
      <c r="BK1582" s="111"/>
      <c r="BL1582" s="111" t="n">
        <v>771</v>
      </c>
      <c r="BW1582" s="111" t="n">
        <v>21</v>
      </c>
      <c r="BX1582" s="14" t="s">
        <v>2555</v>
      </c>
    </row>
    <row r="1583" customHeight="true" ht="13.5">
      <c r="A1583" s="159"/>
      <c r="C1583" s="160" t="s">
        <v>146</v>
      </c>
      <c r="D1583" s="161" t="s">
        <v>2556</v>
      </c>
      <c r="E1583" s="156"/>
      <c r="F1583" s="156"/>
      <c r="G1583" s="156"/>
      <c r="H1583" s="156"/>
      <c r="I1583" s="156"/>
      <c r="J1583" s="156"/>
      <c r="K1583" s="163"/>
    </row>
    <row r="1584">
      <c r="A1584" s="154"/>
      <c r="B1584" s="155"/>
      <c r="C1584" s="155"/>
      <c r="D1584" s="156" t="s">
        <v>2557</v>
      </c>
      <c r="E1584" s="156" t="s">
        <v>2487</v>
      </c>
      <c r="F1584" s="155"/>
      <c r="G1584" s="157" t="n">
        <v>1.4</v>
      </c>
      <c r="H1584" s="155"/>
      <c r="I1584" s="155"/>
      <c r="J1584" s="155"/>
      <c r="K1584" s="146"/>
    </row>
    <row r="1585">
      <c r="A1585" s="154"/>
      <c r="B1585" s="155"/>
      <c r="C1585" s="155"/>
      <c r="D1585" s="156" t="s">
        <v>2558</v>
      </c>
      <c r="E1585" s="156" t="s">
        <v>2488</v>
      </c>
      <c r="F1585" s="155"/>
      <c r="G1585" s="157" t="n">
        <v>5.85</v>
      </c>
      <c r="H1585" s="155"/>
      <c r="I1585" s="155"/>
      <c r="J1585" s="155"/>
      <c r="K1585" s="146"/>
    </row>
    <row r="1586">
      <c r="A1586" s="9" t="s">
        <v>2559</v>
      </c>
      <c r="B1586" s="10" t="s">
        <v>84</v>
      </c>
      <c r="C1586" s="10" t="s">
        <v>2560</v>
      </c>
      <c r="D1586" s="14" t="s">
        <v>2561</v>
      </c>
      <c r="E1586" s="10"/>
      <c r="F1586" s="10" t="s">
        <v>145</v>
      </c>
      <c r="G1586" s="111">
        <f>'Stavební rozpočet'!G1586</f>
      </c>
      <c r="H1586" s="111">
        <f>'Stavební rozpočet'!H1586</f>
      </c>
      <c r="I1586" s="111">
        <f>G1586*H1586</f>
      </c>
      <c r="J1586" s="153" t="s">
        <v>134</v>
      </c>
      <c r="K1586" s="146"/>
      <c r="Z1586" s="111">
        <f>IF(AQ1586="5",BJ1586,0)</f>
      </c>
      <c r="AB1586" s="111">
        <f>IF(AQ1586="1",BH1586,0)</f>
      </c>
      <c r="AC1586" s="111">
        <f>IF(AQ1586="1",BI1586,0)</f>
      </c>
      <c r="AD1586" s="111">
        <f>IF(AQ1586="7",BH1586,0)</f>
      </c>
      <c r="AE1586" s="111">
        <f>IF(AQ1586="7",BI1586,0)</f>
      </c>
      <c r="AF1586" s="111">
        <f>IF(AQ1586="2",BH1586,0)</f>
      </c>
      <c r="AG1586" s="111">
        <f>IF(AQ1586="2",BI1586,0)</f>
      </c>
      <c r="AH1586" s="111">
        <f>IF(AQ1586="0",BJ1586,0)</f>
      </c>
      <c r="AI1586" s="132" t="s">
        <v>84</v>
      </c>
      <c r="AJ1586" s="111">
        <f>IF(AN1586=0,I1586,0)</f>
      </c>
      <c r="AK1586" s="111">
        <f>IF(AN1586=12,I1586,0)</f>
      </c>
      <c r="AL1586" s="111">
        <f>IF(AN1586=21,I1586,0)</f>
      </c>
      <c r="AN1586" s="111" t="n">
        <v>21</v>
      </c>
      <c r="AO1586" s="111">
        <f>H1586*1</f>
      </c>
      <c r="AP1586" s="111">
        <f>H1586*(1-1)</f>
      </c>
      <c r="AQ1586" s="153" t="s">
        <v>173</v>
      </c>
      <c r="AV1586" s="111">
        <f>AW1586+AX1586</f>
      </c>
      <c r="AW1586" s="111">
        <f>G1586*AO1586</f>
      </c>
      <c r="AX1586" s="111">
        <f>G1586*AP1586</f>
      </c>
      <c r="AY1586" s="153" t="s">
        <v>2485</v>
      </c>
      <c r="AZ1586" s="153" t="s">
        <v>2486</v>
      </c>
      <c r="BA1586" s="132" t="s">
        <v>137</v>
      </c>
      <c r="BC1586" s="111">
        <f>AW1586+AX1586</f>
      </c>
      <c r="BD1586" s="111">
        <f>H1586/(100-BE1586)*100</f>
      </c>
      <c r="BE1586" s="111" t="n">
        <v>0</v>
      </c>
      <c r="BF1586" s="111">
        <f>1586</f>
      </c>
      <c r="BH1586" s="111">
        <f>G1586*AO1586</f>
      </c>
      <c r="BI1586" s="111">
        <f>G1586*AP1586</f>
      </c>
      <c r="BJ1586" s="111">
        <f>G1586*H1586</f>
      </c>
      <c r="BK1586" s="111"/>
      <c r="BL1586" s="111" t="n">
        <v>771</v>
      </c>
      <c r="BW1586" s="111" t="n">
        <v>21</v>
      </c>
      <c r="BX1586" s="14" t="s">
        <v>2561</v>
      </c>
    </row>
    <row r="1587">
      <c r="A1587" s="154"/>
      <c r="B1587" s="155"/>
      <c r="C1587" s="155"/>
      <c r="D1587" s="156" t="s">
        <v>1250</v>
      </c>
      <c r="E1587" s="156" t="s">
        <v>2487</v>
      </c>
      <c r="F1587" s="155"/>
      <c r="G1587" s="157" t="n">
        <v>7.6</v>
      </c>
      <c r="H1587" s="155"/>
      <c r="I1587" s="155"/>
      <c r="J1587" s="155"/>
      <c r="K1587" s="146"/>
    </row>
    <row r="1588">
      <c r="A1588" s="154"/>
      <c r="B1588" s="155"/>
      <c r="C1588" s="155"/>
      <c r="D1588" s="156" t="s">
        <v>1252</v>
      </c>
      <c r="E1588" s="156" t="s">
        <v>2488</v>
      </c>
      <c r="F1588" s="155"/>
      <c r="G1588" s="157" t="n">
        <v>47.3</v>
      </c>
      <c r="H1588" s="155"/>
      <c r="I1588" s="155"/>
      <c r="J1588" s="155"/>
      <c r="K1588" s="146"/>
    </row>
    <row r="1589">
      <c r="A1589" s="9" t="s">
        <v>2562</v>
      </c>
      <c r="B1589" s="10" t="s">
        <v>84</v>
      </c>
      <c r="C1589" s="10" t="s">
        <v>2563</v>
      </c>
      <c r="D1589" s="14" t="s">
        <v>2564</v>
      </c>
      <c r="E1589" s="10"/>
      <c r="F1589" s="10" t="s">
        <v>282</v>
      </c>
      <c r="G1589" s="111">
        <f>'Stavební rozpočet'!G1589</f>
      </c>
      <c r="H1589" s="111">
        <f>'Stavební rozpočet'!H1589</f>
      </c>
      <c r="I1589" s="111">
        <f>G1589*H1589</f>
      </c>
      <c r="J1589" s="153" t="s">
        <v>134</v>
      </c>
      <c r="K1589" s="146"/>
      <c r="Z1589" s="111">
        <f>IF(AQ1589="5",BJ1589,0)</f>
      </c>
      <c r="AB1589" s="111">
        <f>IF(AQ1589="1",BH1589,0)</f>
      </c>
      <c r="AC1589" s="111">
        <f>IF(AQ1589="1",BI1589,0)</f>
      </c>
      <c r="AD1589" s="111">
        <f>IF(AQ1589="7",BH1589,0)</f>
      </c>
      <c r="AE1589" s="111">
        <f>IF(AQ1589="7",BI1589,0)</f>
      </c>
      <c r="AF1589" s="111">
        <f>IF(AQ1589="2",BH1589,0)</f>
      </c>
      <c r="AG1589" s="111">
        <f>IF(AQ1589="2",BI1589,0)</f>
      </c>
      <c r="AH1589" s="111">
        <f>IF(AQ1589="0",BJ1589,0)</f>
      </c>
      <c r="AI1589" s="132" t="s">
        <v>84</v>
      </c>
      <c r="AJ1589" s="111">
        <f>IF(AN1589=0,I1589,0)</f>
      </c>
      <c r="AK1589" s="111">
        <f>IF(AN1589=12,I1589,0)</f>
      </c>
      <c r="AL1589" s="111">
        <f>IF(AN1589=21,I1589,0)</f>
      </c>
      <c r="AN1589" s="111" t="n">
        <v>21</v>
      </c>
      <c r="AO1589" s="111">
        <f>H1589*0</f>
      </c>
      <c r="AP1589" s="111">
        <f>H1589*(1-0)</f>
      </c>
      <c r="AQ1589" s="153" t="s">
        <v>173</v>
      </c>
      <c r="AV1589" s="111">
        <f>AW1589+AX1589</f>
      </c>
      <c r="AW1589" s="111">
        <f>G1589*AO1589</f>
      </c>
      <c r="AX1589" s="111">
        <f>G1589*AP1589</f>
      </c>
      <c r="AY1589" s="153" t="s">
        <v>2485</v>
      </c>
      <c r="AZ1589" s="153" t="s">
        <v>2486</v>
      </c>
      <c r="BA1589" s="132" t="s">
        <v>137</v>
      </c>
      <c r="BC1589" s="111">
        <f>AW1589+AX1589</f>
      </c>
      <c r="BD1589" s="111">
        <f>H1589/(100-BE1589)*100</f>
      </c>
      <c r="BE1589" s="111" t="n">
        <v>0</v>
      </c>
      <c r="BF1589" s="111">
        <f>1589</f>
      </c>
      <c r="BH1589" s="111">
        <f>G1589*AO1589</f>
      </c>
      <c r="BI1589" s="111">
        <f>G1589*AP1589</f>
      </c>
      <c r="BJ1589" s="111">
        <f>G1589*H1589</f>
      </c>
      <c r="BK1589" s="111"/>
      <c r="BL1589" s="111" t="n">
        <v>771</v>
      </c>
      <c r="BW1589" s="111" t="n">
        <v>21</v>
      </c>
      <c r="BX1589" s="14" t="s">
        <v>2564</v>
      </c>
    </row>
    <row r="1590" customHeight="true" ht="13.5">
      <c r="A1590" s="159"/>
      <c r="C1590" s="160" t="s">
        <v>146</v>
      </c>
      <c r="D1590" s="161" t="s">
        <v>2565</v>
      </c>
      <c r="E1590" s="156"/>
      <c r="F1590" s="156"/>
      <c r="G1590" s="156"/>
      <c r="H1590" s="156"/>
      <c r="I1590" s="156"/>
      <c r="J1590" s="156"/>
      <c r="K1590" s="163"/>
    </row>
    <row r="1591">
      <c r="A1591" s="154"/>
      <c r="B1591" s="155"/>
      <c r="C1591" s="155"/>
      <c r="D1591" s="156" t="s">
        <v>2528</v>
      </c>
      <c r="E1591" s="156" t="s">
        <v>989</v>
      </c>
      <c r="F1591" s="155"/>
      <c r="G1591" s="157" t="n">
        <v>15.23</v>
      </c>
      <c r="H1591" s="155"/>
      <c r="I1591" s="155"/>
      <c r="J1591" s="155"/>
      <c r="K1591" s="146"/>
    </row>
    <row r="1592">
      <c r="A1592" s="154"/>
      <c r="B1592" s="155"/>
      <c r="C1592" s="155"/>
      <c r="D1592" s="156" t="s">
        <v>2535</v>
      </c>
      <c r="E1592" s="156" t="s">
        <v>864</v>
      </c>
      <c r="F1592" s="155"/>
      <c r="G1592" s="157" t="n">
        <v>10.57</v>
      </c>
      <c r="H1592" s="155"/>
      <c r="I1592" s="155"/>
      <c r="J1592" s="155"/>
      <c r="K1592" s="146"/>
    </row>
    <row r="1593">
      <c r="A1593" s="154"/>
      <c r="B1593" s="155"/>
      <c r="C1593" s="155"/>
      <c r="D1593" s="156" t="s">
        <v>2536</v>
      </c>
      <c r="E1593" s="156" t="s">
        <v>566</v>
      </c>
      <c r="F1593" s="155"/>
      <c r="G1593" s="157" t="n">
        <v>10.37</v>
      </c>
      <c r="H1593" s="155"/>
      <c r="I1593" s="155"/>
      <c r="J1593" s="155"/>
      <c r="K1593" s="146"/>
    </row>
    <row r="1594">
      <c r="A1594" s="154"/>
      <c r="B1594" s="155"/>
      <c r="C1594" s="155"/>
      <c r="D1594" s="156" t="s">
        <v>2537</v>
      </c>
      <c r="E1594" s="156" t="s">
        <v>865</v>
      </c>
      <c r="F1594" s="155"/>
      <c r="G1594" s="157" t="n">
        <v>7.2</v>
      </c>
      <c r="H1594" s="155"/>
      <c r="I1594" s="155"/>
      <c r="J1594" s="155"/>
      <c r="K1594" s="146"/>
    </row>
    <row r="1595">
      <c r="A1595" s="154"/>
      <c r="B1595" s="155"/>
      <c r="C1595" s="155"/>
      <c r="D1595" s="156" t="s">
        <v>2538</v>
      </c>
      <c r="E1595" s="156" t="s">
        <v>1030</v>
      </c>
      <c r="F1595" s="155"/>
      <c r="G1595" s="157" t="n">
        <v>6.9</v>
      </c>
      <c r="H1595" s="155"/>
      <c r="I1595" s="155"/>
      <c r="J1595" s="155"/>
      <c r="K1595" s="146"/>
    </row>
    <row r="1596">
      <c r="A1596" s="154"/>
      <c r="B1596" s="155"/>
      <c r="C1596" s="155"/>
      <c r="D1596" s="156" t="s">
        <v>2539</v>
      </c>
      <c r="E1596" s="156" t="s">
        <v>1032</v>
      </c>
      <c r="F1596" s="155"/>
      <c r="G1596" s="157" t="n">
        <v>10.58</v>
      </c>
      <c r="H1596" s="155"/>
      <c r="I1596" s="155"/>
      <c r="J1596" s="155"/>
      <c r="K1596" s="146"/>
    </row>
    <row r="1597">
      <c r="A1597" s="154"/>
      <c r="B1597" s="155"/>
      <c r="C1597" s="155"/>
      <c r="D1597" s="156" t="s">
        <v>2540</v>
      </c>
      <c r="E1597" s="156" t="s">
        <v>1034</v>
      </c>
      <c r="F1597" s="155"/>
      <c r="G1597" s="157" t="n">
        <v>4.82</v>
      </c>
      <c r="H1597" s="155"/>
      <c r="I1597" s="155"/>
      <c r="J1597" s="155"/>
      <c r="K1597" s="146"/>
    </row>
    <row r="1598">
      <c r="A1598" s="154"/>
      <c r="B1598" s="155"/>
      <c r="C1598" s="155"/>
      <c r="D1598" s="156" t="s">
        <v>2541</v>
      </c>
      <c r="E1598" s="156" t="s">
        <v>1008</v>
      </c>
      <c r="F1598" s="155"/>
      <c r="G1598" s="157" t="n">
        <v>8.2</v>
      </c>
      <c r="H1598" s="155"/>
      <c r="I1598" s="155"/>
      <c r="J1598" s="155"/>
      <c r="K1598" s="146"/>
    </row>
    <row r="1599">
      <c r="A1599" s="154"/>
      <c r="B1599" s="155"/>
      <c r="C1599" s="155"/>
      <c r="D1599" s="156" t="s">
        <v>2541</v>
      </c>
      <c r="E1599" s="156" t="s">
        <v>1010</v>
      </c>
      <c r="F1599" s="155"/>
      <c r="G1599" s="157" t="n">
        <v>8.2</v>
      </c>
      <c r="H1599" s="155"/>
      <c r="I1599" s="155"/>
      <c r="J1599" s="155"/>
      <c r="K1599" s="146"/>
    </row>
    <row r="1600">
      <c r="A1600" s="9" t="s">
        <v>2566</v>
      </c>
      <c r="B1600" s="10" t="s">
        <v>84</v>
      </c>
      <c r="C1600" s="10" t="s">
        <v>2567</v>
      </c>
      <c r="D1600" s="14" t="s">
        <v>2568</v>
      </c>
      <c r="E1600" s="10"/>
      <c r="F1600" s="10" t="s">
        <v>282</v>
      </c>
      <c r="G1600" s="111">
        <f>'Stavební rozpočet'!G1600</f>
      </c>
      <c r="H1600" s="111">
        <f>'Stavební rozpočet'!H1600</f>
      </c>
      <c r="I1600" s="111">
        <f>G1600*H1600</f>
      </c>
      <c r="J1600" s="153" t="s">
        <v>134</v>
      </c>
      <c r="K1600" s="146"/>
      <c r="Z1600" s="111">
        <f>IF(AQ1600="5",BJ1600,0)</f>
      </c>
      <c r="AB1600" s="111">
        <f>IF(AQ1600="1",BH1600,0)</f>
      </c>
      <c r="AC1600" s="111">
        <f>IF(AQ1600="1",BI1600,0)</f>
      </c>
      <c r="AD1600" s="111">
        <f>IF(AQ1600="7",BH1600,0)</f>
      </c>
      <c r="AE1600" s="111">
        <f>IF(AQ1600="7",BI1600,0)</f>
      </c>
      <c r="AF1600" s="111">
        <f>IF(AQ1600="2",BH1600,0)</f>
      </c>
      <c r="AG1600" s="111">
        <f>IF(AQ1600="2",BI1600,0)</f>
      </c>
      <c r="AH1600" s="111">
        <f>IF(AQ1600="0",BJ1600,0)</f>
      </c>
      <c r="AI1600" s="132" t="s">
        <v>84</v>
      </c>
      <c r="AJ1600" s="111">
        <f>IF(AN1600=0,I1600,0)</f>
      </c>
      <c r="AK1600" s="111">
        <f>IF(AN1600=12,I1600,0)</f>
      </c>
      <c r="AL1600" s="111">
        <f>IF(AN1600=21,I1600,0)</f>
      </c>
      <c r="AN1600" s="111" t="n">
        <v>21</v>
      </c>
      <c r="AO1600" s="111">
        <f>H1600*1</f>
      </c>
      <c r="AP1600" s="111">
        <f>H1600*(1-1)</f>
      </c>
      <c r="AQ1600" s="153" t="s">
        <v>173</v>
      </c>
      <c r="AV1600" s="111">
        <f>AW1600+AX1600</f>
      </c>
      <c r="AW1600" s="111">
        <f>G1600*AO1600</f>
      </c>
      <c r="AX1600" s="111">
        <f>G1600*AP1600</f>
      </c>
      <c r="AY1600" s="153" t="s">
        <v>2485</v>
      </c>
      <c r="AZ1600" s="153" t="s">
        <v>2486</v>
      </c>
      <c r="BA1600" s="132" t="s">
        <v>137</v>
      </c>
      <c r="BC1600" s="111">
        <f>AW1600+AX1600</f>
      </c>
      <c r="BD1600" s="111">
        <f>H1600/(100-BE1600)*100</f>
      </c>
      <c r="BE1600" s="111" t="n">
        <v>0</v>
      </c>
      <c r="BF1600" s="111">
        <f>1600</f>
      </c>
      <c r="BH1600" s="111">
        <f>G1600*AO1600</f>
      </c>
      <c r="BI1600" s="111">
        <f>G1600*AP1600</f>
      </c>
      <c r="BJ1600" s="111">
        <f>G1600*H1600</f>
      </c>
      <c r="BK1600" s="111"/>
      <c r="BL1600" s="111" t="n">
        <v>771</v>
      </c>
      <c r="BW1600" s="111" t="n">
        <v>21</v>
      </c>
      <c r="BX1600" s="14" t="s">
        <v>2568</v>
      </c>
    </row>
    <row r="1601">
      <c r="A1601" s="154"/>
      <c r="B1601" s="155"/>
      <c r="C1601" s="155"/>
      <c r="D1601" s="156" t="s">
        <v>2569</v>
      </c>
      <c r="E1601" s="156" t="s">
        <v>4</v>
      </c>
      <c r="F1601" s="155"/>
      <c r="G1601" s="157" t="n">
        <v>82.07</v>
      </c>
      <c r="H1601" s="155"/>
      <c r="I1601" s="155"/>
      <c r="J1601" s="155"/>
      <c r="K1601" s="146"/>
    </row>
    <row r="1602">
      <c r="A1602" s="154"/>
      <c r="B1602" s="155"/>
      <c r="C1602" s="155"/>
      <c r="D1602" s="156" t="s">
        <v>2570</v>
      </c>
      <c r="E1602" s="156" t="s">
        <v>961</v>
      </c>
      <c r="F1602" s="155"/>
      <c r="G1602" s="157" t="n">
        <v>5.7449</v>
      </c>
      <c r="H1602" s="155"/>
      <c r="I1602" s="155"/>
      <c r="J1602" s="155"/>
      <c r="K1602" s="146"/>
    </row>
    <row r="1603">
      <c r="A1603" s="9" t="s">
        <v>2571</v>
      </c>
      <c r="B1603" s="10" t="s">
        <v>84</v>
      </c>
      <c r="C1603" s="10" t="s">
        <v>2572</v>
      </c>
      <c r="D1603" s="14" t="s">
        <v>2573</v>
      </c>
      <c r="E1603" s="10"/>
      <c r="F1603" s="10" t="s">
        <v>145</v>
      </c>
      <c r="G1603" s="111">
        <f>'Stavební rozpočet'!G1603</f>
      </c>
      <c r="H1603" s="111">
        <f>'Stavební rozpočet'!H1603</f>
      </c>
      <c r="I1603" s="111">
        <f>G1603*H1603</f>
      </c>
      <c r="J1603" s="153" t="s">
        <v>134</v>
      </c>
      <c r="K1603" s="146"/>
      <c r="Z1603" s="111">
        <f>IF(AQ1603="5",BJ1603,0)</f>
      </c>
      <c r="AB1603" s="111">
        <f>IF(AQ1603="1",BH1603,0)</f>
      </c>
      <c r="AC1603" s="111">
        <f>IF(AQ1603="1",BI1603,0)</f>
      </c>
      <c r="AD1603" s="111">
        <f>IF(AQ1603="7",BH1603,0)</f>
      </c>
      <c r="AE1603" s="111">
        <f>IF(AQ1603="7",BI1603,0)</f>
      </c>
      <c r="AF1603" s="111">
        <f>IF(AQ1603="2",BH1603,0)</f>
      </c>
      <c r="AG1603" s="111">
        <f>IF(AQ1603="2",BI1603,0)</f>
      </c>
      <c r="AH1603" s="111">
        <f>IF(AQ1603="0",BJ1603,0)</f>
      </c>
      <c r="AI1603" s="132" t="s">
        <v>84</v>
      </c>
      <c r="AJ1603" s="111">
        <f>IF(AN1603=0,I1603,0)</f>
      </c>
      <c r="AK1603" s="111">
        <f>IF(AN1603=12,I1603,0)</f>
      </c>
      <c r="AL1603" s="111">
        <f>IF(AN1603=21,I1603,0)</f>
      </c>
      <c r="AN1603" s="111" t="n">
        <v>21</v>
      </c>
      <c r="AO1603" s="111">
        <f>H1603*0.218135942</f>
      </c>
      <c r="AP1603" s="111">
        <f>H1603*(1-0.218135942)</f>
      </c>
      <c r="AQ1603" s="153" t="s">
        <v>173</v>
      </c>
      <c r="AV1603" s="111">
        <f>AW1603+AX1603</f>
      </c>
      <c r="AW1603" s="111">
        <f>G1603*AO1603</f>
      </c>
      <c r="AX1603" s="111">
        <f>G1603*AP1603</f>
      </c>
      <c r="AY1603" s="153" t="s">
        <v>2485</v>
      </c>
      <c r="AZ1603" s="153" t="s">
        <v>2486</v>
      </c>
      <c r="BA1603" s="132" t="s">
        <v>137</v>
      </c>
      <c r="BC1603" s="111">
        <f>AW1603+AX1603</f>
      </c>
      <c r="BD1603" s="111">
        <f>H1603/(100-BE1603)*100</f>
      </c>
      <c r="BE1603" s="111" t="n">
        <v>0</v>
      </c>
      <c r="BF1603" s="111">
        <f>1603</f>
      </c>
      <c r="BH1603" s="111">
        <f>G1603*AO1603</f>
      </c>
      <c r="BI1603" s="111">
        <f>G1603*AP1603</f>
      </c>
      <c r="BJ1603" s="111">
        <f>G1603*H1603</f>
      </c>
      <c r="BK1603" s="111"/>
      <c r="BL1603" s="111" t="n">
        <v>771</v>
      </c>
      <c r="BW1603" s="111" t="n">
        <v>21</v>
      </c>
      <c r="BX1603" s="14" t="s">
        <v>2573</v>
      </c>
    </row>
    <row r="1604" customHeight="true" ht="13.5">
      <c r="A1604" s="159"/>
      <c r="C1604" s="160" t="s">
        <v>146</v>
      </c>
      <c r="D1604" s="161" t="s">
        <v>2574</v>
      </c>
      <c r="E1604" s="156"/>
      <c r="F1604" s="156"/>
      <c r="G1604" s="156"/>
      <c r="H1604" s="156"/>
      <c r="I1604" s="156"/>
      <c r="J1604" s="156"/>
      <c r="K1604" s="163"/>
    </row>
    <row r="1605">
      <c r="A1605" s="154"/>
      <c r="B1605" s="155"/>
      <c r="C1605" s="155"/>
      <c r="D1605" s="156" t="s">
        <v>2575</v>
      </c>
      <c r="E1605" s="156" t="s">
        <v>2576</v>
      </c>
      <c r="F1605" s="155"/>
      <c r="G1605" s="157" t="n">
        <v>1.19</v>
      </c>
      <c r="H1605" s="155"/>
      <c r="I1605" s="155"/>
      <c r="J1605" s="155"/>
      <c r="K1605" s="146"/>
    </row>
    <row r="1606">
      <c r="A1606" s="9" t="s">
        <v>2577</v>
      </c>
      <c r="B1606" s="10" t="s">
        <v>84</v>
      </c>
      <c r="C1606" s="10" t="s">
        <v>2578</v>
      </c>
      <c r="D1606" s="14" t="s">
        <v>2579</v>
      </c>
      <c r="E1606" s="10"/>
      <c r="F1606" s="10" t="s">
        <v>61</v>
      </c>
      <c r="G1606" s="111">
        <f>'Stavební rozpočet'!G1606</f>
      </c>
      <c r="H1606" s="111">
        <f>'Stavební rozpočet'!H1606</f>
      </c>
      <c r="I1606" s="111">
        <f>G1606*H1606</f>
      </c>
      <c r="J1606" s="153" t="s">
        <v>134</v>
      </c>
      <c r="K1606" s="146"/>
      <c r="Z1606" s="111">
        <f>IF(AQ1606="5",BJ1606,0)</f>
      </c>
      <c r="AB1606" s="111">
        <f>IF(AQ1606="1",BH1606,0)</f>
      </c>
      <c r="AC1606" s="111">
        <f>IF(AQ1606="1",BI1606,0)</f>
      </c>
      <c r="AD1606" s="111">
        <f>IF(AQ1606="7",BH1606,0)</f>
      </c>
      <c r="AE1606" s="111">
        <f>IF(AQ1606="7",BI1606,0)</f>
      </c>
      <c r="AF1606" s="111">
        <f>IF(AQ1606="2",BH1606,0)</f>
      </c>
      <c r="AG1606" s="111">
        <f>IF(AQ1606="2",BI1606,0)</f>
      </c>
      <c r="AH1606" s="111">
        <f>IF(AQ1606="0",BJ1606,0)</f>
      </c>
      <c r="AI1606" s="132" t="s">
        <v>84</v>
      </c>
      <c r="AJ1606" s="111">
        <f>IF(AN1606=0,I1606,0)</f>
      </c>
      <c r="AK1606" s="111">
        <f>IF(AN1606=12,I1606,0)</f>
      </c>
      <c r="AL1606" s="111">
        <f>IF(AN1606=21,I1606,0)</f>
      </c>
      <c r="AN1606" s="111" t="n">
        <v>21</v>
      </c>
      <c r="AO1606" s="111">
        <f>H1606*0</f>
      </c>
      <c r="AP1606" s="111">
        <f>H1606*(1-0)</f>
      </c>
      <c r="AQ1606" s="153" t="s">
        <v>156</v>
      </c>
      <c r="AV1606" s="111">
        <f>AW1606+AX1606</f>
      </c>
      <c r="AW1606" s="111">
        <f>G1606*AO1606</f>
      </c>
      <c r="AX1606" s="111">
        <f>G1606*AP1606</f>
      </c>
      <c r="AY1606" s="153" t="s">
        <v>2485</v>
      </c>
      <c r="AZ1606" s="153" t="s">
        <v>2486</v>
      </c>
      <c r="BA1606" s="132" t="s">
        <v>137</v>
      </c>
      <c r="BC1606" s="111">
        <f>AW1606+AX1606</f>
      </c>
      <c r="BD1606" s="111">
        <f>H1606/(100-BE1606)*100</f>
      </c>
      <c r="BE1606" s="111" t="n">
        <v>0</v>
      </c>
      <c r="BF1606" s="111">
        <f>1606</f>
      </c>
      <c r="BH1606" s="111">
        <f>G1606*AO1606</f>
      </c>
      <c r="BI1606" s="111">
        <f>G1606*AP1606</f>
      </c>
      <c r="BJ1606" s="111">
        <f>G1606*H1606</f>
      </c>
      <c r="BK1606" s="111"/>
      <c r="BL1606" s="111" t="n">
        <v>771</v>
      </c>
      <c r="BW1606" s="111" t="n">
        <v>21</v>
      </c>
      <c r="BX1606" s="14" t="s">
        <v>2579</v>
      </c>
    </row>
    <row r="1607">
      <c r="A1607" s="9" t="s">
        <v>2580</v>
      </c>
      <c r="B1607" s="10" t="s">
        <v>84</v>
      </c>
      <c r="C1607" s="10" t="s">
        <v>2581</v>
      </c>
      <c r="D1607" s="14" t="s">
        <v>2582</v>
      </c>
      <c r="E1607" s="10"/>
      <c r="F1607" s="10" t="s">
        <v>61</v>
      </c>
      <c r="G1607" s="111">
        <f>'Stavební rozpočet'!G1607</f>
      </c>
      <c r="H1607" s="111">
        <f>'Stavební rozpočet'!H1607</f>
      </c>
      <c r="I1607" s="111">
        <f>G1607*H1607</f>
      </c>
      <c r="J1607" s="153" t="s">
        <v>134</v>
      </c>
      <c r="K1607" s="146"/>
      <c r="Z1607" s="111">
        <f>IF(AQ1607="5",BJ1607,0)</f>
      </c>
      <c r="AB1607" s="111">
        <f>IF(AQ1607="1",BH1607,0)</f>
      </c>
      <c r="AC1607" s="111">
        <f>IF(AQ1607="1",BI1607,0)</f>
      </c>
      <c r="AD1607" s="111">
        <f>IF(AQ1607="7",BH1607,0)</f>
      </c>
      <c r="AE1607" s="111">
        <f>IF(AQ1607="7",BI1607,0)</f>
      </c>
      <c r="AF1607" s="111">
        <f>IF(AQ1607="2",BH1607,0)</f>
      </c>
      <c r="AG1607" s="111">
        <f>IF(AQ1607="2",BI1607,0)</f>
      </c>
      <c r="AH1607" s="111">
        <f>IF(AQ1607="0",BJ1607,0)</f>
      </c>
      <c r="AI1607" s="132" t="s">
        <v>84</v>
      </c>
      <c r="AJ1607" s="111">
        <f>IF(AN1607=0,I1607,0)</f>
      </c>
      <c r="AK1607" s="111">
        <f>IF(AN1607=12,I1607,0)</f>
      </c>
      <c r="AL1607" s="111">
        <f>IF(AN1607=21,I1607,0)</f>
      </c>
      <c r="AN1607" s="111" t="n">
        <v>21</v>
      </c>
      <c r="AO1607" s="111">
        <f>H1607*0</f>
      </c>
      <c r="AP1607" s="111">
        <f>H1607*(1-0)</f>
      </c>
      <c r="AQ1607" s="153" t="s">
        <v>156</v>
      </c>
      <c r="AV1607" s="111">
        <f>AW1607+AX1607</f>
      </c>
      <c r="AW1607" s="111">
        <f>G1607*AO1607</f>
      </c>
      <c r="AX1607" s="111">
        <f>G1607*AP1607</f>
      </c>
      <c r="AY1607" s="153" t="s">
        <v>2485</v>
      </c>
      <c r="AZ1607" s="153" t="s">
        <v>2486</v>
      </c>
      <c r="BA1607" s="132" t="s">
        <v>137</v>
      </c>
      <c r="BC1607" s="111">
        <f>AW1607+AX1607</f>
      </c>
      <c r="BD1607" s="111">
        <f>H1607/(100-BE1607)*100</f>
      </c>
      <c r="BE1607" s="111" t="n">
        <v>0</v>
      </c>
      <c r="BF1607" s="111">
        <f>1607</f>
      </c>
      <c r="BH1607" s="111">
        <f>G1607*AO1607</f>
      </c>
      <c r="BI1607" s="111">
        <f>G1607*AP1607</f>
      </c>
      <c r="BJ1607" s="111">
        <f>G1607*H1607</f>
      </c>
      <c r="BK1607" s="111"/>
      <c r="BL1607" s="111" t="n">
        <v>771</v>
      </c>
      <c r="BW1607" s="111" t="n">
        <v>21</v>
      </c>
      <c r="BX1607" s="14" t="s">
        <v>2582</v>
      </c>
    </row>
    <row r="1608">
      <c r="A1608" s="147" t="s">
        <v>4</v>
      </c>
      <c r="B1608" s="148" t="s">
        <v>84</v>
      </c>
      <c r="C1608" s="148" t="s">
        <v>2583</v>
      </c>
      <c r="D1608" s="149" t="s">
        <v>2584</v>
      </c>
      <c r="E1608" s="148"/>
      <c r="F1608" s="150" t="s">
        <v>79</v>
      </c>
      <c r="G1608" s="150" t="s">
        <v>79</v>
      </c>
      <c r="H1608" s="150" t="s">
        <v>79</v>
      </c>
      <c r="I1608" s="117">
        <f>SUM(I1609:I1662)</f>
      </c>
      <c r="J1608" s="132" t="s">
        <v>4</v>
      </c>
      <c r="K1608" s="146"/>
      <c r="AI1608" s="132" t="s">
        <v>84</v>
      </c>
      <c r="AS1608" s="117">
        <f>SUM(AJ1609:AJ1662)</f>
      </c>
      <c r="AT1608" s="117">
        <f>SUM(AK1609:AK1662)</f>
      </c>
      <c r="AU1608" s="117">
        <f>SUM(AL1609:AL1662)</f>
      </c>
    </row>
    <row r="1609">
      <c r="A1609" s="9" t="s">
        <v>2585</v>
      </c>
      <c r="B1609" s="10" t="s">
        <v>84</v>
      </c>
      <c r="C1609" s="10" t="s">
        <v>2586</v>
      </c>
      <c r="D1609" s="14" t="s">
        <v>2587</v>
      </c>
      <c r="E1609" s="10"/>
      <c r="F1609" s="10" t="s">
        <v>145</v>
      </c>
      <c r="G1609" s="111">
        <f>'Stavební rozpočet'!G1609</f>
      </c>
      <c r="H1609" s="111">
        <f>'Stavební rozpočet'!H1609</f>
      </c>
      <c r="I1609" s="111">
        <f>G1609*H1609</f>
      </c>
      <c r="J1609" s="153" t="s">
        <v>134</v>
      </c>
      <c r="K1609" s="146"/>
      <c r="Z1609" s="111">
        <f>IF(AQ1609="5",BJ1609,0)</f>
      </c>
      <c r="AB1609" s="111">
        <f>IF(AQ1609="1",BH1609,0)</f>
      </c>
      <c r="AC1609" s="111">
        <f>IF(AQ1609="1",BI1609,0)</f>
      </c>
      <c r="AD1609" s="111">
        <f>IF(AQ1609="7",BH1609,0)</f>
      </c>
      <c r="AE1609" s="111">
        <f>IF(AQ1609="7",BI1609,0)</f>
      </c>
      <c r="AF1609" s="111">
        <f>IF(AQ1609="2",BH1609,0)</f>
      </c>
      <c r="AG1609" s="111">
        <f>IF(AQ1609="2",BI1609,0)</f>
      </c>
      <c r="AH1609" s="111">
        <f>IF(AQ1609="0",BJ1609,0)</f>
      </c>
      <c r="AI1609" s="132" t="s">
        <v>84</v>
      </c>
      <c r="AJ1609" s="111">
        <f>IF(AN1609=0,I1609,0)</f>
      </c>
      <c r="AK1609" s="111">
        <f>IF(AN1609=12,I1609,0)</f>
      </c>
      <c r="AL1609" s="111">
        <f>IF(AN1609=21,I1609,0)</f>
      </c>
      <c r="AN1609" s="111" t="n">
        <v>21</v>
      </c>
      <c r="AO1609" s="111">
        <f>H1609*0</f>
      </c>
      <c r="AP1609" s="111">
        <f>H1609*(1-0)</f>
      </c>
      <c r="AQ1609" s="153" t="s">
        <v>173</v>
      </c>
      <c r="AV1609" s="111">
        <f>AW1609+AX1609</f>
      </c>
      <c r="AW1609" s="111">
        <f>G1609*AO1609</f>
      </c>
      <c r="AX1609" s="111">
        <f>G1609*AP1609</f>
      </c>
      <c r="AY1609" s="153" t="s">
        <v>2588</v>
      </c>
      <c r="AZ1609" s="153" t="s">
        <v>2486</v>
      </c>
      <c r="BA1609" s="132" t="s">
        <v>137</v>
      </c>
      <c r="BC1609" s="111">
        <f>AW1609+AX1609</f>
      </c>
      <c r="BD1609" s="111">
        <f>H1609/(100-BE1609)*100</f>
      </c>
      <c r="BE1609" s="111" t="n">
        <v>0</v>
      </c>
      <c r="BF1609" s="111">
        <f>1609</f>
      </c>
      <c r="BH1609" s="111">
        <f>G1609*AO1609</f>
      </c>
      <c r="BI1609" s="111">
        <f>G1609*AP1609</f>
      </c>
      <c r="BJ1609" s="111">
        <f>G1609*H1609</f>
      </c>
      <c r="BK1609" s="111"/>
      <c r="BL1609" s="111" t="n">
        <v>775</v>
      </c>
      <c r="BW1609" s="111" t="n">
        <v>21</v>
      </c>
      <c r="BX1609" s="14" t="s">
        <v>2587</v>
      </c>
    </row>
    <row r="1610">
      <c r="A1610" s="154"/>
      <c r="B1610" s="155"/>
      <c r="C1610" s="155"/>
      <c r="D1610" s="156" t="s">
        <v>1253</v>
      </c>
      <c r="E1610" s="156" t="s">
        <v>2589</v>
      </c>
      <c r="F1610" s="155"/>
      <c r="G1610" s="157" t="n">
        <v>240.3</v>
      </c>
      <c r="H1610" s="155"/>
      <c r="I1610" s="155"/>
      <c r="J1610" s="155"/>
      <c r="K1610" s="146"/>
    </row>
    <row r="1611">
      <c r="A1611" s="9" t="s">
        <v>2590</v>
      </c>
      <c r="B1611" s="10" t="s">
        <v>84</v>
      </c>
      <c r="C1611" s="10" t="s">
        <v>2591</v>
      </c>
      <c r="D1611" s="14" t="s">
        <v>2592</v>
      </c>
      <c r="E1611" s="10"/>
      <c r="F1611" s="10" t="s">
        <v>145</v>
      </c>
      <c r="G1611" s="111">
        <f>'Stavební rozpočet'!G1611</f>
      </c>
      <c r="H1611" s="111">
        <f>'Stavební rozpočet'!H1611</f>
      </c>
      <c r="I1611" s="111">
        <f>G1611*H1611</f>
      </c>
      <c r="J1611" s="153" t="s">
        <v>134</v>
      </c>
      <c r="K1611" s="146"/>
      <c r="Z1611" s="111">
        <f>IF(AQ1611="5",BJ1611,0)</f>
      </c>
      <c r="AB1611" s="111">
        <f>IF(AQ1611="1",BH1611,0)</f>
      </c>
      <c r="AC1611" s="111">
        <f>IF(AQ1611="1",BI1611,0)</f>
      </c>
      <c r="AD1611" s="111">
        <f>IF(AQ1611="7",BH1611,0)</f>
      </c>
      <c r="AE1611" s="111">
        <f>IF(AQ1611="7",BI1611,0)</f>
      </c>
      <c r="AF1611" s="111">
        <f>IF(AQ1611="2",BH1611,0)</f>
      </c>
      <c r="AG1611" s="111">
        <f>IF(AQ1611="2",BI1611,0)</f>
      </c>
      <c r="AH1611" s="111">
        <f>IF(AQ1611="0",BJ1611,0)</f>
      </c>
      <c r="AI1611" s="132" t="s">
        <v>84</v>
      </c>
      <c r="AJ1611" s="111">
        <f>IF(AN1611=0,I1611,0)</f>
      </c>
      <c r="AK1611" s="111">
        <f>IF(AN1611=12,I1611,0)</f>
      </c>
      <c r="AL1611" s="111">
        <f>IF(AN1611=21,I1611,0)</f>
      </c>
      <c r="AN1611" s="111" t="n">
        <v>21</v>
      </c>
      <c r="AO1611" s="111">
        <f>H1611*0.794046997</f>
      </c>
      <c r="AP1611" s="111">
        <f>H1611*(1-0.794046997)</f>
      </c>
      <c r="AQ1611" s="153" t="s">
        <v>173</v>
      </c>
      <c r="AV1611" s="111">
        <f>AW1611+AX1611</f>
      </c>
      <c r="AW1611" s="111">
        <f>G1611*AO1611</f>
      </c>
      <c r="AX1611" s="111">
        <f>G1611*AP1611</f>
      </c>
      <c r="AY1611" s="153" t="s">
        <v>2588</v>
      </c>
      <c r="AZ1611" s="153" t="s">
        <v>2486</v>
      </c>
      <c r="BA1611" s="132" t="s">
        <v>137</v>
      </c>
      <c r="BC1611" s="111">
        <f>AW1611+AX1611</f>
      </c>
      <c r="BD1611" s="111">
        <f>H1611/(100-BE1611)*100</f>
      </c>
      <c r="BE1611" s="111" t="n">
        <v>0</v>
      </c>
      <c r="BF1611" s="111">
        <f>1611</f>
      </c>
      <c r="BH1611" s="111">
        <f>G1611*AO1611</f>
      </c>
      <c r="BI1611" s="111">
        <f>G1611*AP1611</f>
      </c>
      <c r="BJ1611" s="111">
        <f>G1611*H1611</f>
      </c>
      <c r="BK1611" s="111"/>
      <c r="BL1611" s="111" t="n">
        <v>775</v>
      </c>
      <c r="BW1611" s="111" t="n">
        <v>21</v>
      </c>
      <c r="BX1611" s="14" t="s">
        <v>2592</v>
      </c>
    </row>
    <row r="1612" customHeight="true" ht="13.5">
      <c r="A1612" s="159"/>
      <c r="C1612" s="160" t="s">
        <v>146</v>
      </c>
      <c r="D1612" s="161" t="s">
        <v>2593</v>
      </c>
      <c r="E1612" s="156"/>
      <c r="F1612" s="156"/>
      <c r="G1612" s="156"/>
      <c r="H1612" s="156"/>
      <c r="I1612" s="156"/>
      <c r="J1612" s="156"/>
      <c r="K1612" s="163"/>
    </row>
    <row r="1613">
      <c r="A1613" s="154"/>
      <c r="B1613" s="155"/>
      <c r="C1613" s="155"/>
      <c r="D1613" s="156" t="s">
        <v>1253</v>
      </c>
      <c r="E1613" s="156" t="s">
        <v>2589</v>
      </c>
      <c r="F1613" s="155"/>
      <c r="G1613" s="157" t="n">
        <v>240.3</v>
      </c>
      <c r="H1613" s="155"/>
      <c r="I1613" s="155"/>
      <c r="J1613" s="155"/>
      <c r="K1613" s="146"/>
    </row>
    <row r="1614">
      <c r="A1614" s="9" t="s">
        <v>2594</v>
      </c>
      <c r="B1614" s="10" t="s">
        <v>84</v>
      </c>
      <c r="C1614" s="10" t="s">
        <v>2595</v>
      </c>
      <c r="D1614" s="14" t="s">
        <v>2596</v>
      </c>
      <c r="E1614" s="10"/>
      <c r="F1614" s="10" t="s">
        <v>145</v>
      </c>
      <c r="G1614" s="111">
        <f>'Stavební rozpočet'!G1614</f>
      </c>
      <c r="H1614" s="111">
        <f>'Stavební rozpočet'!H1614</f>
      </c>
      <c r="I1614" s="111">
        <f>G1614*H1614</f>
      </c>
      <c r="J1614" s="153" t="s">
        <v>134</v>
      </c>
      <c r="K1614" s="146"/>
      <c r="Z1614" s="111">
        <f>IF(AQ1614="5",BJ1614,0)</f>
      </c>
      <c r="AB1614" s="111">
        <f>IF(AQ1614="1",BH1614,0)</f>
      </c>
      <c r="AC1614" s="111">
        <f>IF(AQ1614="1",BI1614,0)</f>
      </c>
      <c r="AD1614" s="111">
        <f>IF(AQ1614="7",BH1614,0)</f>
      </c>
      <c r="AE1614" s="111">
        <f>IF(AQ1614="7",BI1614,0)</f>
      </c>
      <c r="AF1614" s="111">
        <f>IF(AQ1614="2",BH1614,0)</f>
      </c>
      <c r="AG1614" s="111">
        <f>IF(AQ1614="2",BI1614,0)</f>
      </c>
      <c r="AH1614" s="111">
        <f>IF(AQ1614="0",BJ1614,0)</f>
      </c>
      <c r="AI1614" s="132" t="s">
        <v>84</v>
      </c>
      <c r="AJ1614" s="111">
        <f>IF(AN1614=0,I1614,0)</f>
      </c>
      <c r="AK1614" s="111">
        <f>IF(AN1614=12,I1614,0)</f>
      </c>
      <c r="AL1614" s="111">
        <f>IF(AN1614=21,I1614,0)</f>
      </c>
      <c r="AN1614" s="111" t="n">
        <v>21</v>
      </c>
      <c r="AO1614" s="111">
        <f>H1614*0</f>
      </c>
      <c r="AP1614" s="111">
        <f>H1614*(1-0)</f>
      </c>
      <c r="AQ1614" s="153" t="s">
        <v>173</v>
      </c>
      <c r="AV1614" s="111">
        <f>AW1614+AX1614</f>
      </c>
      <c r="AW1614" s="111">
        <f>G1614*AO1614</f>
      </c>
      <c r="AX1614" s="111">
        <f>G1614*AP1614</f>
      </c>
      <c r="AY1614" s="153" t="s">
        <v>2588</v>
      </c>
      <c r="AZ1614" s="153" t="s">
        <v>2486</v>
      </c>
      <c r="BA1614" s="132" t="s">
        <v>137</v>
      </c>
      <c r="BC1614" s="111">
        <f>AW1614+AX1614</f>
      </c>
      <c r="BD1614" s="111">
        <f>H1614/(100-BE1614)*100</f>
      </c>
      <c r="BE1614" s="111" t="n">
        <v>0</v>
      </c>
      <c r="BF1614" s="111">
        <f>1614</f>
      </c>
      <c r="BH1614" s="111">
        <f>G1614*AO1614</f>
      </c>
      <c r="BI1614" s="111">
        <f>G1614*AP1614</f>
      </c>
      <c r="BJ1614" s="111">
        <f>G1614*H1614</f>
      </c>
      <c r="BK1614" s="111"/>
      <c r="BL1614" s="111" t="n">
        <v>775</v>
      </c>
      <c r="BW1614" s="111" t="n">
        <v>21</v>
      </c>
      <c r="BX1614" s="14" t="s">
        <v>2596</v>
      </c>
    </row>
    <row r="1615" customHeight="true" ht="13.5">
      <c r="A1615" s="159"/>
      <c r="C1615" s="160" t="s">
        <v>146</v>
      </c>
      <c r="D1615" s="161" t="s">
        <v>2593</v>
      </c>
      <c r="E1615" s="156"/>
      <c r="F1615" s="156"/>
      <c r="G1615" s="156"/>
      <c r="H1615" s="156"/>
      <c r="I1615" s="156"/>
      <c r="J1615" s="156"/>
      <c r="K1615" s="163"/>
    </row>
    <row r="1616">
      <c r="A1616" s="154"/>
      <c r="B1616" s="155"/>
      <c r="C1616" s="155"/>
      <c r="D1616" s="156" t="s">
        <v>1253</v>
      </c>
      <c r="E1616" s="156" t="s">
        <v>1238</v>
      </c>
      <c r="F1616" s="155"/>
      <c r="G1616" s="157" t="n">
        <v>240.3</v>
      </c>
      <c r="H1616" s="155"/>
      <c r="I1616" s="155"/>
      <c r="J1616" s="155"/>
      <c r="K1616" s="146"/>
    </row>
    <row r="1617">
      <c r="A1617" s="9" t="s">
        <v>2597</v>
      </c>
      <c r="B1617" s="10" t="s">
        <v>84</v>
      </c>
      <c r="C1617" s="10" t="s">
        <v>2598</v>
      </c>
      <c r="D1617" s="14" t="s">
        <v>2599</v>
      </c>
      <c r="E1617" s="10"/>
      <c r="F1617" s="10" t="s">
        <v>145</v>
      </c>
      <c r="G1617" s="111">
        <f>'Stavební rozpočet'!G1617</f>
      </c>
      <c r="H1617" s="111">
        <f>'Stavební rozpočet'!H1617</f>
      </c>
      <c r="I1617" s="111">
        <f>G1617*H1617</f>
      </c>
      <c r="J1617" s="153" t="s">
        <v>134</v>
      </c>
      <c r="K1617" s="146"/>
      <c r="Z1617" s="111">
        <f>IF(AQ1617="5",BJ1617,0)</f>
      </c>
      <c r="AB1617" s="111">
        <f>IF(AQ1617="1",BH1617,0)</f>
      </c>
      <c r="AC1617" s="111">
        <f>IF(AQ1617="1",BI1617,0)</f>
      </c>
      <c r="AD1617" s="111">
        <f>IF(AQ1617="7",BH1617,0)</f>
      </c>
      <c r="AE1617" s="111">
        <f>IF(AQ1617="7",BI1617,0)</f>
      </c>
      <c r="AF1617" s="111">
        <f>IF(AQ1617="2",BH1617,0)</f>
      </c>
      <c r="AG1617" s="111">
        <f>IF(AQ1617="2",BI1617,0)</f>
      </c>
      <c r="AH1617" s="111">
        <f>IF(AQ1617="0",BJ1617,0)</f>
      </c>
      <c r="AI1617" s="132" t="s">
        <v>84</v>
      </c>
      <c r="AJ1617" s="111">
        <f>IF(AN1617=0,I1617,0)</f>
      </c>
      <c r="AK1617" s="111">
        <f>IF(AN1617=12,I1617,0)</f>
      </c>
      <c r="AL1617" s="111">
        <f>IF(AN1617=21,I1617,0)</f>
      </c>
      <c r="AN1617" s="111" t="n">
        <v>21</v>
      </c>
      <c r="AO1617" s="111">
        <f>H1617*0</f>
      </c>
      <c r="AP1617" s="111">
        <f>H1617*(1-0)</f>
      </c>
      <c r="AQ1617" s="153" t="s">
        <v>173</v>
      </c>
      <c r="AV1617" s="111">
        <f>AW1617+AX1617</f>
      </c>
      <c r="AW1617" s="111">
        <f>G1617*AO1617</f>
      </c>
      <c r="AX1617" s="111">
        <f>G1617*AP1617</f>
      </c>
      <c r="AY1617" s="153" t="s">
        <v>2588</v>
      </c>
      <c r="AZ1617" s="153" t="s">
        <v>2486</v>
      </c>
      <c r="BA1617" s="132" t="s">
        <v>137</v>
      </c>
      <c r="BC1617" s="111">
        <f>AW1617+AX1617</f>
      </c>
      <c r="BD1617" s="111">
        <f>H1617/(100-BE1617)*100</f>
      </c>
      <c r="BE1617" s="111" t="n">
        <v>0</v>
      </c>
      <c r="BF1617" s="111">
        <f>1617</f>
      </c>
      <c r="BH1617" s="111">
        <f>G1617*AO1617</f>
      </c>
      <c r="BI1617" s="111">
        <f>G1617*AP1617</f>
      </c>
      <c r="BJ1617" s="111">
        <f>G1617*H1617</f>
      </c>
      <c r="BK1617" s="111"/>
      <c r="BL1617" s="111" t="n">
        <v>775</v>
      </c>
      <c r="BW1617" s="111" t="n">
        <v>21</v>
      </c>
      <c r="BX1617" s="14" t="s">
        <v>2599</v>
      </c>
    </row>
    <row r="1618" customHeight="true" ht="13.5">
      <c r="A1618" s="159"/>
      <c r="C1618" s="160" t="s">
        <v>146</v>
      </c>
      <c r="D1618" s="161" t="s">
        <v>2600</v>
      </c>
      <c r="E1618" s="156"/>
      <c r="F1618" s="156"/>
      <c r="G1618" s="156"/>
      <c r="H1618" s="156"/>
      <c r="I1618" s="156"/>
      <c r="J1618" s="156"/>
      <c r="K1618" s="163"/>
    </row>
    <row r="1619">
      <c r="A1619" s="154"/>
      <c r="B1619" s="155"/>
      <c r="C1619" s="155"/>
      <c r="D1619" s="156" t="s">
        <v>1253</v>
      </c>
      <c r="E1619" s="156" t="s">
        <v>2601</v>
      </c>
      <c r="F1619" s="155"/>
      <c r="G1619" s="157" t="n">
        <v>240.3</v>
      </c>
      <c r="H1619" s="155"/>
      <c r="I1619" s="155"/>
      <c r="J1619" s="155"/>
      <c r="K1619" s="146"/>
    </row>
    <row r="1620">
      <c r="A1620" s="9" t="s">
        <v>2602</v>
      </c>
      <c r="B1620" s="10" t="s">
        <v>84</v>
      </c>
      <c r="C1620" s="10" t="s">
        <v>2603</v>
      </c>
      <c r="D1620" s="14" t="s">
        <v>2604</v>
      </c>
      <c r="E1620" s="10"/>
      <c r="F1620" s="10" t="s">
        <v>145</v>
      </c>
      <c r="G1620" s="111">
        <f>'Stavební rozpočet'!G1620</f>
      </c>
      <c r="H1620" s="111">
        <f>'Stavební rozpočet'!H1620</f>
      </c>
      <c r="I1620" s="111">
        <f>G1620*H1620</f>
      </c>
      <c r="J1620" s="153" t="s">
        <v>134</v>
      </c>
      <c r="K1620" s="146"/>
      <c r="Z1620" s="111">
        <f>IF(AQ1620="5",BJ1620,0)</f>
      </c>
      <c r="AB1620" s="111">
        <f>IF(AQ1620="1",BH1620,0)</f>
      </c>
      <c r="AC1620" s="111">
        <f>IF(AQ1620="1",BI1620,0)</f>
      </c>
      <c r="AD1620" s="111">
        <f>IF(AQ1620="7",BH1620,0)</f>
      </c>
      <c r="AE1620" s="111">
        <f>IF(AQ1620="7",BI1620,0)</f>
      </c>
      <c r="AF1620" s="111">
        <f>IF(AQ1620="2",BH1620,0)</f>
      </c>
      <c r="AG1620" s="111">
        <f>IF(AQ1620="2",BI1620,0)</f>
      </c>
      <c r="AH1620" s="111">
        <f>IF(AQ1620="0",BJ1620,0)</f>
      </c>
      <c r="AI1620" s="132" t="s">
        <v>84</v>
      </c>
      <c r="AJ1620" s="111">
        <f>IF(AN1620=0,I1620,0)</f>
      </c>
      <c r="AK1620" s="111">
        <f>IF(AN1620=12,I1620,0)</f>
      </c>
      <c r="AL1620" s="111">
        <f>IF(AN1620=21,I1620,0)</f>
      </c>
      <c r="AN1620" s="111" t="n">
        <v>21</v>
      </c>
      <c r="AO1620" s="111">
        <f>H1620*1</f>
      </c>
      <c r="AP1620" s="111">
        <f>H1620*(1-1)</f>
      </c>
      <c r="AQ1620" s="153" t="s">
        <v>173</v>
      </c>
      <c r="AV1620" s="111">
        <f>AW1620+AX1620</f>
      </c>
      <c r="AW1620" s="111">
        <f>G1620*AO1620</f>
      </c>
      <c r="AX1620" s="111">
        <f>G1620*AP1620</f>
      </c>
      <c r="AY1620" s="153" t="s">
        <v>2588</v>
      </c>
      <c r="AZ1620" s="153" t="s">
        <v>2486</v>
      </c>
      <c r="BA1620" s="132" t="s">
        <v>137</v>
      </c>
      <c r="BC1620" s="111">
        <f>AW1620+AX1620</f>
      </c>
      <c r="BD1620" s="111">
        <f>H1620/(100-BE1620)*100</f>
      </c>
      <c r="BE1620" s="111" t="n">
        <v>0</v>
      </c>
      <c r="BF1620" s="111">
        <f>1620</f>
      </c>
      <c r="BH1620" s="111">
        <f>G1620*AO1620</f>
      </c>
      <c r="BI1620" s="111">
        <f>G1620*AP1620</f>
      </c>
      <c r="BJ1620" s="111">
        <f>G1620*H1620</f>
      </c>
      <c r="BK1620" s="111"/>
      <c r="BL1620" s="111" t="n">
        <v>775</v>
      </c>
      <c r="BW1620" s="111" t="n">
        <v>21</v>
      </c>
      <c r="BX1620" s="14" t="s">
        <v>2604</v>
      </c>
    </row>
    <row r="1621">
      <c r="A1621" s="154"/>
      <c r="B1621" s="155"/>
      <c r="C1621" s="155"/>
      <c r="D1621" s="156" t="s">
        <v>4</v>
      </c>
      <c r="E1621" s="156" t="s">
        <v>2605</v>
      </c>
      <c r="F1621" s="155"/>
      <c r="G1621" s="157" t="n">
        <v>0</v>
      </c>
      <c r="H1621" s="155"/>
      <c r="I1621" s="155"/>
      <c r="J1621" s="155"/>
      <c r="K1621" s="146"/>
    </row>
    <row r="1622">
      <c r="A1622" s="154"/>
      <c r="B1622" s="155"/>
      <c r="C1622" s="155"/>
      <c r="D1622" s="156" t="s">
        <v>1253</v>
      </c>
      <c r="E1622" s="156" t="s">
        <v>2589</v>
      </c>
      <c r="F1622" s="155"/>
      <c r="G1622" s="157" t="n">
        <v>240.3</v>
      </c>
      <c r="H1622" s="155"/>
      <c r="I1622" s="155"/>
      <c r="J1622" s="155"/>
      <c r="K1622" s="146"/>
    </row>
    <row r="1623">
      <c r="A1623" s="154"/>
      <c r="B1623" s="155"/>
      <c r="C1623" s="155"/>
      <c r="D1623" s="156" t="s">
        <v>2606</v>
      </c>
      <c r="E1623" s="156" t="s">
        <v>2607</v>
      </c>
      <c r="F1623" s="155"/>
      <c r="G1623" s="157" t="n">
        <v>4.806</v>
      </c>
      <c r="H1623" s="155"/>
      <c r="I1623" s="155"/>
      <c r="J1623" s="155"/>
      <c r="K1623" s="146"/>
    </row>
    <row r="1624">
      <c r="A1624" s="9" t="s">
        <v>2608</v>
      </c>
      <c r="B1624" s="10" t="s">
        <v>84</v>
      </c>
      <c r="C1624" s="10" t="s">
        <v>2609</v>
      </c>
      <c r="D1624" s="14" t="s">
        <v>2610</v>
      </c>
      <c r="E1624" s="10"/>
      <c r="F1624" s="10" t="s">
        <v>159</v>
      </c>
      <c r="G1624" s="111">
        <f>'Stavební rozpočet'!G1624</f>
      </c>
      <c r="H1624" s="111">
        <f>'Stavební rozpočet'!H1624</f>
      </c>
      <c r="I1624" s="111">
        <f>G1624*H1624</f>
      </c>
      <c r="J1624" s="153" t="s">
        <v>134</v>
      </c>
      <c r="K1624" s="146"/>
      <c r="Z1624" s="111">
        <f>IF(AQ1624="5",BJ1624,0)</f>
      </c>
      <c r="AB1624" s="111">
        <f>IF(AQ1624="1",BH1624,0)</f>
      </c>
      <c r="AC1624" s="111">
        <f>IF(AQ1624="1",BI1624,0)</f>
      </c>
      <c r="AD1624" s="111">
        <f>IF(AQ1624="7",BH1624,0)</f>
      </c>
      <c r="AE1624" s="111">
        <f>IF(AQ1624="7",BI1624,0)</f>
      </c>
      <c r="AF1624" s="111">
        <f>IF(AQ1624="2",BH1624,0)</f>
      </c>
      <c r="AG1624" s="111">
        <f>IF(AQ1624="2",BI1624,0)</f>
      </c>
      <c r="AH1624" s="111">
        <f>IF(AQ1624="0",BJ1624,0)</f>
      </c>
      <c r="AI1624" s="132" t="s">
        <v>84</v>
      </c>
      <c r="AJ1624" s="111">
        <f>IF(AN1624=0,I1624,0)</f>
      </c>
      <c r="AK1624" s="111">
        <f>IF(AN1624=12,I1624,0)</f>
      </c>
      <c r="AL1624" s="111">
        <f>IF(AN1624=21,I1624,0)</f>
      </c>
      <c r="AN1624" s="111" t="n">
        <v>21</v>
      </c>
      <c r="AO1624" s="111">
        <f>H1624*1</f>
      </c>
      <c r="AP1624" s="111">
        <f>H1624*(1-1)</f>
      </c>
      <c r="AQ1624" s="153" t="s">
        <v>173</v>
      </c>
      <c r="AV1624" s="111">
        <f>AW1624+AX1624</f>
      </c>
      <c r="AW1624" s="111">
        <f>G1624*AO1624</f>
      </c>
      <c r="AX1624" s="111">
        <f>G1624*AP1624</f>
      </c>
      <c r="AY1624" s="153" t="s">
        <v>2588</v>
      </c>
      <c r="AZ1624" s="153" t="s">
        <v>2486</v>
      </c>
      <c r="BA1624" s="132" t="s">
        <v>137</v>
      </c>
      <c r="BC1624" s="111">
        <f>AW1624+AX1624</f>
      </c>
      <c r="BD1624" s="111">
        <f>H1624/(100-BE1624)*100</f>
      </c>
      <c r="BE1624" s="111" t="n">
        <v>0</v>
      </c>
      <c r="BF1624" s="111">
        <f>1624</f>
      </c>
      <c r="BH1624" s="111">
        <f>G1624*AO1624</f>
      </c>
      <c r="BI1624" s="111">
        <f>G1624*AP1624</f>
      </c>
      <c r="BJ1624" s="111">
        <f>G1624*H1624</f>
      </c>
      <c r="BK1624" s="111"/>
      <c r="BL1624" s="111" t="n">
        <v>775</v>
      </c>
      <c r="BW1624" s="111" t="n">
        <v>21</v>
      </c>
      <c r="BX1624" s="14" t="s">
        <v>2610</v>
      </c>
    </row>
    <row r="1625">
      <c r="A1625" s="154"/>
      <c r="B1625" s="155"/>
      <c r="C1625" s="155"/>
      <c r="D1625" s="156" t="s">
        <v>4</v>
      </c>
      <c r="E1625" s="156" t="s">
        <v>2611</v>
      </c>
      <c r="F1625" s="155"/>
      <c r="G1625" s="157" t="n">
        <v>0</v>
      </c>
      <c r="H1625" s="155"/>
      <c r="I1625" s="155"/>
      <c r="J1625" s="155"/>
      <c r="K1625" s="146"/>
    </row>
    <row r="1626">
      <c r="A1626" s="154"/>
      <c r="B1626" s="155"/>
      <c r="C1626" s="155"/>
      <c r="D1626" s="156" t="s">
        <v>4</v>
      </c>
      <c r="E1626" s="156" t="s">
        <v>2612</v>
      </c>
      <c r="F1626" s="155"/>
      <c r="G1626" s="157" t="n">
        <v>0</v>
      </c>
      <c r="H1626" s="155"/>
      <c r="I1626" s="155"/>
      <c r="J1626" s="155"/>
      <c r="K1626" s="146"/>
    </row>
    <row r="1627">
      <c r="A1627" s="154"/>
      <c r="B1627" s="155"/>
      <c r="C1627" s="155"/>
      <c r="D1627" s="156" t="s">
        <v>2613</v>
      </c>
      <c r="E1627" s="156" t="s">
        <v>2614</v>
      </c>
      <c r="F1627" s="155"/>
      <c r="G1627" s="157" t="n">
        <v>1.16305</v>
      </c>
      <c r="H1627" s="155"/>
      <c r="I1627" s="155"/>
      <c r="J1627" s="155"/>
      <c r="K1627" s="146"/>
    </row>
    <row r="1628">
      <c r="A1628" s="154"/>
      <c r="B1628" s="155"/>
      <c r="C1628" s="155"/>
      <c r="D1628" s="156" t="s">
        <v>2613</v>
      </c>
      <c r="E1628" s="156" t="s">
        <v>2615</v>
      </c>
      <c r="F1628" s="155"/>
      <c r="G1628" s="157" t="n">
        <v>1.16305</v>
      </c>
      <c r="H1628" s="155"/>
      <c r="I1628" s="155"/>
      <c r="J1628" s="155"/>
      <c r="K1628" s="146"/>
    </row>
    <row r="1629">
      <c r="A1629" s="154"/>
      <c r="B1629" s="155"/>
      <c r="C1629" s="155"/>
      <c r="D1629" s="156" t="s">
        <v>2616</v>
      </c>
      <c r="E1629" s="156" t="s">
        <v>2617</v>
      </c>
      <c r="F1629" s="155"/>
      <c r="G1629" s="157" t="n">
        <v>4.3076</v>
      </c>
      <c r="H1629" s="155"/>
      <c r="I1629" s="155"/>
      <c r="J1629" s="155"/>
      <c r="K1629" s="146"/>
    </row>
    <row r="1630">
      <c r="A1630" s="154"/>
      <c r="B1630" s="155"/>
      <c r="C1630" s="155"/>
      <c r="D1630" s="156" t="s">
        <v>2618</v>
      </c>
      <c r="E1630" s="156" t="s">
        <v>674</v>
      </c>
      <c r="F1630" s="155"/>
      <c r="G1630" s="157" t="n">
        <v>0.99506</v>
      </c>
      <c r="H1630" s="155"/>
      <c r="I1630" s="155"/>
      <c r="J1630" s="155"/>
      <c r="K1630" s="146"/>
    </row>
    <row r="1631">
      <c r="A1631" s="9" t="s">
        <v>2619</v>
      </c>
      <c r="B1631" s="10" t="s">
        <v>84</v>
      </c>
      <c r="C1631" s="10" t="s">
        <v>2620</v>
      </c>
      <c r="D1631" s="14" t="s">
        <v>2621</v>
      </c>
      <c r="E1631" s="10"/>
      <c r="F1631" s="10" t="s">
        <v>159</v>
      </c>
      <c r="G1631" s="111">
        <f>'Stavební rozpočet'!G1631</f>
      </c>
      <c r="H1631" s="111">
        <f>'Stavební rozpočet'!H1631</f>
      </c>
      <c r="I1631" s="111">
        <f>G1631*H1631</f>
      </c>
      <c r="J1631" s="153" t="s">
        <v>134</v>
      </c>
      <c r="K1631" s="146"/>
      <c r="Z1631" s="111">
        <f>IF(AQ1631="5",BJ1631,0)</f>
      </c>
      <c r="AB1631" s="111">
        <f>IF(AQ1631="1",BH1631,0)</f>
      </c>
      <c r="AC1631" s="111">
        <f>IF(AQ1631="1",BI1631,0)</f>
      </c>
      <c r="AD1631" s="111">
        <f>IF(AQ1631="7",BH1631,0)</f>
      </c>
      <c r="AE1631" s="111">
        <f>IF(AQ1631="7",BI1631,0)</f>
      </c>
      <c r="AF1631" s="111">
        <f>IF(AQ1631="2",BH1631,0)</f>
      </c>
      <c r="AG1631" s="111">
        <f>IF(AQ1631="2",BI1631,0)</f>
      </c>
      <c r="AH1631" s="111">
        <f>IF(AQ1631="0",BJ1631,0)</f>
      </c>
      <c r="AI1631" s="132" t="s">
        <v>84</v>
      </c>
      <c r="AJ1631" s="111">
        <f>IF(AN1631=0,I1631,0)</f>
      </c>
      <c r="AK1631" s="111">
        <f>IF(AN1631=12,I1631,0)</f>
      </c>
      <c r="AL1631" s="111">
        <f>IF(AN1631=21,I1631,0)</f>
      </c>
      <c r="AN1631" s="111" t="n">
        <v>21</v>
      </c>
      <c r="AO1631" s="111">
        <f>H1631*0</f>
      </c>
      <c r="AP1631" s="111">
        <f>H1631*(1-0)</f>
      </c>
      <c r="AQ1631" s="153" t="s">
        <v>173</v>
      </c>
      <c r="AV1631" s="111">
        <f>AW1631+AX1631</f>
      </c>
      <c r="AW1631" s="111">
        <f>G1631*AO1631</f>
      </c>
      <c r="AX1631" s="111">
        <f>G1631*AP1631</f>
      </c>
      <c r="AY1631" s="153" t="s">
        <v>2588</v>
      </c>
      <c r="AZ1631" s="153" t="s">
        <v>2486</v>
      </c>
      <c r="BA1631" s="132" t="s">
        <v>137</v>
      </c>
      <c r="BC1631" s="111">
        <f>AW1631+AX1631</f>
      </c>
      <c r="BD1631" s="111">
        <f>H1631/(100-BE1631)*100</f>
      </c>
      <c r="BE1631" s="111" t="n">
        <v>0</v>
      </c>
      <c r="BF1631" s="111">
        <f>1631</f>
      </c>
      <c r="BH1631" s="111">
        <f>G1631*AO1631</f>
      </c>
      <c r="BI1631" s="111">
        <f>G1631*AP1631</f>
      </c>
      <c r="BJ1631" s="111">
        <f>G1631*H1631</f>
      </c>
      <c r="BK1631" s="111"/>
      <c r="BL1631" s="111" t="n">
        <v>775</v>
      </c>
      <c r="BW1631" s="111" t="n">
        <v>21</v>
      </c>
      <c r="BX1631" s="14" t="s">
        <v>2621</v>
      </c>
    </row>
    <row r="1632" customHeight="true" ht="13.5">
      <c r="A1632" s="159"/>
      <c r="C1632" s="160" t="s">
        <v>146</v>
      </c>
      <c r="D1632" s="161" t="s">
        <v>2622</v>
      </c>
      <c r="E1632" s="156"/>
      <c r="F1632" s="156"/>
      <c r="G1632" s="156"/>
      <c r="H1632" s="156"/>
      <c r="I1632" s="156"/>
      <c r="J1632" s="156"/>
      <c r="K1632" s="163"/>
    </row>
    <row r="1633">
      <c r="A1633" s="154"/>
      <c r="B1633" s="155"/>
      <c r="C1633" s="155"/>
      <c r="D1633" s="156" t="s">
        <v>4</v>
      </c>
      <c r="E1633" s="156" t="s">
        <v>2611</v>
      </c>
      <c r="F1633" s="155"/>
      <c r="G1633" s="157" t="n">
        <v>0</v>
      </c>
      <c r="H1633" s="155"/>
      <c r="I1633" s="155"/>
      <c r="J1633" s="155"/>
      <c r="K1633" s="146"/>
    </row>
    <row r="1634">
      <c r="A1634" s="154"/>
      <c r="B1634" s="155"/>
      <c r="C1634" s="155"/>
      <c r="D1634" s="156" t="s">
        <v>4</v>
      </c>
      <c r="E1634" s="156" t="s">
        <v>2612</v>
      </c>
      <c r="F1634" s="155"/>
      <c r="G1634" s="157" t="n">
        <v>0</v>
      </c>
      <c r="H1634" s="155"/>
      <c r="I1634" s="155"/>
      <c r="J1634" s="155"/>
      <c r="K1634" s="146"/>
    </row>
    <row r="1635">
      <c r="A1635" s="154"/>
      <c r="B1635" s="155"/>
      <c r="C1635" s="155"/>
      <c r="D1635" s="156" t="s">
        <v>2613</v>
      </c>
      <c r="E1635" s="156" t="s">
        <v>2614</v>
      </c>
      <c r="F1635" s="155"/>
      <c r="G1635" s="157" t="n">
        <v>1.16305</v>
      </c>
      <c r="H1635" s="155"/>
      <c r="I1635" s="155"/>
      <c r="J1635" s="155"/>
      <c r="K1635" s="146"/>
    </row>
    <row r="1636">
      <c r="A1636" s="154"/>
      <c r="B1636" s="155"/>
      <c r="C1636" s="155"/>
      <c r="D1636" s="156" t="s">
        <v>2613</v>
      </c>
      <c r="E1636" s="156" t="s">
        <v>2615</v>
      </c>
      <c r="F1636" s="155"/>
      <c r="G1636" s="157" t="n">
        <v>1.16305</v>
      </c>
      <c r="H1636" s="155"/>
      <c r="I1636" s="155"/>
      <c r="J1636" s="155"/>
      <c r="K1636" s="146"/>
    </row>
    <row r="1637">
      <c r="A1637" s="154"/>
      <c r="B1637" s="155"/>
      <c r="C1637" s="155"/>
      <c r="D1637" s="156" t="s">
        <v>2616</v>
      </c>
      <c r="E1637" s="156" t="s">
        <v>2617</v>
      </c>
      <c r="F1637" s="155"/>
      <c r="G1637" s="157" t="n">
        <v>4.3076</v>
      </c>
      <c r="H1637" s="155"/>
      <c r="I1637" s="155"/>
      <c r="J1637" s="155"/>
      <c r="K1637" s="146"/>
    </row>
    <row r="1638">
      <c r="A1638" s="154"/>
      <c r="B1638" s="155"/>
      <c r="C1638" s="155"/>
      <c r="D1638" s="156" t="s">
        <v>2618</v>
      </c>
      <c r="E1638" s="156" t="s">
        <v>674</v>
      </c>
      <c r="F1638" s="155"/>
      <c r="G1638" s="157" t="n">
        <v>0.99506</v>
      </c>
      <c r="H1638" s="155"/>
      <c r="I1638" s="155"/>
      <c r="J1638" s="155"/>
      <c r="K1638" s="146"/>
    </row>
    <row r="1639">
      <c r="A1639" s="9" t="s">
        <v>2623</v>
      </c>
      <c r="B1639" s="10" t="s">
        <v>84</v>
      </c>
      <c r="C1639" s="10" t="s">
        <v>2624</v>
      </c>
      <c r="D1639" s="14" t="s">
        <v>2625</v>
      </c>
      <c r="E1639" s="10"/>
      <c r="F1639" s="10" t="s">
        <v>159</v>
      </c>
      <c r="G1639" s="111">
        <f>'Stavební rozpočet'!G1639</f>
      </c>
      <c r="H1639" s="111">
        <f>'Stavební rozpočet'!H1639</f>
      </c>
      <c r="I1639" s="111">
        <f>G1639*H1639</f>
      </c>
      <c r="J1639" s="153" t="s">
        <v>134</v>
      </c>
      <c r="K1639" s="146"/>
      <c r="Z1639" s="111">
        <f>IF(AQ1639="5",BJ1639,0)</f>
      </c>
      <c r="AB1639" s="111">
        <f>IF(AQ1639="1",BH1639,0)</f>
      </c>
      <c r="AC1639" s="111">
        <f>IF(AQ1639="1",BI1639,0)</f>
      </c>
      <c r="AD1639" s="111">
        <f>IF(AQ1639="7",BH1639,0)</f>
      </c>
      <c r="AE1639" s="111">
        <f>IF(AQ1639="7",BI1639,0)</f>
      </c>
      <c r="AF1639" s="111">
        <f>IF(AQ1639="2",BH1639,0)</f>
      </c>
      <c r="AG1639" s="111">
        <f>IF(AQ1639="2",BI1639,0)</f>
      </c>
      <c r="AH1639" s="111">
        <f>IF(AQ1639="0",BJ1639,0)</f>
      </c>
      <c r="AI1639" s="132" t="s">
        <v>84</v>
      </c>
      <c r="AJ1639" s="111">
        <f>IF(AN1639=0,I1639,0)</f>
      </c>
      <c r="AK1639" s="111">
        <f>IF(AN1639=12,I1639,0)</f>
      </c>
      <c r="AL1639" s="111">
        <f>IF(AN1639=21,I1639,0)</f>
      </c>
      <c r="AN1639" s="111" t="n">
        <v>21</v>
      </c>
      <c r="AO1639" s="111">
        <f>H1639*0.991736239</f>
      </c>
      <c r="AP1639" s="111">
        <f>H1639*(1-0.991736239)</f>
      </c>
      <c r="AQ1639" s="153" t="s">
        <v>173</v>
      </c>
      <c r="AV1639" s="111">
        <f>AW1639+AX1639</f>
      </c>
      <c r="AW1639" s="111">
        <f>G1639*AO1639</f>
      </c>
      <c r="AX1639" s="111">
        <f>G1639*AP1639</f>
      </c>
      <c r="AY1639" s="153" t="s">
        <v>2588</v>
      </c>
      <c r="AZ1639" s="153" t="s">
        <v>2486</v>
      </c>
      <c r="BA1639" s="132" t="s">
        <v>137</v>
      </c>
      <c r="BC1639" s="111">
        <f>AW1639+AX1639</f>
      </c>
      <c r="BD1639" s="111">
        <f>H1639/(100-BE1639)*100</f>
      </c>
      <c r="BE1639" s="111" t="n">
        <v>0</v>
      </c>
      <c r="BF1639" s="111">
        <f>1639</f>
      </c>
      <c r="BH1639" s="111">
        <f>G1639*AO1639</f>
      </c>
      <c r="BI1639" s="111">
        <f>G1639*AP1639</f>
      </c>
      <c r="BJ1639" s="111">
        <f>G1639*H1639</f>
      </c>
      <c r="BK1639" s="111"/>
      <c r="BL1639" s="111" t="n">
        <v>775</v>
      </c>
      <c r="BW1639" s="111" t="n">
        <v>21</v>
      </c>
      <c r="BX1639" s="14" t="s">
        <v>2625</v>
      </c>
    </row>
    <row r="1640" customHeight="true" ht="13.5">
      <c r="A1640" s="159"/>
      <c r="C1640" s="160" t="s">
        <v>146</v>
      </c>
      <c r="D1640" s="161" t="s">
        <v>2622</v>
      </c>
      <c r="E1640" s="156"/>
      <c r="F1640" s="156"/>
      <c r="G1640" s="156"/>
      <c r="H1640" s="156"/>
      <c r="I1640" s="156"/>
      <c r="J1640" s="156"/>
      <c r="K1640" s="163"/>
    </row>
    <row r="1641">
      <c r="A1641" s="154"/>
      <c r="B1641" s="155"/>
      <c r="C1641" s="155"/>
      <c r="D1641" s="156" t="s">
        <v>4</v>
      </c>
      <c r="E1641" s="156" t="s">
        <v>2611</v>
      </c>
      <c r="F1641" s="155"/>
      <c r="G1641" s="157" t="n">
        <v>0</v>
      </c>
      <c r="H1641" s="155"/>
      <c r="I1641" s="155"/>
      <c r="J1641" s="155"/>
      <c r="K1641" s="146"/>
    </row>
    <row r="1642">
      <c r="A1642" s="154"/>
      <c r="B1642" s="155"/>
      <c r="C1642" s="155"/>
      <c r="D1642" s="156" t="s">
        <v>4</v>
      </c>
      <c r="E1642" s="156" t="s">
        <v>2612</v>
      </c>
      <c r="F1642" s="155"/>
      <c r="G1642" s="157" t="n">
        <v>0</v>
      </c>
      <c r="H1642" s="155"/>
      <c r="I1642" s="155"/>
      <c r="J1642" s="155"/>
      <c r="K1642" s="146"/>
    </row>
    <row r="1643">
      <c r="A1643" s="154"/>
      <c r="B1643" s="155"/>
      <c r="C1643" s="155"/>
      <c r="D1643" s="156" t="s">
        <v>4</v>
      </c>
      <c r="E1643" s="156" t="s">
        <v>2626</v>
      </c>
      <c r="F1643" s="155"/>
      <c r="G1643" s="157" t="n">
        <v>0</v>
      </c>
      <c r="H1643" s="155"/>
      <c r="I1643" s="155"/>
      <c r="J1643" s="155"/>
      <c r="K1643" s="146"/>
    </row>
    <row r="1644">
      <c r="A1644" s="154"/>
      <c r="B1644" s="155"/>
      <c r="C1644" s="155"/>
      <c r="D1644" s="156" t="s">
        <v>2613</v>
      </c>
      <c r="E1644" s="156" t="s">
        <v>2614</v>
      </c>
      <c r="F1644" s="155"/>
      <c r="G1644" s="157" t="n">
        <v>1.16305</v>
      </c>
      <c r="H1644" s="155"/>
      <c r="I1644" s="155"/>
      <c r="J1644" s="155"/>
      <c r="K1644" s="146"/>
    </row>
    <row r="1645">
      <c r="A1645" s="154"/>
      <c r="B1645" s="155"/>
      <c r="C1645" s="155"/>
      <c r="D1645" s="156" t="s">
        <v>2613</v>
      </c>
      <c r="E1645" s="156" t="s">
        <v>2615</v>
      </c>
      <c r="F1645" s="155"/>
      <c r="G1645" s="157" t="n">
        <v>1.16305</v>
      </c>
      <c r="H1645" s="155"/>
      <c r="I1645" s="155"/>
      <c r="J1645" s="155"/>
      <c r="K1645" s="146"/>
    </row>
    <row r="1646">
      <c r="A1646" s="154"/>
      <c r="B1646" s="155"/>
      <c r="C1646" s="155"/>
      <c r="D1646" s="156" t="s">
        <v>2616</v>
      </c>
      <c r="E1646" s="156" t="s">
        <v>2617</v>
      </c>
      <c r="F1646" s="155"/>
      <c r="G1646" s="157" t="n">
        <v>4.3076</v>
      </c>
      <c r="H1646" s="155"/>
      <c r="I1646" s="155"/>
      <c r="J1646" s="155"/>
      <c r="K1646" s="146"/>
    </row>
    <row r="1647">
      <c r="A1647" s="154"/>
      <c r="B1647" s="155"/>
      <c r="C1647" s="155"/>
      <c r="D1647" s="156" t="s">
        <v>2618</v>
      </c>
      <c r="E1647" s="156" t="s">
        <v>674</v>
      </c>
      <c r="F1647" s="155"/>
      <c r="G1647" s="157" t="n">
        <v>0.99506</v>
      </c>
      <c r="H1647" s="155"/>
      <c r="I1647" s="155"/>
      <c r="J1647" s="155"/>
      <c r="K1647" s="146"/>
    </row>
    <row r="1648">
      <c r="A1648" s="9" t="s">
        <v>2627</v>
      </c>
      <c r="B1648" s="10" t="s">
        <v>84</v>
      </c>
      <c r="C1648" s="10" t="s">
        <v>2628</v>
      </c>
      <c r="D1648" s="14" t="s">
        <v>2629</v>
      </c>
      <c r="E1648" s="10"/>
      <c r="F1648" s="10" t="s">
        <v>282</v>
      </c>
      <c r="G1648" s="111">
        <f>'Stavební rozpočet'!G1648</f>
      </c>
      <c r="H1648" s="111">
        <f>'Stavební rozpočet'!H1648</f>
      </c>
      <c r="I1648" s="111">
        <f>G1648*H1648</f>
      </c>
      <c r="J1648" s="153" t="s">
        <v>134</v>
      </c>
      <c r="K1648" s="146"/>
      <c r="Z1648" s="111">
        <f>IF(AQ1648="5",BJ1648,0)</f>
      </c>
      <c r="AB1648" s="111">
        <f>IF(AQ1648="1",BH1648,0)</f>
      </c>
      <c r="AC1648" s="111">
        <f>IF(AQ1648="1",BI1648,0)</f>
      </c>
      <c r="AD1648" s="111">
        <f>IF(AQ1648="7",BH1648,0)</f>
      </c>
      <c r="AE1648" s="111">
        <f>IF(AQ1648="7",BI1648,0)</f>
      </c>
      <c r="AF1648" s="111">
        <f>IF(AQ1648="2",BH1648,0)</f>
      </c>
      <c r="AG1648" s="111">
        <f>IF(AQ1648="2",BI1648,0)</f>
      </c>
      <c r="AH1648" s="111">
        <f>IF(AQ1648="0",BJ1648,0)</f>
      </c>
      <c r="AI1648" s="132" t="s">
        <v>84</v>
      </c>
      <c r="AJ1648" s="111">
        <f>IF(AN1648=0,I1648,0)</f>
      </c>
      <c r="AK1648" s="111">
        <f>IF(AN1648=12,I1648,0)</f>
      </c>
      <c r="AL1648" s="111">
        <f>IF(AN1648=21,I1648,0)</f>
      </c>
      <c r="AN1648" s="111" t="n">
        <v>21</v>
      </c>
      <c r="AO1648" s="111">
        <f>H1648*0.780962339</f>
      </c>
      <c r="AP1648" s="111">
        <f>H1648*(1-0.780962339)</f>
      </c>
      <c r="AQ1648" s="153" t="s">
        <v>173</v>
      </c>
      <c r="AV1648" s="111">
        <f>AW1648+AX1648</f>
      </c>
      <c r="AW1648" s="111">
        <f>G1648*AO1648</f>
      </c>
      <c r="AX1648" s="111">
        <f>G1648*AP1648</f>
      </c>
      <c r="AY1648" s="153" t="s">
        <v>2588</v>
      </c>
      <c r="AZ1648" s="153" t="s">
        <v>2486</v>
      </c>
      <c r="BA1648" s="132" t="s">
        <v>137</v>
      </c>
      <c r="BC1648" s="111">
        <f>AW1648+AX1648</f>
      </c>
      <c r="BD1648" s="111">
        <f>H1648/(100-BE1648)*100</f>
      </c>
      <c r="BE1648" s="111" t="n">
        <v>0</v>
      </c>
      <c r="BF1648" s="111">
        <f>1648</f>
      </c>
      <c r="BH1648" s="111">
        <f>G1648*AO1648</f>
      </c>
      <c r="BI1648" s="111">
        <f>G1648*AP1648</f>
      </c>
      <c r="BJ1648" s="111">
        <f>G1648*H1648</f>
      </c>
      <c r="BK1648" s="111"/>
      <c r="BL1648" s="111" t="n">
        <v>775</v>
      </c>
      <c r="BW1648" s="111" t="n">
        <v>21</v>
      </c>
      <c r="BX1648" s="14" t="s">
        <v>2629</v>
      </c>
    </row>
    <row r="1649" customHeight="true" ht="13.5">
      <c r="A1649" s="159"/>
      <c r="C1649" s="160" t="s">
        <v>146</v>
      </c>
      <c r="D1649" s="161" t="s">
        <v>2630</v>
      </c>
      <c r="E1649" s="156"/>
      <c r="F1649" s="156"/>
      <c r="G1649" s="156"/>
      <c r="H1649" s="156"/>
      <c r="I1649" s="156"/>
      <c r="J1649" s="156"/>
      <c r="K1649" s="163"/>
    </row>
    <row r="1650">
      <c r="A1650" s="154"/>
      <c r="B1650" s="155"/>
      <c r="C1650" s="155"/>
      <c r="D1650" s="156" t="s">
        <v>2631</v>
      </c>
      <c r="E1650" s="156" t="s">
        <v>985</v>
      </c>
      <c r="F1650" s="155"/>
      <c r="G1650" s="157" t="n">
        <v>58.36</v>
      </c>
      <c r="H1650" s="155"/>
      <c r="I1650" s="155"/>
      <c r="J1650" s="155"/>
      <c r="K1650" s="146"/>
    </row>
    <row r="1651">
      <c r="A1651" s="154"/>
      <c r="B1651" s="155"/>
      <c r="C1651" s="155"/>
      <c r="D1651" s="156" t="s">
        <v>1883</v>
      </c>
      <c r="E1651" s="156" t="s">
        <v>987</v>
      </c>
      <c r="F1651" s="155"/>
      <c r="G1651" s="157" t="n">
        <v>17.12</v>
      </c>
      <c r="H1651" s="155"/>
      <c r="I1651" s="155"/>
      <c r="J1651" s="155"/>
      <c r="K1651" s="146"/>
    </row>
    <row r="1652">
      <c r="A1652" s="9" t="s">
        <v>2632</v>
      </c>
      <c r="B1652" s="10" t="s">
        <v>84</v>
      </c>
      <c r="C1652" s="10" t="s">
        <v>2633</v>
      </c>
      <c r="D1652" s="14" t="s">
        <v>2634</v>
      </c>
      <c r="E1652" s="10"/>
      <c r="F1652" s="10" t="s">
        <v>282</v>
      </c>
      <c r="G1652" s="111">
        <f>'Stavební rozpočet'!G1652</f>
      </c>
      <c r="H1652" s="111">
        <f>'Stavební rozpočet'!H1652</f>
      </c>
      <c r="I1652" s="111">
        <f>G1652*H1652</f>
      </c>
      <c r="J1652" s="153" t="s">
        <v>134</v>
      </c>
      <c r="K1652" s="146"/>
      <c r="Z1652" s="111">
        <f>IF(AQ1652="5",BJ1652,0)</f>
      </c>
      <c r="AB1652" s="111">
        <f>IF(AQ1652="1",BH1652,0)</f>
      </c>
      <c r="AC1652" s="111">
        <f>IF(AQ1652="1",BI1652,0)</f>
      </c>
      <c r="AD1652" s="111">
        <f>IF(AQ1652="7",BH1652,0)</f>
      </c>
      <c r="AE1652" s="111">
        <f>IF(AQ1652="7",BI1652,0)</f>
      </c>
      <c r="AF1652" s="111">
        <f>IF(AQ1652="2",BH1652,0)</f>
      </c>
      <c r="AG1652" s="111">
        <f>IF(AQ1652="2",BI1652,0)</f>
      </c>
      <c r="AH1652" s="111">
        <f>IF(AQ1652="0",BJ1652,0)</f>
      </c>
      <c r="AI1652" s="132" t="s">
        <v>84</v>
      </c>
      <c r="AJ1652" s="111">
        <f>IF(AN1652=0,I1652,0)</f>
      </c>
      <c r="AK1652" s="111">
        <f>IF(AN1652=12,I1652,0)</f>
      </c>
      <c r="AL1652" s="111">
        <f>IF(AN1652=21,I1652,0)</f>
      </c>
      <c r="AN1652" s="111" t="n">
        <v>21</v>
      </c>
      <c r="AO1652" s="111">
        <f>H1652*0.867034161</f>
      </c>
      <c r="AP1652" s="111">
        <f>H1652*(1-0.867034161)</f>
      </c>
      <c r="AQ1652" s="153" t="s">
        <v>173</v>
      </c>
      <c r="AV1652" s="111">
        <f>AW1652+AX1652</f>
      </c>
      <c r="AW1652" s="111">
        <f>G1652*AO1652</f>
      </c>
      <c r="AX1652" s="111">
        <f>G1652*AP1652</f>
      </c>
      <c r="AY1652" s="153" t="s">
        <v>2588</v>
      </c>
      <c r="AZ1652" s="153" t="s">
        <v>2486</v>
      </c>
      <c r="BA1652" s="132" t="s">
        <v>137</v>
      </c>
      <c r="BC1652" s="111">
        <f>AW1652+AX1652</f>
      </c>
      <c r="BD1652" s="111">
        <f>H1652/(100-BE1652)*100</f>
      </c>
      <c r="BE1652" s="111" t="n">
        <v>0</v>
      </c>
      <c r="BF1652" s="111">
        <f>1652</f>
      </c>
      <c r="BH1652" s="111">
        <f>G1652*AO1652</f>
      </c>
      <c r="BI1652" s="111">
        <f>G1652*AP1652</f>
      </c>
      <c r="BJ1652" s="111">
        <f>G1652*H1652</f>
      </c>
      <c r="BK1652" s="111"/>
      <c r="BL1652" s="111" t="n">
        <v>775</v>
      </c>
      <c r="BW1652" s="111" t="n">
        <v>21</v>
      </c>
      <c r="BX1652" s="14" t="s">
        <v>2634</v>
      </c>
    </row>
    <row r="1653" customHeight="true" ht="13.5">
      <c r="A1653" s="159"/>
      <c r="C1653" s="160" t="s">
        <v>146</v>
      </c>
      <c r="D1653" s="161" t="s">
        <v>2635</v>
      </c>
      <c r="E1653" s="156"/>
      <c r="F1653" s="156"/>
      <c r="G1653" s="156"/>
      <c r="H1653" s="156"/>
      <c r="I1653" s="156"/>
      <c r="J1653" s="156"/>
      <c r="K1653" s="163"/>
    </row>
    <row r="1654">
      <c r="A1654" s="154"/>
      <c r="B1654" s="155"/>
      <c r="C1654" s="155"/>
      <c r="D1654" s="156" t="s">
        <v>2636</v>
      </c>
      <c r="E1654" s="156" t="s">
        <v>2637</v>
      </c>
      <c r="F1654" s="155"/>
      <c r="G1654" s="157" t="n">
        <v>3.64</v>
      </c>
      <c r="H1654" s="155"/>
      <c r="I1654" s="155"/>
      <c r="J1654" s="155"/>
      <c r="K1654" s="146"/>
    </row>
    <row r="1655">
      <c r="A1655" s="9" t="s">
        <v>2638</v>
      </c>
      <c r="B1655" s="10" t="s">
        <v>84</v>
      </c>
      <c r="C1655" s="10" t="s">
        <v>2639</v>
      </c>
      <c r="D1655" s="14" t="s">
        <v>2640</v>
      </c>
      <c r="E1655" s="10"/>
      <c r="F1655" s="10" t="s">
        <v>145</v>
      </c>
      <c r="G1655" s="111">
        <f>'Stavební rozpočet'!G1655</f>
      </c>
      <c r="H1655" s="111">
        <f>'Stavební rozpočet'!H1655</f>
      </c>
      <c r="I1655" s="111">
        <f>G1655*H1655</f>
      </c>
      <c r="J1655" s="153" t="s">
        <v>134</v>
      </c>
      <c r="K1655" s="146"/>
      <c r="Z1655" s="111">
        <f>IF(AQ1655="5",BJ1655,0)</f>
      </c>
      <c r="AB1655" s="111">
        <f>IF(AQ1655="1",BH1655,0)</f>
      </c>
      <c r="AC1655" s="111">
        <f>IF(AQ1655="1",BI1655,0)</f>
      </c>
      <c r="AD1655" s="111">
        <f>IF(AQ1655="7",BH1655,0)</f>
      </c>
      <c r="AE1655" s="111">
        <f>IF(AQ1655="7",BI1655,0)</f>
      </c>
      <c r="AF1655" s="111">
        <f>IF(AQ1655="2",BH1655,0)</f>
      </c>
      <c r="AG1655" s="111">
        <f>IF(AQ1655="2",BI1655,0)</f>
      </c>
      <c r="AH1655" s="111">
        <f>IF(AQ1655="0",BJ1655,0)</f>
      </c>
      <c r="AI1655" s="132" t="s">
        <v>84</v>
      </c>
      <c r="AJ1655" s="111">
        <f>IF(AN1655=0,I1655,0)</f>
      </c>
      <c r="AK1655" s="111">
        <f>IF(AN1655=12,I1655,0)</f>
      </c>
      <c r="AL1655" s="111">
        <f>IF(AN1655=21,I1655,0)</f>
      </c>
      <c r="AN1655" s="111" t="n">
        <v>21</v>
      </c>
      <c r="AO1655" s="111">
        <f>H1655*0.517954887</f>
      </c>
      <c r="AP1655" s="111">
        <f>H1655*(1-0.517954887)</f>
      </c>
      <c r="AQ1655" s="153" t="s">
        <v>173</v>
      </c>
      <c r="AV1655" s="111">
        <f>AW1655+AX1655</f>
      </c>
      <c r="AW1655" s="111">
        <f>G1655*AO1655</f>
      </c>
      <c r="AX1655" s="111">
        <f>G1655*AP1655</f>
      </c>
      <c r="AY1655" s="153" t="s">
        <v>2588</v>
      </c>
      <c r="AZ1655" s="153" t="s">
        <v>2486</v>
      </c>
      <c r="BA1655" s="132" t="s">
        <v>137</v>
      </c>
      <c r="BC1655" s="111">
        <f>AW1655+AX1655</f>
      </c>
      <c r="BD1655" s="111">
        <f>H1655/(100-BE1655)*100</f>
      </c>
      <c r="BE1655" s="111" t="n">
        <v>0</v>
      </c>
      <c r="BF1655" s="111">
        <f>1655</f>
      </c>
      <c r="BH1655" s="111">
        <f>G1655*AO1655</f>
      </c>
      <c r="BI1655" s="111">
        <f>G1655*AP1655</f>
      </c>
      <c r="BJ1655" s="111">
        <f>G1655*H1655</f>
      </c>
      <c r="BK1655" s="111"/>
      <c r="BL1655" s="111" t="n">
        <v>775</v>
      </c>
      <c r="BW1655" s="111" t="n">
        <v>21</v>
      </c>
      <c r="BX1655" s="14" t="s">
        <v>2640</v>
      </c>
    </row>
    <row r="1656" customHeight="true" ht="13.5">
      <c r="A1656" s="159"/>
      <c r="C1656" s="160" t="s">
        <v>146</v>
      </c>
      <c r="D1656" s="161" t="s">
        <v>2593</v>
      </c>
      <c r="E1656" s="156"/>
      <c r="F1656" s="156"/>
      <c r="G1656" s="156"/>
      <c r="H1656" s="156"/>
      <c r="I1656" s="156"/>
      <c r="J1656" s="156"/>
      <c r="K1656" s="163"/>
    </row>
    <row r="1657">
      <c r="A1657" s="154"/>
      <c r="B1657" s="155"/>
      <c r="C1657" s="155"/>
      <c r="D1657" s="156" t="s">
        <v>1253</v>
      </c>
      <c r="E1657" s="156" t="s">
        <v>2589</v>
      </c>
      <c r="F1657" s="155"/>
      <c r="G1657" s="157" t="n">
        <v>240.3</v>
      </c>
      <c r="H1657" s="155"/>
      <c r="I1657" s="155"/>
      <c r="J1657" s="155"/>
      <c r="K1657" s="146"/>
    </row>
    <row r="1658">
      <c r="A1658" s="9" t="s">
        <v>2641</v>
      </c>
      <c r="B1658" s="10" t="s">
        <v>84</v>
      </c>
      <c r="C1658" s="10" t="s">
        <v>2642</v>
      </c>
      <c r="D1658" s="14" t="s">
        <v>2643</v>
      </c>
      <c r="E1658" s="10"/>
      <c r="F1658" s="10" t="s">
        <v>145</v>
      </c>
      <c r="G1658" s="111">
        <f>'Stavební rozpočet'!G1658</f>
      </c>
      <c r="H1658" s="111">
        <f>'Stavební rozpočet'!H1658</f>
      </c>
      <c r="I1658" s="111">
        <f>G1658*H1658</f>
      </c>
      <c r="J1658" s="153" t="s">
        <v>134</v>
      </c>
      <c r="K1658" s="146"/>
      <c r="Z1658" s="111">
        <f>IF(AQ1658="5",BJ1658,0)</f>
      </c>
      <c r="AB1658" s="111">
        <f>IF(AQ1658="1",BH1658,0)</f>
      </c>
      <c r="AC1658" s="111">
        <f>IF(AQ1658="1",BI1658,0)</f>
      </c>
      <c r="AD1658" s="111">
        <f>IF(AQ1658="7",BH1658,0)</f>
      </c>
      <c r="AE1658" s="111">
        <f>IF(AQ1658="7",BI1658,0)</f>
      </c>
      <c r="AF1658" s="111">
        <f>IF(AQ1658="2",BH1658,0)</f>
      </c>
      <c r="AG1658" s="111">
        <f>IF(AQ1658="2",BI1658,0)</f>
      </c>
      <c r="AH1658" s="111">
        <f>IF(AQ1658="0",BJ1658,0)</f>
      </c>
      <c r="AI1658" s="132" t="s">
        <v>84</v>
      </c>
      <c r="AJ1658" s="111">
        <f>IF(AN1658=0,I1658,0)</f>
      </c>
      <c r="AK1658" s="111">
        <f>IF(AN1658=12,I1658,0)</f>
      </c>
      <c r="AL1658" s="111">
        <f>IF(AN1658=21,I1658,0)</f>
      </c>
      <c r="AN1658" s="111" t="n">
        <v>21</v>
      </c>
      <c r="AO1658" s="111">
        <f>H1658*0</f>
      </c>
      <c r="AP1658" s="111">
        <f>H1658*(1-0)</f>
      </c>
      <c r="AQ1658" s="153" t="s">
        <v>173</v>
      </c>
      <c r="AV1658" s="111">
        <f>AW1658+AX1658</f>
      </c>
      <c r="AW1658" s="111">
        <f>G1658*AO1658</f>
      </c>
      <c r="AX1658" s="111">
        <f>G1658*AP1658</f>
      </c>
      <c r="AY1658" s="153" t="s">
        <v>2588</v>
      </c>
      <c r="AZ1658" s="153" t="s">
        <v>2486</v>
      </c>
      <c r="BA1658" s="132" t="s">
        <v>137</v>
      </c>
      <c r="BC1658" s="111">
        <f>AW1658+AX1658</f>
      </c>
      <c r="BD1658" s="111">
        <f>H1658/(100-BE1658)*100</f>
      </c>
      <c r="BE1658" s="111" t="n">
        <v>0</v>
      </c>
      <c r="BF1658" s="111">
        <f>1658</f>
      </c>
      <c r="BH1658" s="111">
        <f>G1658*AO1658</f>
      </c>
      <c r="BI1658" s="111">
        <f>G1658*AP1658</f>
      </c>
      <c r="BJ1658" s="111">
        <f>G1658*H1658</f>
      </c>
      <c r="BK1658" s="111"/>
      <c r="BL1658" s="111" t="n">
        <v>775</v>
      </c>
      <c r="BW1658" s="111" t="n">
        <v>21</v>
      </c>
      <c r="BX1658" s="14" t="s">
        <v>2643</v>
      </c>
    </row>
    <row r="1659">
      <c r="A1659" s="154"/>
      <c r="B1659" s="155"/>
      <c r="C1659" s="155"/>
      <c r="D1659" s="156" t="s">
        <v>1253</v>
      </c>
      <c r="E1659" s="156" t="s">
        <v>1238</v>
      </c>
      <c r="F1659" s="155"/>
      <c r="G1659" s="157" t="n">
        <v>240.3</v>
      </c>
      <c r="H1659" s="155"/>
      <c r="I1659" s="155"/>
      <c r="J1659" s="155"/>
      <c r="K1659" s="146"/>
    </row>
    <row r="1660">
      <c r="A1660" s="9" t="s">
        <v>2644</v>
      </c>
      <c r="B1660" s="10" t="s">
        <v>84</v>
      </c>
      <c r="C1660" s="10" t="s">
        <v>2645</v>
      </c>
      <c r="D1660" s="14" t="s">
        <v>2646</v>
      </c>
      <c r="E1660" s="10"/>
      <c r="F1660" s="10" t="s">
        <v>282</v>
      </c>
      <c r="G1660" s="111">
        <f>'Stavební rozpočet'!G1660</f>
      </c>
      <c r="H1660" s="111">
        <f>'Stavební rozpočet'!H1660</f>
      </c>
      <c r="I1660" s="111">
        <f>G1660*H1660</f>
      </c>
      <c r="J1660" s="153" t="s">
        <v>134</v>
      </c>
      <c r="K1660" s="146"/>
      <c r="Z1660" s="111">
        <f>IF(AQ1660="5",BJ1660,0)</f>
      </c>
      <c r="AB1660" s="111">
        <f>IF(AQ1660="1",BH1660,0)</f>
      </c>
      <c r="AC1660" s="111">
        <f>IF(AQ1660="1",BI1660,0)</f>
      </c>
      <c r="AD1660" s="111">
        <f>IF(AQ1660="7",BH1660,0)</f>
      </c>
      <c r="AE1660" s="111">
        <f>IF(AQ1660="7",BI1660,0)</f>
      </c>
      <c r="AF1660" s="111">
        <f>IF(AQ1660="2",BH1660,0)</f>
      </c>
      <c r="AG1660" s="111">
        <f>IF(AQ1660="2",BI1660,0)</f>
      </c>
      <c r="AH1660" s="111">
        <f>IF(AQ1660="0",BJ1660,0)</f>
      </c>
      <c r="AI1660" s="132" t="s">
        <v>84</v>
      </c>
      <c r="AJ1660" s="111">
        <f>IF(AN1660=0,I1660,0)</f>
      </c>
      <c r="AK1660" s="111">
        <f>IF(AN1660=12,I1660,0)</f>
      </c>
      <c r="AL1660" s="111">
        <f>IF(AN1660=21,I1660,0)</f>
      </c>
      <c r="AN1660" s="111" t="n">
        <v>21</v>
      </c>
      <c r="AO1660" s="111">
        <f>H1660*0.296182266</f>
      </c>
      <c r="AP1660" s="111">
        <f>H1660*(1-0.296182266)</f>
      </c>
      <c r="AQ1660" s="153" t="s">
        <v>173</v>
      </c>
      <c r="AV1660" s="111">
        <f>AW1660+AX1660</f>
      </c>
      <c r="AW1660" s="111">
        <f>G1660*AO1660</f>
      </c>
      <c r="AX1660" s="111">
        <f>G1660*AP1660</f>
      </c>
      <c r="AY1660" s="153" t="s">
        <v>2588</v>
      </c>
      <c r="AZ1660" s="153" t="s">
        <v>2486</v>
      </c>
      <c r="BA1660" s="132" t="s">
        <v>137</v>
      </c>
      <c r="BC1660" s="111">
        <f>AW1660+AX1660</f>
      </c>
      <c r="BD1660" s="111">
        <f>H1660/(100-BE1660)*100</f>
      </c>
      <c r="BE1660" s="111" t="n">
        <v>0</v>
      </c>
      <c r="BF1660" s="111">
        <f>1660</f>
      </c>
      <c r="BH1660" s="111">
        <f>G1660*AO1660</f>
      </c>
      <c r="BI1660" s="111">
        <f>G1660*AP1660</f>
      </c>
      <c r="BJ1660" s="111">
        <f>G1660*H1660</f>
      </c>
      <c r="BK1660" s="111"/>
      <c r="BL1660" s="111" t="n">
        <v>775</v>
      </c>
      <c r="BW1660" s="111" t="n">
        <v>21</v>
      </c>
      <c r="BX1660" s="14" t="s">
        <v>2646</v>
      </c>
    </row>
    <row r="1661">
      <c r="A1661" s="154"/>
      <c r="B1661" s="155"/>
      <c r="C1661" s="155"/>
      <c r="D1661" s="156" t="s">
        <v>2647</v>
      </c>
      <c r="E1661" s="156" t="s">
        <v>2648</v>
      </c>
      <c r="F1661" s="155"/>
      <c r="G1661" s="157" t="n">
        <v>194</v>
      </c>
      <c r="H1661" s="155"/>
      <c r="I1661" s="155"/>
      <c r="J1661" s="155"/>
      <c r="K1661" s="146"/>
    </row>
    <row r="1662">
      <c r="A1662" s="9" t="s">
        <v>2649</v>
      </c>
      <c r="B1662" s="10" t="s">
        <v>84</v>
      </c>
      <c r="C1662" s="10" t="s">
        <v>2650</v>
      </c>
      <c r="D1662" s="14" t="s">
        <v>2651</v>
      </c>
      <c r="E1662" s="10"/>
      <c r="F1662" s="10" t="s">
        <v>61</v>
      </c>
      <c r="G1662" s="111">
        <f>'Stavební rozpočet'!G1662</f>
      </c>
      <c r="H1662" s="111">
        <f>'Stavební rozpočet'!H1662</f>
      </c>
      <c r="I1662" s="111">
        <f>G1662*H1662</f>
      </c>
      <c r="J1662" s="153" t="s">
        <v>134</v>
      </c>
      <c r="K1662" s="146"/>
      <c r="Z1662" s="111">
        <f>IF(AQ1662="5",BJ1662,0)</f>
      </c>
      <c r="AB1662" s="111">
        <f>IF(AQ1662="1",BH1662,0)</f>
      </c>
      <c r="AC1662" s="111">
        <f>IF(AQ1662="1",BI1662,0)</f>
      </c>
      <c r="AD1662" s="111">
        <f>IF(AQ1662="7",BH1662,0)</f>
      </c>
      <c r="AE1662" s="111">
        <f>IF(AQ1662="7",BI1662,0)</f>
      </c>
      <c r="AF1662" s="111">
        <f>IF(AQ1662="2",BH1662,0)</f>
      </c>
      <c r="AG1662" s="111">
        <f>IF(AQ1662="2",BI1662,0)</f>
      </c>
      <c r="AH1662" s="111">
        <f>IF(AQ1662="0",BJ1662,0)</f>
      </c>
      <c r="AI1662" s="132" t="s">
        <v>84</v>
      </c>
      <c r="AJ1662" s="111">
        <f>IF(AN1662=0,I1662,0)</f>
      </c>
      <c r="AK1662" s="111">
        <f>IF(AN1662=12,I1662,0)</f>
      </c>
      <c r="AL1662" s="111">
        <f>IF(AN1662=21,I1662,0)</f>
      </c>
      <c r="AN1662" s="111" t="n">
        <v>21</v>
      </c>
      <c r="AO1662" s="111">
        <f>H1662*0</f>
      </c>
      <c r="AP1662" s="111">
        <f>H1662*(1-0)</f>
      </c>
      <c r="AQ1662" s="153" t="s">
        <v>156</v>
      </c>
      <c r="AV1662" s="111">
        <f>AW1662+AX1662</f>
      </c>
      <c r="AW1662" s="111">
        <f>G1662*AO1662</f>
      </c>
      <c r="AX1662" s="111">
        <f>G1662*AP1662</f>
      </c>
      <c r="AY1662" s="153" t="s">
        <v>2588</v>
      </c>
      <c r="AZ1662" s="153" t="s">
        <v>2486</v>
      </c>
      <c r="BA1662" s="132" t="s">
        <v>137</v>
      </c>
      <c r="BC1662" s="111">
        <f>AW1662+AX1662</f>
      </c>
      <c r="BD1662" s="111">
        <f>H1662/(100-BE1662)*100</f>
      </c>
      <c r="BE1662" s="111" t="n">
        <v>0</v>
      </c>
      <c r="BF1662" s="111">
        <f>1662</f>
      </c>
      <c r="BH1662" s="111">
        <f>G1662*AO1662</f>
      </c>
      <c r="BI1662" s="111">
        <f>G1662*AP1662</f>
      </c>
      <c r="BJ1662" s="111">
        <f>G1662*H1662</f>
      </c>
      <c r="BK1662" s="111"/>
      <c r="BL1662" s="111" t="n">
        <v>775</v>
      </c>
      <c r="BW1662" s="111" t="n">
        <v>21</v>
      </c>
      <c r="BX1662" s="14" t="s">
        <v>2651</v>
      </c>
    </row>
    <row r="1663">
      <c r="A1663" s="147" t="s">
        <v>4</v>
      </c>
      <c r="B1663" s="148" t="s">
        <v>84</v>
      </c>
      <c r="C1663" s="148" t="s">
        <v>2652</v>
      </c>
      <c r="D1663" s="149" t="s">
        <v>2653</v>
      </c>
      <c r="E1663" s="148"/>
      <c r="F1663" s="150" t="s">
        <v>79</v>
      </c>
      <c r="G1663" s="150" t="s">
        <v>79</v>
      </c>
      <c r="H1663" s="150" t="s">
        <v>79</v>
      </c>
      <c r="I1663" s="117">
        <f>SUM(I1664:I1755)</f>
      </c>
      <c r="J1663" s="132" t="s">
        <v>4</v>
      </c>
      <c r="K1663" s="146"/>
      <c r="AI1663" s="132" t="s">
        <v>84</v>
      </c>
      <c r="AS1663" s="117">
        <f>SUM(AJ1664:AJ1755)</f>
      </c>
      <c r="AT1663" s="117">
        <f>SUM(AK1664:AK1755)</f>
      </c>
      <c r="AU1663" s="117">
        <f>SUM(AL1664:AL1755)</f>
      </c>
    </row>
    <row r="1664">
      <c r="A1664" s="9" t="s">
        <v>2654</v>
      </c>
      <c r="B1664" s="10" t="s">
        <v>84</v>
      </c>
      <c r="C1664" s="10" t="s">
        <v>2655</v>
      </c>
      <c r="D1664" s="14" t="s">
        <v>2656</v>
      </c>
      <c r="E1664" s="10"/>
      <c r="F1664" s="10" t="s">
        <v>145</v>
      </c>
      <c r="G1664" s="111">
        <f>'Stavební rozpočet'!G1664</f>
      </c>
      <c r="H1664" s="111">
        <f>'Stavební rozpočet'!H1664</f>
      </c>
      <c r="I1664" s="111">
        <f>G1664*H1664</f>
      </c>
      <c r="J1664" s="153" t="s">
        <v>134</v>
      </c>
      <c r="K1664" s="146"/>
      <c r="Z1664" s="111">
        <f>IF(AQ1664="5",BJ1664,0)</f>
      </c>
      <c r="AB1664" s="111">
        <f>IF(AQ1664="1",BH1664,0)</f>
      </c>
      <c r="AC1664" s="111">
        <f>IF(AQ1664="1",BI1664,0)</f>
      </c>
      <c r="AD1664" s="111">
        <f>IF(AQ1664="7",BH1664,0)</f>
      </c>
      <c r="AE1664" s="111">
        <f>IF(AQ1664="7",BI1664,0)</f>
      </c>
      <c r="AF1664" s="111">
        <f>IF(AQ1664="2",BH1664,0)</f>
      </c>
      <c r="AG1664" s="111">
        <f>IF(AQ1664="2",BI1664,0)</f>
      </c>
      <c r="AH1664" s="111">
        <f>IF(AQ1664="0",BJ1664,0)</f>
      </c>
      <c r="AI1664" s="132" t="s">
        <v>84</v>
      </c>
      <c r="AJ1664" s="111">
        <f>IF(AN1664=0,I1664,0)</f>
      </c>
      <c r="AK1664" s="111">
        <f>IF(AN1664=12,I1664,0)</f>
      </c>
      <c r="AL1664" s="111">
        <f>IF(AN1664=21,I1664,0)</f>
      </c>
      <c r="AN1664" s="111" t="n">
        <v>21</v>
      </c>
      <c r="AO1664" s="111">
        <f>H1664*0</f>
      </c>
      <c r="AP1664" s="111">
        <f>H1664*(1-0)</f>
      </c>
      <c r="AQ1664" s="153" t="s">
        <v>173</v>
      </c>
      <c r="AV1664" s="111">
        <f>AW1664+AX1664</f>
      </c>
      <c r="AW1664" s="111">
        <f>G1664*AO1664</f>
      </c>
      <c r="AX1664" s="111">
        <f>G1664*AP1664</f>
      </c>
      <c r="AY1664" s="153" t="s">
        <v>2657</v>
      </c>
      <c r="AZ1664" s="153" t="s">
        <v>2486</v>
      </c>
      <c r="BA1664" s="132" t="s">
        <v>137</v>
      </c>
      <c r="BC1664" s="111">
        <f>AW1664+AX1664</f>
      </c>
      <c r="BD1664" s="111">
        <f>H1664/(100-BE1664)*100</f>
      </c>
      <c r="BE1664" s="111" t="n">
        <v>0</v>
      </c>
      <c r="BF1664" s="111">
        <f>1664</f>
      </c>
      <c r="BH1664" s="111">
        <f>G1664*AO1664</f>
      </c>
      <c r="BI1664" s="111">
        <f>G1664*AP1664</f>
      </c>
      <c r="BJ1664" s="111">
        <f>G1664*H1664</f>
      </c>
      <c r="BK1664" s="111"/>
      <c r="BL1664" s="111" t="n">
        <v>776</v>
      </c>
      <c r="BW1664" s="111" t="n">
        <v>21</v>
      </c>
      <c r="BX1664" s="14" t="s">
        <v>2656</v>
      </c>
    </row>
    <row r="1665">
      <c r="A1665" s="154"/>
      <c r="B1665" s="155"/>
      <c r="C1665" s="155"/>
      <c r="D1665" s="156" t="s">
        <v>892</v>
      </c>
      <c r="E1665" s="156" t="s">
        <v>2658</v>
      </c>
      <c r="F1665" s="155"/>
      <c r="G1665" s="157" t="n">
        <v>89.1</v>
      </c>
      <c r="H1665" s="155"/>
      <c r="I1665" s="155"/>
      <c r="J1665" s="155"/>
      <c r="K1665" s="146"/>
    </row>
    <row r="1666">
      <c r="A1666" s="154"/>
      <c r="B1666" s="155"/>
      <c r="C1666" s="155"/>
      <c r="D1666" s="156" t="s">
        <v>2659</v>
      </c>
      <c r="E1666" s="156" t="s">
        <v>2660</v>
      </c>
      <c r="F1666" s="155"/>
      <c r="G1666" s="157" t="n">
        <v>152.9</v>
      </c>
      <c r="H1666" s="155"/>
      <c r="I1666" s="155"/>
      <c r="J1666" s="155"/>
      <c r="K1666" s="146"/>
    </row>
    <row r="1667">
      <c r="A1667" s="154"/>
      <c r="B1667" s="155"/>
      <c r="C1667" s="155"/>
      <c r="D1667" s="156" t="s">
        <v>2661</v>
      </c>
      <c r="E1667" s="156" t="s">
        <v>2662</v>
      </c>
      <c r="F1667" s="155"/>
      <c r="G1667" s="157" t="n">
        <v>3.2</v>
      </c>
      <c r="H1667" s="155"/>
      <c r="I1667" s="155"/>
      <c r="J1667" s="155"/>
      <c r="K1667" s="146"/>
    </row>
    <row r="1668">
      <c r="A1668" s="9" t="s">
        <v>2663</v>
      </c>
      <c r="B1668" s="10" t="s">
        <v>84</v>
      </c>
      <c r="C1668" s="10" t="s">
        <v>2490</v>
      </c>
      <c r="D1668" s="14" t="s">
        <v>2491</v>
      </c>
      <c r="E1668" s="10"/>
      <c r="F1668" s="10" t="s">
        <v>145</v>
      </c>
      <c r="G1668" s="111">
        <f>'Stavební rozpočet'!G1668</f>
      </c>
      <c r="H1668" s="111">
        <f>'Stavební rozpočet'!H1668</f>
      </c>
      <c r="I1668" s="111">
        <f>G1668*H1668</f>
      </c>
      <c r="J1668" s="153" t="s">
        <v>134</v>
      </c>
      <c r="K1668" s="146"/>
      <c r="Z1668" s="111">
        <f>IF(AQ1668="5",BJ1668,0)</f>
      </c>
      <c r="AB1668" s="111">
        <f>IF(AQ1668="1",BH1668,0)</f>
      </c>
      <c r="AC1668" s="111">
        <f>IF(AQ1668="1",BI1668,0)</f>
      </c>
      <c r="AD1668" s="111">
        <f>IF(AQ1668="7",BH1668,0)</f>
      </c>
      <c r="AE1668" s="111">
        <f>IF(AQ1668="7",BI1668,0)</f>
      </c>
      <c r="AF1668" s="111">
        <f>IF(AQ1668="2",BH1668,0)</f>
      </c>
      <c r="AG1668" s="111">
        <f>IF(AQ1668="2",BI1668,0)</f>
      </c>
      <c r="AH1668" s="111">
        <f>IF(AQ1668="0",BJ1668,0)</f>
      </c>
      <c r="AI1668" s="132" t="s">
        <v>84</v>
      </c>
      <c r="AJ1668" s="111">
        <f>IF(AN1668=0,I1668,0)</f>
      </c>
      <c r="AK1668" s="111">
        <f>IF(AN1668=12,I1668,0)</f>
      </c>
      <c r="AL1668" s="111">
        <f>IF(AN1668=21,I1668,0)</f>
      </c>
      <c r="AN1668" s="111" t="n">
        <v>21</v>
      </c>
      <c r="AO1668" s="111">
        <f>H1668*0.643868521</f>
      </c>
      <c r="AP1668" s="111">
        <f>H1668*(1-0.643868521)</f>
      </c>
      <c r="AQ1668" s="153" t="s">
        <v>173</v>
      </c>
      <c r="AV1668" s="111">
        <f>AW1668+AX1668</f>
      </c>
      <c r="AW1668" s="111">
        <f>G1668*AO1668</f>
      </c>
      <c r="AX1668" s="111">
        <f>G1668*AP1668</f>
      </c>
      <c r="AY1668" s="153" t="s">
        <v>2657</v>
      </c>
      <c r="AZ1668" s="153" t="s">
        <v>2486</v>
      </c>
      <c r="BA1668" s="132" t="s">
        <v>137</v>
      </c>
      <c r="BC1668" s="111">
        <f>AW1668+AX1668</f>
      </c>
      <c r="BD1668" s="111">
        <f>H1668/(100-BE1668)*100</f>
      </c>
      <c r="BE1668" s="111" t="n">
        <v>0</v>
      </c>
      <c r="BF1668" s="111">
        <f>1668</f>
      </c>
      <c r="BH1668" s="111">
        <f>G1668*AO1668</f>
      </c>
      <c r="BI1668" s="111">
        <f>G1668*AP1668</f>
      </c>
      <c r="BJ1668" s="111">
        <f>G1668*H1668</f>
      </c>
      <c r="BK1668" s="111"/>
      <c r="BL1668" s="111" t="n">
        <v>776</v>
      </c>
      <c r="BW1668" s="111" t="n">
        <v>21</v>
      </c>
      <c r="BX1668" s="14" t="s">
        <v>2491</v>
      </c>
    </row>
    <row r="1669" customHeight="true" ht="13.5">
      <c r="A1669" s="159"/>
      <c r="C1669" s="160" t="s">
        <v>146</v>
      </c>
      <c r="D1669" s="161" t="s">
        <v>2492</v>
      </c>
      <c r="E1669" s="156"/>
      <c r="F1669" s="156"/>
      <c r="G1669" s="156"/>
      <c r="H1669" s="156"/>
      <c r="I1669" s="156"/>
      <c r="J1669" s="156"/>
      <c r="K1669" s="163"/>
    </row>
    <row r="1670">
      <c r="A1670" s="154"/>
      <c r="B1670" s="155"/>
      <c r="C1670" s="155"/>
      <c r="D1670" s="156" t="s">
        <v>892</v>
      </c>
      <c r="E1670" s="156" t="s">
        <v>2658</v>
      </c>
      <c r="F1670" s="155"/>
      <c r="G1670" s="157" t="n">
        <v>89.1</v>
      </c>
      <c r="H1670" s="155"/>
      <c r="I1670" s="155"/>
      <c r="J1670" s="155"/>
      <c r="K1670" s="146"/>
    </row>
    <row r="1671">
      <c r="A1671" s="154"/>
      <c r="B1671" s="155"/>
      <c r="C1671" s="155"/>
      <c r="D1671" s="156" t="s">
        <v>2659</v>
      </c>
      <c r="E1671" s="156" t="s">
        <v>2660</v>
      </c>
      <c r="F1671" s="155"/>
      <c r="G1671" s="157" t="n">
        <v>152.9</v>
      </c>
      <c r="H1671" s="155"/>
      <c r="I1671" s="155"/>
      <c r="J1671" s="155"/>
      <c r="K1671" s="146"/>
    </row>
    <row r="1672">
      <c r="A1672" s="154"/>
      <c r="B1672" s="155"/>
      <c r="C1672" s="155"/>
      <c r="D1672" s="156" t="s">
        <v>2661</v>
      </c>
      <c r="E1672" s="156" t="s">
        <v>2662</v>
      </c>
      <c r="F1672" s="155"/>
      <c r="G1672" s="157" t="n">
        <v>3.2</v>
      </c>
      <c r="H1672" s="155"/>
      <c r="I1672" s="155"/>
      <c r="J1672" s="155"/>
      <c r="K1672" s="146"/>
    </row>
    <row r="1673">
      <c r="A1673" s="9" t="s">
        <v>2664</v>
      </c>
      <c r="B1673" s="10" t="s">
        <v>84</v>
      </c>
      <c r="C1673" s="10" t="s">
        <v>2665</v>
      </c>
      <c r="D1673" s="14" t="s">
        <v>2666</v>
      </c>
      <c r="E1673" s="10"/>
      <c r="F1673" s="10" t="s">
        <v>145</v>
      </c>
      <c r="G1673" s="111">
        <f>'Stavební rozpočet'!G1673</f>
      </c>
      <c r="H1673" s="111">
        <f>'Stavební rozpočet'!H1673</f>
      </c>
      <c r="I1673" s="111">
        <f>G1673*H1673</f>
      </c>
      <c r="J1673" s="153" t="s">
        <v>134</v>
      </c>
      <c r="K1673" s="146"/>
      <c r="Z1673" s="111">
        <f>IF(AQ1673="5",BJ1673,0)</f>
      </c>
      <c r="AB1673" s="111">
        <f>IF(AQ1673="1",BH1673,0)</f>
      </c>
      <c r="AC1673" s="111">
        <f>IF(AQ1673="1",BI1673,0)</f>
      </c>
      <c r="AD1673" s="111">
        <f>IF(AQ1673="7",BH1673,0)</f>
      </c>
      <c r="AE1673" s="111">
        <f>IF(AQ1673="7",BI1673,0)</f>
      </c>
      <c r="AF1673" s="111">
        <f>IF(AQ1673="2",BH1673,0)</f>
      </c>
      <c r="AG1673" s="111">
        <f>IF(AQ1673="2",BI1673,0)</f>
      </c>
      <c r="AH1673" s="111">
        <f>IF(AQ1673="0",BJ1673,0)</f>
      </c>
      <c r="AI1673" s="132" t="s">
        <v>84</v>
      </c>
      <c r="AJ1673" s="111">
        <f>IF(AN1673=0,I1673,0)</f>
      </c>
      <c r="AK1673" s="111">
        <f>IF(AN1673=12,I1673,0)</f>
      </c>
      <c r="AL1673" s="111">
        <f>IF(AN1673=21,I1673,0)</f>
      </c>
      <c r="AN1673" s="111" t="n">
        <v>21</v>
      </c>
      <c r="AO1673" s="111">
        <f>H1673*0</f>
      </c>
      <c r="AP1673" s="111">
        <f>H1673*(1-0)</f>
      </c>
      <c r="AQ1673" s="153" t="s">
        <v>173</v>
      </c>
      <c r="AV1673" s="111">
        <f>AW1673+AX1673</f>
      </c>
      <c r="AW1673" s="111">
        <f>G1673*AO1673</f>
      </c>
      <c r="AX1673" s="111">
        <f>G1673*AP1673</f>
      </c>
      <c r="AY1673" s="153" t="s">
        <v>2657</v>
      </c>
      <c r="AZ1673" s="153" t="s">
        <v>2486</v>
      </c>
      <c r="BA1673" s="132" t="s">
        <v>137</v>
      </c>
      <c r="BC1673" s="111">
        <f>AW1673+AX1673</f>
      </c>
      <c r="BD1673" s="111">
        <f>H1673/(100-BE1673)*100</f>
      </c>
      <c r="BE1673" s="111" t="n">
        <v>0</v>
      </c>
      <c r="BF1673" s="111">
        <f>1673</f>
      </c>
      <c r="BH1673" s="111">
        <f>G1673*AO1673</f>
      </c>
      <c r="BI1673" s="111">
        <f>G1673*AP1673</f>
      </c>
      <c r="BJ1673" s="111">
        <f>G1673*H1673</f>
      </c>
      <c r="BK1673" s="111"/>
      <c r="BL1673" s="111" t="n">
        <v>776</v>
      </c>
      <c r="BW1673" s="111" t="n">
        <v>21</v>
      </c>
      <c r="BX1673" s="14" t="s">
        <v>2666</v>
      </c>
    </row>
    <row r="1674" customHeight="true" ht="13.5">
      <c r="A1674" s="159"/>
      <c r="C1674" s="160" t="s">
        <v>146</v>
      </c>
      <c r="D1674" s="161" t="s">
        <v>2667</v>
      </c>
      <c r="E1674" s="156"/>
      <c r="F1674" s="156"/>
      <c r="G1674" s="156"/>
      <c r="H1674" s="156"/>
      <c r="I1674" s="156"/>
      <c r="J1674" s="156"/>
      <c r="K1674" s="163"/>
    </row>
    <row r="1675">
      <c r="A1675" s="154"/>
      <c r="B1675" s="155"/>
      <c r="C1675" s="155"/>
      <c r="D1675" s="156" t="s">
        <v>892</v>
      </c>
      <c r="E1675" s="156" t="s">
        <v>2658</v>
      </c>
      <c r="F1675" s="155"/>
      <c r="G1675" s="157" t="n">
        <v>89.1</v>
      </c>
      <c r="H1675" s="155"/>
      <c r="I1675" s="155"/>
      <c r="J1675" s="155"/>
      <c r="K1675" s="146"/>
    </row>
    <row r="1676">
      <c r="A1676" s="154"/>
      <c r="B1676" s="155"/>
      <c r="C1676" s="155"/>
      <c r="D1676" s="156" t="s">
        <v>2659</v>
      </c>
      <c r="E1676" s="156" t="s">
        <v>2660</v>
      </c>
      <c r="F1676" s="155"/>
      <c r="G1676" s="157" t="n">
        <v>152.9</v>
      </c>
      <c r="H1676" s="155"/>
      <c r="I1676" s="155"/>
      <c r="J1676" s="155"/>
      <c r="K1676" s="146"/>
    </row>
    <row r="1677">
      <c r="A1677" s="154"/>
      <c r="B1677" s="155"/>
      <c r="C1677" s="155"/>
      <c r="D1677" s="156" t="s">
        <v>2661</v>
      </c>
      <c r="E1677" s="156" t="s">
        <v>2662</v>
      </c>
      <c r="F1677" s="155"/>
      <c r="G1677" s="157" t="n">
        <v>3.2</v>
      </c>
      <c r="H1677" s="155"/>
      <c r="I1677" s="155"/>
      <c r="J1677" s="155"/>
      <c r="K1677" s="146"/>
    </row>
    <row r="1678">
      <c r="A1678" s="9" t="s">
        <v>2668</v>
      </c>
      <c r="B1678" s="10" t="s">
        <v>84</v>
      </c>
      <c r="C1678" s="10" t="s">
        <v>2498</v>
      </c>
      <c r="D1678" s="14" t="s">
        <v>2669</v>
      </c>
      <c r="E1678" s="10"/>
      <c r="F1678" s="10" t="s">
        <v>2426</v>
      </c>
      <c r="G1678" s="111">
        <f>'Stavební rozpočet'!G1678</f>
      </c>
      <c r="H1678" s="111">
        <f>'Stavební rozpočet'!H1678</f>
      </c>
      <c r="I1678" s="111">
        <f>G1678*H1678</f>
      </c>
      <c r="J1678" s="153" t="s">
        <v>134</v>
      </c>
      <c r="K1678" s="146"/>
      <c r="Z1678" s="111">
        <f>IF(AQ1678="5",BJ1678,0)</f>
      </c>
      <c r="AB1678" s="111">
        <f>IF(AQ1678="1",BH1678,0)</f>
      </c>
      <c r="AC1678" s="111">
        <f>IF(AQ1678="1",BI1678,0)</f>
      </c>
      <c r="AD1678" s="111">
        <f>IF(AQ1678="7",BH1678,0)</f>
      </c>
      <c r="AE1678" s="111">
        <f>IF(AQ1678="7",BI1678,0)</f>
      </c>
      <c r="AF1678" s="111">
        <f>IF(AQ1678="2",BH1678,0)</f>
      </c>
      <c r="AG1678" s="111">
        <f>IF(AQ1678="2",BI1678,0)</f>
      </c>
      <c r="AH1678" s="111">
        <f>IF(AQ1678="0",BJ1678,0)</f>
      </c>
      <c r="AI1678" s="132" t="s">
        <v>84</v>
      </c>
      <c r="AJ1678" s="111">
        <f>IF(AN1678=0,I1678,0)</f>
      </c>
      <c r="AK1678" s="111">
        <f>IF(AN1678=12,I1678,0)</f>
      </c>
      <c r="AL1678" s="111">
        <f>IF(AN1678=21,I1678,0)</f>
      </c>
      <c r="AN1678" s="111" t="n">
        <v>21</v>
      </c>
      <c r="AO1678" s="111">
        <f>H1678*1</f>
      </c>
      <c r="AP1678" s="111">
        <f>H1678*(1-1)</f>
      </c>
      <c r="AQ1678" s="153" t="s">
        <v>173</v>
      </c>
      <c r="AV1678" s="111">
        <f>AW1678+AX1678</f>
      </c>
      <c r="AW1678" s="111">
        <f>G1678*AO1678</f>
      </c>
      <c r="AX1678" s="111">
        <f>G1678*AP1678</f>
      </c>
      <c r="AY1678" s="153" t="s">
        <v>2657</v>
      </c>
      <c r="AZ1678" s="153" t="s">
        <v>2486</v>
      </c>
      <c r="BA1678" s="132" t="s">
        <v>137</v>
      </c>
      <c r="BC1678" s="111">
        <f>AW1678+AX1678</f>
      </c>
      <c r="BD1678" s="111">
        <f>H1678/(100-BE1678)*100</f>
      </c>
      <c r="BE1678" s="111" t="n">
        <v>0</v>
      </c>
      <c r="BF1678" s="111">
        <f>1678</f>
      </c>
      <c r="BH1678" s="111">
        <f>G1678*AO1678</f>
      </c>
      <c r="BI1678" s="111">
        <f>G1678*AP1678</f>
      </c>
      <c r="BJ1678" s="111">
        <f>G1678*H1678</f>
      </c>
      <c r="BK1678" s="111"/>
      <c r="BL1678" s="111" t="n">
        <v>776</v>
      </c>
      <c r="BW1678" s="111" t="n">
        <v>21</v>
      </c>
      <c r="BX1678" s="14" t="s">
        <v>2669</v>
      </c>
    </row>
    <row r="1679">
      <c r="A1679" s="154"/>
      <c r="B1679" s="155"/>
      <c r="C1679" s="155"/>
      <c r="D1679" s="156" t="s">
        <v>4</v>
      </c>
      <c r="E1679" s="156" t="s">
        <v>2670</v>
      </c>
      <c r="F1679" s="155"/>
      <c r="G1679" s="157" t="n">
        <v>0</v>
      </c>
      <c r="H1679" s="155"/>
      <c r="I1679" s="155"/>
      <c r="J1679" s="155"/>
      <c r="K1679" s="146"/>
    </row>
    <row r="1680">
      <c r="A1680" s="154"/>
      <c r="B1680" s="155"/>
      <c r="C1680" s="155"/>
      <c r="D1680" s="156" t="s">
        <v>2661</v>
      </c>
      <c r="E1680" s="156" t="s">
        <v>2662</v>
      </c>
      <c r="F1680" s="155"/>
      <c r="G1680" s="157" t="n">
        <v>3.2</v>
      </c>
      <c r="H1680" s="155"/>
      <c r="I1680" s="155"/>
      <c r="J1680" s="155"/>
      <c r="K1680" s="146"/>
    </row>
    <row r="1681">
      <c r="A1681" s="154"/>
      <c r="B1681" s="155"/>
      <c r="C1681" s="155"/>
      <c r="D1681" s="156" t="s">
        <v>2671</v>
      </c>
      <c r="E1681" s="156" t="s">
        <v>1730</v>
      </c>
      <c r="F1681" s="155"/>
      <c r="G1681" s="157" t="n">
        <v>145.52</v>
      </c>
      <c r="H1681" s="155"/>
      <c r="I1681" s="155"/>
      <c r="J1681" s="155"/>
      <c r="K1681" s="146"/>
    </row>
    <row r="1682">
      <c r="A1682" s="154"/>
      <c r="B1682" s="155"/>
      <c r="C1682" s="155"/>
      <c r="D1682" s="156" t="s">
        <v>2672</v>
      </c>
      <c r="E1682" s="156" t="s">
        <v>2658</v>
      </c>
      <c r="F1682" s="155"/>
      <c r="G1682" s="157" t="n">
        <v>534.6</v>
      </c>
      <c r="H1682" s="155"/>
      <c r="I1682" s="155"/>
      <c r="J1682" s="155"/>
      <c r="K1682" s="146"/>
    </row>
    <row r="1683">
      <c r="A1683" s="154"/>
      <c r="B1683" s="155"/>
      <c r="C1683" s="155"/>
      <c r="D1683" s="156" t="s">
        <v>2673</v>
      </c>
      <c r="E1683" s="156" t="s">
        <v>2660</v>
      </c>
      <c r="F1683" s="155"/>
      <c r="G1683" s="157" t="n">
        <v>917.4</v>
      </c>
      <c r="H1683" s="155"/>
      <c r="I1683" s="155"/>
      <c r="J1683" s="155"/>
      <c r="K1683" s="146"/>
    </row>
    <row r="1684">
      <c r="A1684" s="9" t="s">
        <v>2674</v>
      </c>
      <c r="B1684" s="10" t="s">
        <v>84</v>
      </c>
      <c r="C1684" s="10" t="s">
        <v>2675</v>
      </c>
      <c r="D1684" s="14" t="s">
        <v>2676</v>
      </c>
      <c r="E1684" s="10"/>
      <c r="F1684" s="10" t="s">
        <v>145</v>
      </c>
      <c r="G1684" s="111">
        <f>'Stavební rozpočet'!G1684</f>
      </c>
      <c r="H1684" s="111">
        <f>'Stavební rozpočet'!H1684</f>
      </c>
      <c r="I1684" s="111">
        <f>G1684*H1684</f>
      </c>
      <c r="J1684" s="153" t="s">
        <v>134</v>
      </c>
      <c r="K1684" s="146"/>
      <c r="Z1684" s="111">
        <f>IF(AQ1684="5",BJ1684,0)</f>
      </c>
      <c r="AB1684" s="111">
        <f>IF(AQ1684="1",BH1684,0)</f>
      </c>
      <c r="AC1684" s="111">
        <f>IF(AQ1684="1",BI1684,0)</f>
      </c>
      <c r="AD1684" s="111">
        <f>IF(AQ1684="7",BH1684,0)</f>
      </c>
      <c r="AE1684" s="111">
        <f>IF(AQ1684="7",BI1684,0)</f>
      </c>
      <c r="AF1684" s="111">
        <f>IF(AQ1684="2",BH1684,0)</f>
      </c>
      <c r="AG1684" s="111">
        <f>IF(AQ1684="2",BI1684,0)</f>
      </c>
      <c r="AH1684" s="111">
        <f>IF(AQ1684="0",BJ1684,0)</f>
      </c>
      <c r="AI1684" s="132" t="s">
        <v>84</v>
      </c>
      <c r="AJ1684" s="111">
        <f>IF(AN1684=0,I1684,0)</f>
      </c>
      <c r="AK1684" s="111">
        <f>IF(AN1684=12,I1684,0)</f>
      </c>
      <c r="AL1684" s="111">
        <f>IF(AN1684=21,I1684,0)</f>
      </c>
      <c r="AN1684" s="111" t="n">
        <v>21</v>
      </c>
      <c r="AO1684" s="111">
        <f>H1684*0</f>
      </c>
      <c r="AP1684" s="111">
        <f>H1684*(1-0)</f>
      </c>
      <c r="AQ1684" s="153" t="s">
        <v>173</v>
      </c>
      <c r="AV1684" s="111">
        <f>AW1684+AX1684</f>
      </c>
      <c r="AW1684" s="111">
        <f>G1684*AO1684</f>
      </c>
      <c r="AX1684" s="111">
        <f>G1684*AP1684</f>
      </c>
      <c r="AY1684" s="153" t="s">
        <v>2657</v>
      </c>
      <c r="AZ1684" s="153" t="s">
        <v>2486</v>
      </c>
      <c r="BA1684" s="132" t="s">
        <v>137</v>
      </c>
      <c r="BC1684" s="111">
        <f>AW1684+AX1684</f>
      </c>
      <c r="BD1684" s="111">
        <f>H1684/(100-BE1684)*100</f>
      </c>
      <c r="BE1684" s="111" t="n">
        <v>0</v>
      </c>
      <c r="BF1684" s="111">
        <f>1684</f>
      </c>
      <c r="BH1684" s="111">
        <f>G1684*AO1684</f>
      </c>
      <c r="BI1684" s="111">
        <f>G1684*AP1684</f>
      </c>
      <c r="BJ1684" s="111">
        <f>G1684*H1684</f>
      </c>
      <c r="BK1684" s="111"/>
      <c r="BL1684" s="111" t="n">
        <v>776</v>
      </c>
      <c r="BW1684" s="111" t="n">
        <v>21</v>
      </c>
      <c r="BX1684" s="14" t="s">
        <v>2676</v>
      </c>
    </row>
    <row r="1685" customHeight="true" ht="13.5">
      <c r="A1685" s="159"/>
      <c r="C1685" s="160" t="s">
        <v>146</v>
      </c>
      <c r="D1685" s="161" t="s">
        <v>2667</v>
      </c>
      <c r="E1685" s="156"/>
      <c r="F1685" s="156"/>
      <c r="G1685" s="156"/>
      <c r="H1685" s="156"/>
      <c r="I1685" s="156"/>
      <c r="J1685" s="156"/>
      <c r="K1685" s="163"/>
    </row>
    <row r="1686">
      <c r="A1686" s="154"/>
      <c r="B1686" s="155"/>
      <c r="C1686" s="155"/>
      <c r="D1686" s="156" t="s">
        <v>892</v>
      </c>
      <c r="E1686" s="156" t="s">
        <v>2658</v>
      </c>
      <c r="F1686" s="155"/>
      <c r="G1686" s="157" t="n">
        <v>89.1</v>
      </c>
      <c r="H1686" s="155"/>
      <c r="I1686" s="155"/>
      <c r="J1686" s="155"/>
      <c r="K1686" s="146"/>
    </row>
    <row r="1687">
      <c r="A1687" s="154"/>
      <c r="B1687" s="155"/>
      <c r="C1687" s="155"/>
      <c r="D1687" s="156" t="s">
        <v>2659</v>
      </c>
      <c r="E1687" s="156" t="s">
        <v>2660</v>
      </c>
      <c r="F1687" s="155"/>
      <c r="G1687" s="157" t="n">
        <v>152.9</v>
      </c>
      <c r="H1687" s="155"/>
      <c r="I1687" s="155"/>
      <c r="J1687" s="155"/>
      <c r="K1687" s="146"/>
    </row>
    <row r="1688">
      <c r="A1688" s="154"/>
      <c r="B1688" s="155"/>
      <c r="C1688" s="155"/>
      <c r="D1688" s="156" t="s">
        <v>2661</v>
      </c>
      <c r="E1688" s="156" t="s">
        <v>2662</v>
      </c>
      <c r="F1688" s="155"/>
      <c r="G1688" s="157" t="n">
        <v>3.2</v>
      </c>
      <c r="H1688" s="155"/>
      <c r="I1688" s="155"/>
      <c r="J1688" s="155"/>
      <c r="K1688" s="146"/>
    </row>
    <row r="1689">
      <c r="A1689" s="9" t="s">
        <v>2677</v>
      </c>
      <c r="B1689" s="10" t="s">
        <v>84</v>
      </c>
      <c r="C1689" s="10" t="s">
        <v>2678</v>
      </c>
      <c r="D1689" s="14" t="s">
        <v>2679</v>
      </c>
      <c r="E1689" s="10"/>
      <c r="F1689" s="10" t="s">
        <v>1242</v>
      </c>
      <c r="G1689" s="111">
        <f>'Stavební rozpočet'!G1689</f>
      </c>
      <c r="H1689" s="111">
        <f>'Stavební rozpočet'!H1689</f>
      </c>
      <c r="I1689" s="111">
        <f>G1689*H1689</f>
      </c>
      <c r="J1689" s="153" t="s">
        <v>134</v>
      </c>
      <c r="K1689" s="146"/>
      <c r="Z1689" s="111">
        <f>IF(AQ1689="5",BJ1689,0)</f>
      </c>
      <c r="AB1689" s="111">
        <f>IF(AQ1689="1",BH1689,0)</f>
      </c>
      <c r="AC1689" s="111">
        <f>IF(AQ1689="1",BI1689,0)</f>
      </c>
      <c r="AD1689" s="111">
        <f>IF(AQ1689="7",BH1689,0)</f>
      </c>
      <c r="AE1689" s="111">
        <f>IF(AQ1689="7",BI1689,0)</f>
      </c>
      <c r="AF1689" s="111">
        <f>IF(AQ1689="2",BH1689,0)</f>
      </c>
      <c r="AG1689" s="111">
        <f>IF(AQ1689="2",BI1689,0)</f>
      </c>
      <c r="AH1689" s="111">
        <f>IF(AQ1689="0",BJ1689,0)</f>
      </c>
      <c r="AI1689" s="132" t="s">
        <v>84</v>
      </c>
      <c r="AJ1689" s="111">
        <f>IF(AN1689=0,I1689,0)</f>
      </c>
      <c r="AK1689" s="111">
        <f>IF(AN1689=12,I1689,0)</f>
      </c>
      <c r="AL1689" s="111">
        <f>IF(AN1689=21,I1689,0)</f>
      </c>
      <c r="AN1689" s="111" t="n">
        <v>21</v>
      </c>
      <c r="AO1689" s="111">
        <f>H1689*1</f>
      </c>
      <c r="AP1689" s="111">
        <f>H1689*(1-1)</f>
      </c>
      <c r="AQ1689" s="153" t="s">
        <v>173</v>
      </c>
      <c r="AV1689" s="111">
        <f>AW1689+AX1689</f>
      </c>
      <c r="AW1689" s="111">
        <f>G1689*AO1689</f>
      </c>
      <c r="AX1689" s="111">
        <f>G1689*AP1689</f>
      </c>
      <c r="AY1689" s="153" t="s">
        <v>2657</v>
      </c>
      <c r="AZ1689" s="153" t="s">
        <v>2486</v>
      </c>
      <c r="BA1689" s="132" t="s">
        <v>137</v>
      </c>
      <c r="BC1689" s="111">
        <f>AW1689+AX1689</f>
      </c>
      <c r="BD1689" s="111">
        <f>H1689/(100-BE1689)*100</f>
      </c>
      <c r="BE1689" s="111" t="n">
        <v>0</v>
      </c>
      <c r="BF1689" s="111">
        <f>1689</f>
      </c>
      <c r="BH1689" s="111">
        <f>G1689*AO1689</f>
      </c>
      <c r="BI1689" s="111">
        <f>G1689*AP1689</f>
      </c>
      <c r="BJ1689" s="111">
        <f>G1689*H1689</f>
      </c>
      <c r="BK1689" s="111"/>
      <c r="BL1689" s="111" t="n">
        <v>776</v>
      </c>
      <c r="BW1689" s="111" t="n">
        <v>21</v>
      </c>
      <c r="BX1689" s="14" t="s">
        <v>2679</v>
      </c>
    </row>
    <row r="1690">
      <c r="A1690" s="154"/>
      <c r="B1690" s="155"/>
      <c r="C1690" s="155"/>
      <c r="D1690" s="156" t="s">
        <v>2680</v>
      </c>
      <c r="E1690" s="156" t="s">
        <v>2681</v>
      </c>
      <c r="F1690" s="155"/>
      <c r="G1690" s="157" t="n">
        <v>22.275</v>
      </c>
      <c r="H1690" s="155"/>
      <c r="I1690" s="155"/>
      <c r="J1690" s="155"/>
      <c r="K1690" s="146"/>
    </row>
    <row r="1691">
      <c r="A1691" s="154"/>
      <c r="B1691" s="155"/>
      <c r="C1691" s="155"/>
      <c r="D1691" s="156" t="s">
        <v>2682</v>
      </c>
      <c r="E1691" s="156" t="s">
        <v>2683</v>
      </c>
      <c r="F1691" s="155"/>
      <c r="G1691" s="157" t="n">
        <v>38.225</v>
      </c>
      <c r="H1691" s="155"/>
      <c r="I1691" s="155"/>
      <c r="J1691" s="155"/>
      <c r="K1691" s="146"/>
    </row>
    <row r="1692">
      <c r="A1692" s="154"/>
      <c r="B1692" s="155"/>
      <c r="C1692" s="155"/>
      <c r="D1692" s="156" t="s">
        <v>2684</v>
      </c>
      <c r="E1692" s="156" t="s">
        <v>2662</v>
      </c>
      <c r="F1692" s="155"/>
      <c r="G1692" s="157" t="n">
        <v>0.8</v>
      </c>
      <c r="H1692" s="155"/>
      <c r="I1692" s="155"/>
      <c r="J1692" s="155"/>
      <c r="K1692" s="146"/>
    </row>
    <row r="1693">
      <c r="A1693" s="9" t="s">
        <v>2685</v>
      </c>
      <c r="B1693" s="10" t="s">
        <v>84</v>
      </c>
      <c r="C1693" s="10" t="s">
        <v>2686</v>
      </c>
      <c r="D1693" s="14" t="s">
        <v>2687</v>
      </c>
      <c r="E1693" s="10"/>
      <c r="F1693" s="10" t="s">
        <v>145</v>
      </c>
      <c r="G1693" s="111">
        <f>'Stavební rozpočet'!G1693</f>
      </c>
      <c r="H1693" s="111">
        <f>'Stavební rozpočet'!H1693</f>
      </c>
      <c r="I1693" s="111">
        <f>G1693*H1693</f>
      </c>
      <c r="J1693" s="153" t="s">
        <v>134</v>
      </c>
      <c r="K1693" s="146"/>
      <c r="Z1693" s="111">
        <f>IF(AQ1693="5",BJ1693,0)</f>
      </c>
      <c r="AB1693" s="111">
        <f>IF(AQ1693="1",BH1693,0)</f>
      </c>
      <c r="AC1693" s="111">
        <f>IF(AQ1693="1",BI1693,0)</f>
      </c>
      <c r="AD1693" s="111">
        <f>IF(AQ1693="7",BH1693,0)</f>
      </c>
      <c r="AE1693" s="111">
        <f>IF(AQ1693="7",BI1693,0)</f>
      </c>
      <c r="AF1693" s="111">
        <f>IF(AQ1693="2",BH1693,0)</f>
      </c>
      <c r="AG1693" s="111">
        <f>IF(AQ1693="2",BI1693,0)</f>
      </c>
      <c r="AH1693" s="111">
        <f>IF(AQ1693="0",BJ1693,0)</f>
      </c>
      <c r="AI1693" s="132" t="s">
        <v>84</v>
      </c>
      <c r="AJ1693" s="111">
        <f>IF(AN1693=0,I1693,0)</f>
      </c>
      <c r="AK1693" s="111">
        <f>IF(AN1693=12,I1693,0)</f>
      </c>
      <c r="AL1693" s="111">
        <f>IF(AN1693=21,I1693,0)</f>
      </c>
      <c r="AN1693" s="111" t="n">
        <v>21</v>
      </c>
      <c r="AO1693" s="111">
        <f>H1693*0.304174229</f>
      </c>
      <c r="AP1693" s="111">
        <f>H1693*(1-0.304174229)</f>
      </c>
      <c r="AQ1693" s="153" t="s">
        <v>173</v>
      </c>
      <c r="AV1693" s="111">
        <f>AW1693+AX1693</f>
      </c>
      <c r="AW1693" s="111">
        <f>G1693*AO1693</f>
      </c>
      <c r="AX1693" s="111">
        <f>G1693*AP1693</f>
      </c>
      <c r="AY1693" s="153" t="s">
        <v>2657</v>
      </c>
      <c r="AZ1693" s="153" t="s">
        <v>2486</v>
      </c>
      <c r="BA1693" s="132" t="s">
        <v>137</v>
      </c>
      <c r="BC1693" s="111">
        <f>AW1693+AX1693</f>
      </c>
      <c r="BD1693" s="111">
        <f>H1693/(100-BE1693)*100</f>
      </c>
      <c r="BE1693" s="111" t="n">
        <v>0</v>
      </c>
      <c r="BF1693" s="111">
        <f>1693</f>
      </c>
      <c r="BH1693" s="111">
        <f>G1693*AO1693</f>
      </c>
      <c r="BI1693" s="111">
        <f>G1693*AP1693</f>
      </c>
      <c r="BJ1693" s="111">
        <f>G1693*H1693</f>
      </c>
      <c r="BK1693" s="111"/>
      <c r="BL1693" s="111" t="n">
        <v>776</v>
      </c>
      <c r="BW1693" s="111" t="n">
        <v>21</v>
      </c>
      <c r="BX1693" s="14" t="s">
        <v>2687</v>
      </c>
    </row>
    <row r="1694" customHeight="true" ht="13.5">
      <c r="A1694" s="159"/>
      <c r="C1694" s="160" t="s">
        <v>146</v>
      </c>
      <c r="D1694" s="161" t="s">
        <v>2688</v>
      </c>
      <c r="E1694" s="156"/>
      <c r="F1694" s="156"/>
      <c r="G1694" s="156"/>
      <c r="H1694" s="156"/>
      <c r="I1694" s="156"/>
      <c r="J1694" s="156"/>
      <c r="K1694" s="163"/>
    </row>
    <row r="1695">
      <c r="A1695" s="154"/>
      <c r="B1695" s="155"/>
      <c r="C1695" s="155"/>
      <c r="D1695" s="156" t="s">
        <v>892</v>
      </c>
      <c r="E1695" s="156" t="s">
        <v>2658</v>
      </c>
      <c r="F1695" s="155"/>
      <c r="G1695" s="157" t="n">
        <v>89.1</v>
      </c>
      <c r="H1695" s="155"/>
      <c r="I1695" s="155"/>
      <c r="J1695" s="155"/>
      <c r="K1695" s="146"/>
    </row>
    <row r="1696">
      <c r="A1696" s="154"/>
      <c r="B1696" s="155"/>
      <c r="C1696" s="155"/>
      <c r="D1696" s="156" t="s">
        <v>2659</v>
      </c>
      <c r="E1696" s="156" t="s">
        <v>2660</v>
      </c>
      <c r="F1696" s="155"/>
      <c r="G1696" s="157" t="n">
        <v>152.9</v>
      </c>
      <c r="H1696" s="155"/>
      <c r="I1696" s="155"/>
      <c r="J1696" s="155"/>
      <c r="K1696" s="146"/>
    </row>
    <row r="1697">
      <c r="A1697" s="9" t="s">
        <v>2689</v>
      </c>
      <c r="B1697" s="10" t="s">
        <v>84</v>
      </c>
      <c r="C1697" s="10" t="s">
        <v>2690</v>
      </c>
      <c r="D1697" s="14" t="s">
        <v>2691</v>
      </c>
      <c r="E1697" s="10"/>
      <c r="F1697" s="10" t="s">
        <v>145</v>
      </c>
      <c r="G1697" s="111">
        <f>'Stavební rozpočet'!G1697</f>
      </c>
      <c r="H1697" s="111">
        <f>'Stavební rozpočet'!H1697</f>
      </c>
      <c r="I1697" s="111">
        <f>G1697*H1697</f>
      </c>
      <c r="J1697" s="153" t="s">
        <v>134</v>
      </c>
      <c r="K1697" s="146"/>
      <c r="Z1697" s="111">
        <f>IF(AQ1697="5",BJ1697,0)</f>
      </c>
      <c r="AB1697" s="111">
        <f>IF(AQ1697="1",BH1697,0)</f>
      </c>
      <c r="AC1697" s="111">
        <f>IF(AQ1697="1",BI1697,0)</f>
      </c>
      <c r="AD1697" s="111">
        <f>IF(AQ1697="7",BH1697,0)</f>
      </c>
      <c r="AE1697" s="111">
        <f>IF(AQ1697="7",BI1697,0)</f>
      </c>
      <c r="AF1697" s="111">
        <f>IF(AQ1697="2",BH1697,0)</f>
      </c>
      <c r="AG1697" s="111">
        <f>IF(AQ1697="2",BI1697,0)</f>
      </c>
      <c r="AH1697" s="111">
        <f>IF(AQ1697="0",BJ1697,0)</f>
      </c>
      <c r="AI1697" s="132" t="s">
        <v>84</v>
      </c>
      <c r="AJ1697" s="111">
        <f>IF(AN1697=0,I1697,0)</f>
      </c>
      <c r="AK1697" s="111">
        <f>IF(AN1697=12,I1697,0)</f>
      </c>
      <c r="AL1697" s="111">
        <f>IF(AN1697=21,I1697,0)</f>
      </c>
      <c r="AN1697" s="111" t="n">
        <v>21</v>
      </c>
      <c r="AO1697" s="111">
        <f>H1697*1</f>
      </c>
      <c r="AP1697" s="111">
        <f>H1697*(1-1)</f>
      </c>
      <c r="AQ1697" s="153" t="s">
        <v>173</v>
      </c>
      <c r="AV1697" s="111">
        <f>AW1697+AX1697</f>
      </c>
      <c r="AW1697" s="111">
        <f>G1697*AO1697</f>
      </c>
      <c r="AX1697" s="111">
        <f>G1697*AP1697</f>
      </c>
      <c r="AY1697" s="153" t="s">
        <v>2657</v>
      </c>
      <c r="AZ1697" s="153" t="s">
        <v>2486</v>
      </c>
      <c r="BA1697" s="132" t="s">
        <v>137</v>
      </c>
      <c r="BC1697" s="111">
        <f>AW1697+AX1697</f>
      </c>
      <c r="BD1697" s="111">
        <f>H1697/(100-BE1697)*100</f>
      </c>
      <c r="BE1697" s="111" t="n">
        <v>0</v>
      </c>
      <c r="BF1697" s="111">
        <f>1697</f>
      </c>
      <c r="BH1697" s="111">
        <f>G1697*AO1697</f>
      </c>
      <c r="BI1697" s="111">
        <f>G1697*AP1697</f>
      </c>
      <c r="BJ1697" s="111">
        <f>G1697*H1697</f>
      </c>
      <c r="BK1697" s="111"/>
      <c r="BL1697" s="111" t="n">
        <v>776</v>
      </c>
      <c r="BW1697" s="111" t="n">
        <v>21</v>
      </c>
      <c r="BX1697" s="14" t="s">
        <v>2691</v>
      </c>
    </row>
    <row r="1698">
      <c r="A1698" s="154"/>
      <c r="B1698" s="155"/>
      <c r="C1698" s="155"/>
      <c r="D1698" s="156" t="s">
        <v>4</v>
      </c>
      <c r="E1698" s="156" t="s">
        <v>2692</v>
      </c>
      <c r="F1698" s="155"/>
      <c r="G1698" s="157" t="n">
        <v>0</v>
      </c>
      <c r="H1698" s="155"/>
      <c r="I1698" s="155"/>
      <c r="J1698" s="155"/>
      <c r="K1698" s="146"/>
    </row>
    <row r="1699">
      <c r="A1699" s="154"/>
      <c r="B1699" s="155"/>
      <c r="C1699" s="155"/>
      <c r="D1699" s="156" t="s">
        <v>2693</v>
      </c>
      <c r="E1699" s="156" t="s">
        <v>2662</v>
      </c>
      <c r="F1699" s="155"/>
      <c r="G1699" s="157" t="n">
        <v>2.44235</v>
      </c>
      <c r="H1699" s="155"/>
      <c r="I1699" s="155"/>
      <c r="J1699" s="155"/>
      <c r="K1699" s="146"/>
    </row>
    <row r="1700">
      <c r="A1700" s="154"/>
      <c r="B1700" s="155"/>
      <c r="C1700" s="155"/>
      <c r="D1700" s="156" t="s">
        <v>4</v>
      </c>
      <c r="E1700" s="156" t="s">
        <v>2694</v>
      </c>
      <c r="F1700" s="155"/>
      <c r="G1700" s="157" t="n">
        <v>0</v>
      </c>
      <c r="H1700" s="155"/>
      <c r="I1700" s="155"/>
      <c r="J1700" s="155"/>
      <c r="K1700" s="146"/>
    </row>
    <row r="1701">
      <c r="A1701" s="154"/>
      <c r="B1701" s="155"/>
      <c r="C1701" s="155"/>
      <c r="D1701" s="156" t="s">
        <v>2695</v>
      </c>
      <c r="E1701" s="156" t="s">
        <v>2696</v>
      </c>
      <c r="F1701" s="155"/>
      <c r="G1701" s="157" t="n">
        <v>10.2852</v>
      </c>
      <c r="H1701" s="155"/>
      <c r="I1701" s="155"/>
      <c r="J1701" s="155"/>
      <c r="K1701" s="146"/>
    </row>
    <row r="1702">
      <c r="A1702" s="154"/>
      <c r="B1702" s="155"/>
      <c r="C1702" s="155"/>
      <c r="D1702" s="156" t="s">
        <v>892</v>
      </c>
      <c r="E1702" s="156" t="s">
        <v>2658</v>
      </c>
      <c r="F1702" s="155"/>
      <c r="G1702" s="157" t="n">
        <v>89.1</v>
      </c>
      <c r="H1702" s="155"/>
      <c r="I1702" s="155"/>
      <c r="J1702" s="155"/>
      <c r="K1702" s="146"/>
    </row>
    <row r="1703">
      <c r="A1703" s="154"/>
      <c r="B1703" s="155"/>
      <c r="C1703" s="155"/>
      <c r="D1703" s="156" t="s">
        <v>2659</v>
      </c>
      <c r="E1703" s="156" t="s">
        <v>2660</v>
      </c>
      <c r="F1703" s="155"/>
      <c r="G1703" s="157" t="n">
        <v>152.9</v>
      </c>
      <c r="H1703" s="155"/>
      <c r="I1703" s="155"/>
      <c r="J1703" s="155"/>
      <c r="K1703" s="146"/>
    </row>
    <row r="1704">
      <c r="A1704" s="154"/>
      <c r="B1704" s="155"/>
      <c r="C1704" s="155"/>
      <c r="D1704" s="156" t="s">
        <v>2697</v>
      </c>
      <c r="E1704" s="156" t="s">
        <v>1868</v>
      </c>
      <c r="F1704" s="155"/>
      <c r="G1704" s="157" t="n">
        <v>9.77769</v>
      </c>
      <c r="H1704" s="155"/>
      <c r="I1704" s="155"/>
      <c r="J1704" s="155"/>
      <c r="K1704" s="146"/>
    </row>
    <row r="1705">
      <c r="A1705" s="9" t="s">
        <v>2698</v>
      </c>
      <c r="B1705" s="10" t="s">
        <v>84</v>
      </c>
      <c r="C1705" s="10" t="s">
        <v>2699</v>
      </c>
      <c r="D1705" s="14" t="s">
        <v>2700</v>
      </c>
      <c r="E1705" s="10"/>
      <c r="F1705" s="10" t="s">
        <v>282</v>
      </c>
      <c r="G1705" s="111">
        <f>'Stavební rozpočet'!G1705</f>
      </c>
      <c r="H1705" s="111">
        <f>'Stavební rozpočet'!H1705</f>
      </c>
      <c r="I1705" s="111">
        <f>G1705*H1705</f>
      </c>
      <c r="J1705" s="153" t="s">
        <v>134</v>
      </c>
      <c r="K1705" s="146"/>
      <c r="Z1705" s="111">
        <f>IF(AQ1705="5",BJ1705,0)</f>
      </c>
      <c r="AB1705" s="111">
        <f>IF(AQ1705="1",BH1705,0)</f>
      </c>
      <c r="AC1705" s="111">
        <f>IF(AQ1705="1",BI1705,0)</f>
      </c>
      <c r="AD1705" s="111">
        <f>IF(AQ1705="7",BH1705,0)</f>
      </c>
      <c r="AE1705" s="111">
        <f>IF(AQ1705="7",BI1705,0)</f>
      </c>
      <c r="AF1705" s="111">
        <f>IF(AQ1705="2",BH1705,0)</f>
      </c>
      <c r="AG1705" s="111">
        <f>IF(AQ1705="2",BI1705,0)</f>
      </c>
      <c r="AH1705" s="111">
        <f>IF(AQ1705="0",BJ1705,0)</f>
      </c>
      <c r="AI1705" s="132" t="s">
        <v>84</v>
      </c>
      <c r="AJ1705" s="111">
        <f>IF(AN1705=0,I1705,0)</f>
      </c>
      <c r="AK1705" s="111">
        <f>IF(AN1705=12,I1705,0)</f>
      </c>
      <c r="AL1705" s="111">
        <f>IF(AN1705=21,I1705,0)</f>
      </c>
      <c r="AN1705" s="111" t="n">
        <v>21</v>
      </c>
      <c r="AO1705" s="111">
        <f>H1705*0.272140762</f>
      </c>
      <c r="AP1705" s="111">
        <f>H1705*(1-0.272140762)</f>
      </c>
      <c r="AQ1705" s="153" t="s">
        <v>173</v>
      </c>
      <c r="AV1705" s="111">
        <f>AW1705+AX1705</f>
      </c>
      <c r="AW1705" s="111">
        <f>G1705*AO1705</f>
      </c>
      <c r="AX1705" s="111">
        <f>G1705*AP1705</f>
      </c>
      <c r="AY1705" s="153" t="s">
        <v>2657</v>
      </c>
      <c r="AZ1705" s="153" t="s">
        <v>2486</v>
      </c>
      <c r="BA1705" s="132" t="s">
        <v>137</v>
      </c>
      <c r="BC1705" s="111">
        <f>AW1705+AX1705</f>
      </c>
      <c r="BD1705" s="111">
        <f>H1705/(100-BE1705)*100</f>
      </c>
      <c r="BE1705" s="111" t="n">
        <v>0</v>
      </c>
      <c r="BF1705" s="111">
        <f>1705</f>
      </c>
      <c r="BH1705" s="111">
        <f>G1705*AO1705</f>
      </c>
      <c r="BI1705" s="111">
        <f>G1705*AP1705</f>
      </c>
      <c r="BJ1705" s="111">
        <f>G1705*H1705</f>
      </c>
      <c r="BK1705" s="111"/>
      <c r="BL1705" s="111" t="n">
        <v>776</v>
      </c>
      <c r="BW1705" s="111" t="n">
        <v>21</v>
      </c>
      <c r="BX1705" s="14" t="s">
        <v>2700</v>
      </c>
    </row>
    <row r="1706">
      <c r="A1706" s="154"/>
      <c r="B1706" s="155"/>
      <c r="C1706" s="155"/>
      <c r="D1706" s="156" t="s">
        <v>4</v>
      </c>
      <c r="E1706" s="156" t="s">
        <v>2701</v>
      </c>
      <c r="F1706" s="155"/>
      <c r="G1706" s="157" t="n">
        <v>0</v>
      </c>
      <c r="H1706" s="155"/>
      <c r="I1706" s="155"/>
      <c r="J1706" s="155"/>
      <c r="K1706" s="146"/>
    </row>
    <row r="1707">
      <c r="A1707" s="154"/>
      <c r="B1707" s="155"/>
      <c r="C1707" s="155"/>
      <c r="D1707" s="156" t="s">
        <v>2702</v>
      </c>
      <c r="E1707" s="156" t="s">
        <v>596</v>
      </c>
      <c r="F1707" s="155"/>
      <c r="G1707" s="157" t="n">
        <v>33.3</v>
      </c>
      <c r="H1707" s="155"/>
      <c r="I1707" s="155"/>
      <c r="J1707" s="155"/>
      <c r="K1707" s="146"/>
    </row>
    <row r="1708">
      <c r="A1708" s="154"/>
      <c r="B1708" s="155"/>
      <c r="C1708" s="155"/>
      <c r="D1708" s="156" t="s">
        <v>2703</v>
      </c>
      <c r="E1708" s="156" t="s">
        <v>982</v>
      </c>
      <c r="F1708" s="155"/>
      <c r="G1708" s="157" t="n">
        <v>19.44</v>
      </c>
      <c r="H1708" s="155"/>
      <c r="I1708" s="155"/>
      <c r="J1708" s="155"/>
      <c r="K1708" s="146"/>
    </row>
    <row r="1709">
      <c r="A1709" s="154"/>
      <c r="B1709" s="155"/>
      <c r="C1709" s="155"/>
      <c r="D1709" s="156" t="s">
        <v>2704</v>
      </c>
      <c r="E1709" s="156" t="s">
        <v>862</v>
      </c>
      <c r="F1709" s="155"/>
      <c r="G1709" s="157" t="n">
        <v>11.65</v>
      </c>
      <c r="H1709" s="155"/>
      <c r="I1709" s="155"/>
      <c r="J1709" s="155"/>
      <c r="K1709" s="146"/>
    </row>
    <row r="1710">
      <c r="A1710" s="154"/>
      <c r="B1710" s="155"/>
      <c r="C1710" s="155"/>
      <c r="D1710" s="156" t="s">
        <v>2705</v>
      </c>
      <c r="E1710" s="156" t="s">
        <v>993</v>
      </c>
      <c r="F1710" s="155"/>
      <c r="G1710" s="157" t="n">
        <v>5.25</v>
      </c>
      <c r="H1710" s="155"/>
      <c r="I1710" s="155"/>
      <c r="J1710" s="155"/>
      <c r="K1710" s="146"/>
    </row>
    <row r="1711">
      <c r="A1711" s="154"/>
      <c r="B1711" s="155"/>
      <c r="C1711" s="155"/>
      <c r="D1711" s="156" t="s">
        <v>2706</v>
      </c>
      <c r="E1711" s="156" t="s">
        <v>995</v>
      </c>
      <c r="F1711" s="155"/>
      <c r="G1711" s="157" t="n">
        <v>12.12</v>
      </c>
      <c r="H1711" s="155"/>
      <c r="I1711" s="155"/>
      <c r="J1711" s="155"/>
      <c r="K1711" s="146"/>
    </row>
    <row r="1712">
      <c r="A1712" s="154"/>
      <c r="B1712" s="155"/>
      <c r="C1712" s="155"/>
      <c r="D1712" s="156" t="s">
        <v>2707</v>
      </c>
      <c r="E1712" s="156" t="s">
        <v>997</v>
      </c>
      <c r="F1712" s="155"/>
      <c r="G1712" s="157" t="n">
        <v>12.58</v>
      </c>
      <c r="H1712" s="155"/>
      <c r="I1712" s="155"/>
      <c r="J1712" s="155"/>
      <c r="K1712" s="146"/>
    </row>
    <row r="1713">
      <c r="A1713" s="154"/>
      <c r="B1713" s="155"/>
      <c r="C1713" s="155"/>
      <c r="D1713" s="156" t="s">
        <v>2708</v>
      </c>
      <c r="E1713" s="156" t="s">
        <v>1000</v>
      </c>
      <c r="F1713" s="155"/>
      <c r="G1713" s="157" t="n">
        <v>8.47</v>
      </c>
      <c r="H1713" s="155"/>
      <c r="I1713" s="155"/>
      <c r="J1713" s="155"/>
      <c r="K1713" s="146"/>
    </row>
    <row r="1714">
      <c r="A1714" s="154"/>
      <c r="B1714" s="155"/>
      <c r="C1714" s="155"/>
      <c r="D1714" s="156" t="s">
        <v>2709</v>
      </c>
      <c r="E1714" s="156" t="s">
        <v>933</v>
      </c>
      <c r="F1714" s="155"/>
      <c r="G1714" s="157" t="n">
        <v>13.89</v>
      </c>
      <c r="H1714" s="155"/>
      <c r="I1714" s="155"/>
      <c r="J1714" s="155"/>
      <c r="K1714" s="146"/>
    </row>
    <row r="1715">
      <c r="A1715" s="154"/>
      <c r="B1715" s="155"/>
      <c r="C1715" s="155"/>
      <c r="D1715" s="156" t="s">
        <v>2710</v>
      </c>
      <c r="E1715" s="156" t="s">
        <v>1005</v>
      </c>
      <c r="F1715" s="155"/>
      <c r="G1715" s="157" t="n">
        <v>34.6</v>
      </c>
      <c r="H1715" s="155"/>
      <c r="I1715" s="155"/>
      <c r="J1715" s="155"/>
      <c r="K1715" s="146"/>
    </row>
    <row r="1716">
      <c r="A1716" s="154"/>
      <c r="B1716" s="155"/>
      <c r="C1716" s="155"/>
      <c r="D1716" s="156" t="s">
        <v>2661</v>
      </c>
      <c r="E1716" s="156" t="s">
        <v>2662</v>
      </c>
      <c r="F1716" s="155"/>
      <c r="G1716" s="157" t="n">
        <v>3.2</v>
      </c>
      <c r="H1716" s="155"/>
      <c r="I1716" s="155"/>
      <c r="J1716" s="155"/>
      <c r="K1716" s="146"/>
    </row>
    <row r="1717">
      <c r="A1717" s="9" t="s">
        <v>2711</v>
      </c>
      <c r="B1717" s="10" t="s">
        <v>84</v>
      </c>
      <c r="C1717" s="10" t="s">
        <v>2712</v>
      </c>
      <c r="D1717" s="14" t="s">
        <v>2713</v>
      </c>
      <c r="E1717" s="10"/>
      <c r="F1717" s="10" t="s">
        <v>282</v>
      </c>
      <c r="G1717" s="111">
        <f>'Stavební rozpočet'!G1717</f>
      </c>
      <c r="H1717" s="111">
        <f>'Stavební rozpočet'!H1717</f>
      </c>
      <c r="I1717" s="111">
        <f>G1717*H1717</f>
      </c>
      <c r="J1717" s="153" t="s">
        <v>134</v>
      </c>
      <c r="K1717" s="146"/>
      <c r="Z1717" s="111">
        <f>IF(AQ1717="5",BJ1717,0)</f>
      </c>
      <c r="AB1717" s="111">
        <f>IF(AQ1717="1",BH1717,0)</f>
      </c>
      <c r="AC1717" s="111">
        <f>IF(AQ1717="1",BI1717,0)</f>
      </c>
      <c r="AD1717" s="111">
        <f>IF(AQ1717="7",BH1717,0)</f>
      </c>
      <c r="AE1717" s="111">
        <f>IF(AQ1717="7",BI1717,0)</f>
      </c>
      <c r="AF1717" s="111">
        <f>IF(AQ1717="2",BH1717,0)</f>
      </c>
      <c r="AG1717" s="111">
        <f>IF(AQ1717="2",BI1717,0)</f>
      </c>
      <c r="AH1717" s="111">
        <f>IF(AQ1717="0",BJ1717,0)</f>
      </c>
      <c r="AI1717" s="132" t="s">
        <v>84</v>
      </c>
      <c r="AJ1717" s="111">
        <f>IF(AN1717=0,I1717,0)</f>
      </c>
      <c r="AK1717" s="111">
        <f>IF(AN1717=12,I1717,0)</f>
      </c>
      <c r="AL1717" s="111">
        <f>IF(AN1717=21,I1717,0)</f>
      </c>
      <c r="AN1717" s="111" t="n">
        <v>21</v>
      </c>
      <c r="AO1717" s="111">
        <f>H1717*1</f>
      </c>
      <c r="AP1717" s="111">
        <f>H1717*(1-1)</f>
      </c>
      <c r="AQ1717" s="153" t="s">
        <v>173</v>
      </c>
      <c r="AV1717" s="111">
        <f>AW1717+AX1717</f>
      </c>
      <c r="AW1717" s="111">
        <f>G1717*AO1717</f>
      </c>
      <c r="AX1717" s="111">
        <f>G1717*AP1717</f>
      </c>
      <c r="AY1717" s="153" t="s">
        <v>2657</v>
      </c>
      <c r="AZ1717" s="153" t="s">
        <v>2486</v>
      </c>
      <c r="BA1717" s="132" t="s">
        <v>137</v>
      </c>
      <c r="BC1717" s="111">
        <f>AW1717+AX1717</f>
      </c>
      <c r="BD1717" s="111">
        <f>H1717/(100-BE1717)*100</f>
      </c>
      <c r="BE1717" s="111" t="n">
        <v>0</v>
      </c>
      <c r="BF1717" s="111">
        <f>1717</f>
      </c>
      <c r="BH1717" s="111">
        <f>G1717*AO1717</f>
      </c>
      <c r="BI1717" s="111">
        <f>G1717*AP1717</f>
      </c>
      <c r="BJ1717" s="111">
        <f>G1717*H1717</f>
      </c>
      <c r="BK1717" s="111"/>
      <c r="BL1717" s="111" t="n">
        <v>776</v>
      </c>
      <c r="BW1717" s="111" t="n">
        <v>21</v>
      </c>
      <c r="BX1717" s="14" t="s">
        <v>2713</v>
      </c>
    </row>
    <row r="1718">
      <c r="A1718" s="154"/>
      <c r="B1718" s="155"/>
      <c r="C1718" s="155"/>
      <c r="D1718" s="156" t="s">
        <v>4</v>
      </c>
      <c r="E1718" s="156" t="s">
        <v>2701</v>
      </c>
      <c r="F1718" s="155"/>
      <c r="G1718" s="157" t="n">
        <v>0</v>
      </c>
      <c r="H1718" s="155"/>
      <c r="I1718" s="155"/>
      <c r="J1718" s="155"/>
      <c r="K1718" s="146"/>
    </row>
    <row r="1719">
      <c r="A1719" s="154"/>
      <c r="B1719" s="155"/>
      <c r="C1719" s="155"/>
      <c r="D1719" s="156" t="s">
        <v>2704</v>
      </c>
      <c r="E1719" s="156" t="s">
        <v>862</v>
      </c>
      <c r="F1719" s="155"/>
      <c r="G1719" s="157" t="n">
        <v>11.65</v>
      </c>
      <c r="H1719" s="155"/>
      <c r="I1719" s="155"/>
      <c r="J1719" s="155"/>
      <c r="K1719" s="146"/>
    </row>
    <row r="1720">
      <c r="A1720" s="154"/>
      <c r="B1720" s="155"/>
      <c r="C1720" s="155"/>
      <c r="D1720" s="156" t="s">
        <v>2702</v>
      </c>
      <c r="E1720" s="156" t="s">
        <v>596</v>
      </c>
      <c r="F1720" s="155"/>
      <c r="G1720" s="157" t="n">
        <v>33.3</v>
      </c>
      <c r="H1720" s="155"/>
      <c r="I1720" s="155"/>
      <c r="J1720" s="155"/>
      <c r="K1720" s="146"/>
    </row>
    <row r="1721">
      <c r="A1721" s="154"/>
      <c r="B1721" s="155"/>
      <c r="C1721" s="155"/>
      <c r="D1721" s="156" t="s">
        <v>2703</v>
      </c>
      <c r="E1721" s="156" t="s">
        <v>982</v>
      </c>
      <c r="F1721" s="155"/>
      <c r="G1721" s="157" t="n">
        <v>19.44</v>
      </c>
      <c r="H1721" s="155"/>
      <c r="I1721" s="155"/>
      <c r="J1721" s="155"/>
      <c r="K1721" s="146"/>
    </row>
    <row r="1722">
      <c r="A1722" s="154"/>
      <c r="B1722" s="155"/>
      <c r="C1722" s="155"/>
      <c r="D1722" s="156" t="s">
        <v>2714</v>
      </c>
      <c r="E1722" s="156" t="s">
        <v>2607</v>
      </c>
      <c r="F1722" s="155"/>
      <c r="G1722" s="157" t="n">
        <v>3.09</v>
      </c>
      <c r="H1722" s="155"/>
      <c r="I1722" s="155"/>
      <c r="J1722" s="155"/>
      <c r="K1722" s="146"/>
    </row>
    <row r="1723">
      <c r="A1723" s="154"/>
      <c r="B1723" s="155"/>
      <c r="C1723" s="155"/>
      <c r="D1723" s="156" t="s">
        <v>2705</v>
      </c>
      <c r="E1723" s="156" t="s">
        <v>993</v>
      </c>
      <c r="F1723" s="155"/>
      <c r="G1723" s="157" t="n">
        <v>5.25</v>
      </c>
      <c r="H1723" s="155"/>
      <c r="I1723" s="155"/>
      <c r="J1723" s="155"/>
      <c r="K1723" s="146"/>
    </row>
    <row r="1724">
      <c r="A1724" s="154"/>
      <c r="B1724" s="155"/>
      <c r="C1724" s="155"/>
      <c r="D1724" s="156" t="s">
        <v>2661</v>
      </c>
      <c r="E1724" s="156" t="s">
        <v>2662</v>
      </c>
      <c r="F1724" s="155"/>
      <c r="G1724" s="157" t="n">
        <v>3.2</v>
      </c>
      <c r="H1724" s="155"/>
      <c r="I1724" s="155"/>
      <c r="J1724" s="155"/>
      <c r="K1724" s="146"/>
    </row>
    <row r="1725">
      <c r="A1725" s="154"/>
      <c r="B1725" s="155"/>
      <c r="C1725" s="155"/>
      <c r="D1725" s="156" t="s">
        <v>2706</v>
      </c>
      <c r="E1725" s="156" t="s">
        <v>995</v>
      </c>
      <c r="F1725" s="155"/>
      <c r="G1725" s="157" t="n">
        <v>12.12</v>
      </c>
      <c r="H1725" s="155"/>
      <c r="I1725" s="155"/>
      <c r="J1725" s="155"/>
      <c r="K1725" s="146"/>
    </row>
    <row r="1726">
      <c r="A1726" s="154"/>
      <c r="B1726" s="155"/>
      <c r="C1726" s="155"/>
      <c r="D1726" s="156" t="s">
        <v>2707</v>
      </c>
      <c r="E1726" s="156" t="s">
        <v>997</v>
      </c>
      <c r="F1726" s="155"/>
      <c r="G1726" s="157" t="n">
        <v>12.58</v>
      </c>
      <c r="H1726" s="155"/>
      <c r="I1726" s="155"/>
      <c r="J1726" s="155"/>
      <c r="K1726" s="146"/>
    </row>
    <row r="1727">
      <c r="A1727" s="154"/>
      <c r="B1727" s="155"/>
      <c r="C1727" s="155"/>
      <c r="D1727" s="156" t="s">
        <v>2708</v>
      </c>
      <c r="E1727" s="156" t="s">
        <v>1000</v>
      </c>
      <c r="F1727" s="155"/>
      <c r="G1727" s="157" t="n">
        <v>8.47</v>
      </c>
      <c r="H1727" s="155"/>
      <c r="I1727" s="155"/>
      <c r="J1727" s="155"/>
      <c r="K1727" s="146"/>
    </row>
    <row r="1728">
      <c r="A1728" s="154"/>
      <c r="B1728" s="155"/>
      <c r="C1728" s="155"/>
      <c r="D1728" s="156" t="s">
        <v>2710</v>
      </c>
      <c r="E1728" s="156" t="s">
        <v>1005</v>
      </c>
      <c r="F1728" s="155"/>
      <c r="G1728" s="157" t="n">
        <v>34.6</v>
      </c>
      <c r="H1728" s="155"/>
      <c r="I1728" s="155"/>
      <c r="J1728" s="155"/>
      <c r="K1728" s="146"/>
    </row>
    <row r="1729">
      <c r="A1729" s="154"/>
      <c r="B1729" s="155"/>
      <c r="C1729" s="155"/>
      <c r="D1729" s="156" t="s">
        <v>2709</v>
      </c>
      <c r="E1729" s="156" t="s">
        <v>933</v>
      </c>
      <c r="F1729" s="155"/>
      <c r="G1729" s="157" t="n">
        <v>13.89</v>
      </c>
      <c r="H1729" s="155"/>
      <c r="I1729" s="155"/>
      <c r="J1729" s="155"/>
      <c r="K1729" s="146"/>
    </row>
    <row r="1730">
      <c r="A1730" s="9" t="s">
        <v>2715</v>
      </c>
      <c r="B1730" s="10" t="s">
        <v>84</v>
      </c>
      <c r="C1730" s="10" t="s">
        <v>2716</v>
      </c>
      <c r="D1730" s="14" t="s">
        <v>2717</v>
      </c>
      <c r="E1730" s="10"/>
      <c r="F1730" s="10" t="s">
        <v>282</v>
      </c>
      <c r="G1730" s="111">
        <f>'Stavební rozpočet'!G1730</f>
      </c>
      <c r="H1730" s="111">
        <f>'Stavební rozpočet'!H1730</f>
      </c>
      <c r="I1730" s="111">
        <f>G1730*H1730</f>
      </c>
      <c r="J1730" s="153" t="s">
        <v>134</v>
      </c>
      <c r="K1730" s="146"/>
      <c r="Z1730" s="111">
        <f>IF(AQ1730="5",BJ1730,0)</f>
      </c>
      <c r="AB1730" s="111">
        <f>IF(AQ1730="1",BH1730,0)</f>
      </c>
      <c r="AC1730" s="111">
        <f>IF(AQ1730="1",BI1730,0)</f>
      </c>
      <c r="AD1730" s="111">
        <f>IF(AQ1730="7",BH1730,0)</f>
      </c>
      <c r="AE1730" s="111">
        <f>IF(AQ1730="7",BI1730,0)</f>
      </c>
      <c r="AF1730" s="111">
        <f>IF(AQ1730="2",BH1730,0)</f>
      </c>
      <c r="AG1730" s="111">
        <f>IF(AQ1730="2",BI1730,0)</f>
      </c>
      <c r="AH1730" s="111">
        <f>IF(AQ1730="0",BJ1730,0)</f>
      </c>
      <c r="AI1730" s="132" t="s">
        <v>84</v>
      </c>
      <c r="AJ1730" s="111">
        <f>IF(AN1730=0,I1730,0)</f>
      </c>
      <c r="AK1730" s="111">
        <f>IF(AN1730=12,I1730,0)</f>
      </c>
      <c r="AL1730" s="111">
        <f>IF(AN1730=21,I1730,0)</f>
      </c>
      <c r="AN1730" s="111" t="n">
        <v>21</v>
      </c>
      <c r="AO1730" s="111">
        <f>H1730*0.132662722</f>
      </c>
      <c r="AP1730" s="111">
        <f>H1730*(1-0.132662722)</f>
      </c>
      <c r="AQ1730" s="153" t="s">
        <v>173</v>
      </c>
      <c r="AV1730" s="111">
        <f>AW1730+AX1730</f>
      </c>
      <c r="AW1730" s="111">
        <f>G1730*AO1730</f>
      </c>
      <c r="AX1730" s="111">
        <f>G1730*AP1730</f>
      </c>
      <c r="AY1730" s="153" t="s">
        <v>2657</v>
      </c>
      <c r="AZ1730" s="153" t="s">
        <v>2486</v>
      </c>
      <c r="BA1730" s="132" t="s">
        <v>137</v>
      </c>
      <c r="BC1730" s="111">
        <f>AW1730+AX1730</f>
      </c>
      <c r="BD1730" s="111">
        <f>H1730/(100-BE1730)*100</f>
      </c>
      <c r="BE1730" s="111" t="n">
        <v>0</v>
      </c>
      <c r="BF1730" s="111">
        <f>1730</f>
      </c>
      <c r="BH1730" s="111">
        <f>G1730*AO1730</f>
      </c>
      <c r="BI1730" s="111">
        <f>G1730*AP1730</f>
      </c>
      <c r="BJ1730" s="111">
        <f>G1730*H1730</f>
      </c>
      <c r="BK1730" s="111"/>
      <c r="BL1730" s="111" t="n">
        <v>776</v>
      </c>
      <c r="BW1730" s="111" t="n">
        <v>21</v>
      </c>
      <c r="BX1730" s="14" t="s">
        <v>2717</v>
      </c>
    </row>
    <row r="1731" customHeight="true" ht="13.5">
      <c r="A1731" s="159"/>
      <c r="C1731" s="160" t="s">
        <v>146</v>
      </c>
      <c r="D1731" s="161" t="s">
        <v>2718</v>
      </c>
      <c r="E1731" s="156"/>
      <c r="F1731" s="156"/>
      <c r="G1731" s="156"/>
      <c r="H1731" s="156"/>
      <c r="I1731" s="156"/>
      <c r="J1731" s="156"/>
      <c r="K1731" s="163"/>
    </row>
    <row r="1732">
      <c r="A1732" s="154"/>
      <c r="B1732" s="155"/>
      <c r="C1732" s="155"/>
      <c r="D1732" s="156" t="s">
        <v>2719</v>
      </c>
      <c r="E1732" s="156" t="s">
        <v>933</v>
      </c>
      <c r="F1732" s="155"/>
      <c r="G1732" s="157" t="n">
        <v>3.02</v>
      </c>
      <c r="H1732" s="155"/>
      <c r="I1732" s="155"/>
      <c r="J1732" s="155"/>
      <c r="K1732" s="146"/>
    </row>
    <row r="1733">
      <c r="A1733" s="9" t="s">
        <v>2720</v>
      </c>
      <c r="B1733" s="10" t="s">
        <v>84</v>
      </c>
      <c r="C1733" s="10" t="s">
        <v>2721</v>
      </c>
      <c r="D1733" s="14" t="s">
        <v>2722</v>
      </c>
      <c r="E1733" s="10"/>
      <c r="F1733" s="10" t="s">
        <v>282</v>
      </c>
      <c r="G1733" s="111">
        <f>'Stavební rozpočet'!G1733</f>
      </c>
      <c r="H1733" s="111">
        <f>'Stavební rozpočet'!H1733</f>
      </c>
      <c r="I1733" s="111">
        <f>G1733*H1733</f>
      </c>
      <c r="J1733" s="153" t="s">
        <v>134</v>
      </c>
      <c r="K1733" s="146"/>
      <c r="Z1733" s="111">
        <f>IF(AQ1733="5",BJ1733,0)</f>
      </c>
      <c r="AB1733" s="111">
        <f>IF(AQ1733="1",BH1733,0)</f>
      </c>
      <c r="AC1733" s="111">
        <f>IF(AQ1733="1",BI1733,0)</f>
      </c>
      <c r="AD1733" s="111">
        <f>IF(AQ1733="7",BH1733,0)</f>
      </c>
      <c r="AE1733" s="111">
        <f>IF(AQ1733="7",BI1733,0)</f>
      </c>
      <c r="AF1733" s="111">
        <f>IF(AQ1733="2",BH1733,0)</f>
      </c>
      <c r="AG1733" s="111">
        <f>IF(AQ1733="2",BI1733,0)</f>
      </c>
      <c r="AH1733" s="111">
        <f>IF(AQ1733="0",BJ1733,0)</f>
      </c>
      <c r="AI1733" s="132" t="s">
        <v>84</v>
      </c>
      <c r="AJ1733" s="111">
        <f>IF(AN1733=0,I1733,0)</f>
      </c>
      <c r="AK1733" s="111">
        <f>IF(AN1733=12,I1733,0)</f>
      </c>
      <c r="AL1733" s="111">
        <f>IF(AN1733=21,I1733,0)</f>
      </c>
      <c r="AN1733" s="111" t="n">
        <v>21</v>
      </c>
      <c r="AO1733" s="111">
        <f>H1733*0.091759891</f>
      </c>
      <c r="AP1733" s="111">
        <f>H1733*(1-0.091759891)</f>
      </c>
      <c r="AQ1733" s="153" t="s">
        <v>173</v>
      </c>
      <c r="AV1733" s="111">
        <f>AW1733+AX1733</f>
      </c>
      <c r="AW1733" s="111">
        <f>G1733*AO1733</f>
      </c>
      <c r="AX1733" s="111">
        <f>G1733*AP1733</f>
      </c>
      <c r="AY1733" s="153" t="s">
        <v>2657</v>
      </c>
      <c r="AZ1733" s="153" t="s">
        <v>2486</v>
      </c>
      <c r="BA1733" s="132" t="s">
        <v>137</v>
      </c>
      <c r="BC1733" s="111">
        <f>AW1733+AX1733</f>
      </c>
      <c r="BD1733" s="111">
        <f>H1733/(100-BE1733)*100</f>
      </c>
      <c r="BE1733" s="111" t="n">
        <v>0</v>
      </c>
      <c r="BF1733" s="111">
        <f>1733</f>
      </c>
      <c r="BH1733" s="111">
        <f>G1733*AO1733</f>
      </c>
      <c r="BI1733" s="111">
        <f>G1733*AP1733</f>
      </c>
      <c r="BJ1733" s="111">
        <f>G1733*H1733</f>
      </c>
      <c r="BK1733" s="111"/>
      <c r="BL1733" s="111" t="n">
        <v>776</v>
      </c>
      <c r="BW1733" s="111" t="n">
        <v>21</v>
      </c>
      <c r="BX1733" s="14" t="s">
        <v>2722</v>
      </c>
    </row>
    <row r="1734" customHeight="true" ht="13.5">
      <c r="A1734" s="159"/>
      <c r="C1734" s="160" t="s">
        <v>146</v>
      </c>
      <c r="D1734" s="161" t="s">
        <v>2718</v>
      </c>
      <c r="E1734" s="156"/>
      <c r="F1734" s="156"/>
      <c r="G1734" s="156"/>
      <c r="H1734" s="156"/>
      <c r="I1734" s="156"/>
      <c r="J1734" s="156"/>
      <c r="K1734" s="163"/>
    </row>
    <row r="1735">
      <c r="A1735" s="154"/>
      <c r="B1735" s="155"/>
      <c r="C1735" s="155"/>
      <c r="D1735" s="156" t="s">
        <v>2723</v>
      </c>
      <c r="E1735" s="156" t="s">
        <v>933</v>
      </c>
      <c r="F1735" s="155"/>
      <c r="G1735" s="157" t="n">
        <v>4.64</v>
      </c>
      <c r="H1735" s="155"/>
      <c r="I1735" s="155"/>
      <c r="J1735" s="155"/>
      <c r="K1735" s="146"/>
    </row>
    <row r="1736">
      <c r="A1736" s="9" t="s">
        <v>2724</v>
      </c>
      <c r="B1736" s="10" t="s">
        <v>84</v>
      </c>
      <c r="C1736" s="10" t="s">
        <v>2725</v>
      </c>
      <c r="D1736" s="14" t="s">
        <v>2726</v>
      </c>
      <c r="E1736" s="10"/>
      <c r="F1736" s="10" t="s">
        <v>282</v>
      </c>
      <c r="G1736" s="111">
        <f>'Stavební rozpočet'!G1736</f>
      </c>
      <c r="H1736" s="111">
        <f>'Stavební rozpočet'!H1736</f>
      </c>
      <c r="I1736" s="111">
        <f>G1736*H1736</f>
      </c>
      <c r="J1736" s="153" t="s">
        <v>134</v>
      </c>
      <c r="K1736" s="146"/>
      <c r="Z1736" s="111">
        <f>IF(AQ1736="5",BJ1736,0)</f>
      </c>
      <c r="AB1736" s="111">
        <f>IF(AQ1736="1",BH1736,0)</f>
      </c>
      <c r="AC1736" s="111">
        <f>IF(AQ1736="1",BI1736,0)</f>
      </c>
      <c r="AD1736" s="111">
        <f>IF(AQ1736="7",BH1736,0)</f>
      </c>
      <c r="AE1736" s="111">
        <f>IF(AQ1736="7",BI1736,0)</f>
      </c>
      <c r="AF1736" s="111">
        <f>IF(AQ1736="2",BH1736,0)</f>
      </c>
      <c r="AG1736" s="111">
        <f>IF(AQ1736="2",BI1736,0)</f>
      </c>
      <c r="AH1736" s="111">
        <f>IF(AQ1736="0",BJ1736,0)</f>
      </c>
      <c r="AI1736" s="132" t="s">
        <v>84</v>
      </c>
      <c r="AJ1736" s="111">
        <f>IF(AN1736=0,I1736,0)</f>
      </c>
      <c r="AK1736" s="111">
        <f>IF(AN1736=12,I1736,0)</f>
      </c>
      <c r="AL1736" s="111">
        <f>IF(AN1736=21,I1736,0)</f>
      </c>
      <c r="AN1736" s="111" t="n">
        <v>21</v>
      </c>
      <c r="AO1736" s="111">
        <f>H1736*0.068805573</f>
      </c>
      <c r="AP1736" s="111">
        <f>H1736*(1-0.068805573)</f>
      </c>
      <c r="AQ1736" s="153" t="s">
        <v>173</v>
      </c>
      <c r="AV1736" s="111">
        <f>AW1736+AX1736</f>
      </c>
      <c r="AW1736" s="111">
        <f>G1736*AO1736</f>
      </c>
      <c r="AX1736" s="111">
        <f>G1736*AP1736</f>
      </c>
      <c r="AY1736" s="153" t="s">
        <v>2657</v>
      </c>
      <c r="AZ1736" s="153" t="s">
        <v>2486</v>
      </c>
      <c r="BA1736" s="132" t="s">
        <v>137</v>
      </c>
      <c r="BC1736" s="111">
        <f>AW1736+AX1736</f>
      </c>
      <c r="BD1736" s="111">
        <f>H1736/(100-BE1736)*100</f>
      </c>
      <c r="BE1736" s="111" t="n">
        <v>0</v>
      </c>
      <c r="BF1736" s="111">
        <f>1736</f>
      </c>
      <c r="BH1736" s="111">
        <f>G1736*AO1736</f>
      </c>
      <c r="BI1736" s="111">
        <f>G1736*AP1736</f>
      </c>
      <c r="BJ1736" s="111">
        <f>G1736*H1736</f>
      </c>
      <c r="BK1736" s="111"/>
      <c r="BL1736" s="111" t="n">
        <v>776</v>
      </c>
      <c r="BW1736" s="111" t="n">
        <v>21</v>
      </c>
      <c r="BX1736" s="14" t="s">
        <v>2726</v>
      </c>
    </row>
    <row r="1737" customHeight="true" ht="13.5">
      <c r="A1737" s="159"/>
      <c r="C1737" s="160" t="s">
        <v>146</v>
      </c>
      <c r="D1737" s="161" t="s">
        <v>2718</v>
      </c>
      <c r="E1737" s="156"/>
      <c r="F1737" s="156"/>
      <c r="G1737" s="156"/>
      <c r="H1737" s="156"/>
      <c r="I1737" s="156"/>
      <c r="J1737" s="156"/>
      <c r="K1737" s="163"/>
    </row>
    <row r="1738">
      <c r="A1738" s="154"/>
      <c r="B1738" s="155"/>
      <c r="C1738" s="155"/>
      <c r="D1738" s="156" t="s">
        <v>2727</v>
      </c>
      <c r="E1738" s="156" t="s">
        <v>933</v>
      </c>
      <c r="F1738" s="155"/>
      <c r="G1738" s="157" t="n">
        <v>7.72</v>
      </c>
      <c r="H1738" s="155"/>
      <c r="I1738" s="155"/>
      <c r="J1738" s="155"/>
      <c r="K1738" s="146"/>
    </row>
    <row r="1739">
      <c r="A1739" s="9" t="s">
        <v>2728</v>
      </c>
      <c r="B1739" s="10" t="s">
        <v>84</v>
      </c>
      <c r="C1739" s="10" t="s">
        <v>2729</v>
      </c>
      <c r="D1739" s="14" t="s">
        <v>2730</v>
      </c>
      <c r="E1739" s="10"/>
      <c r="F1739" s="10" t="s">
        <v>282</v>
      </c>
      <c r="G1739" s="111">
        <f>'Stavební rozpočet'!G1739</f>
      </c>
      <c r="H1739" s="111">
        <f>'Stavební rozpočet'!H1739</f>
      </c>
      <c r="I1739" s="111">
        <f>G1739*H1739</f>
      </c>
      <c r="J1739" s="153" t="s">
        <v>134</v>
      </c>
      <c r="K1739" s="146"/>
      <c r="Z1739" s="111">
        <f>IF(AQ1739="5",BJ1739,0)</f>
      </c>
      <c r="AB1739" s="111">
        <f>IF(AQ1739="1",BH1739,0)</f>
      </c>
      <c r="AC1739" s="111">
        <f>IF(AQ1739="1",BI1739,0)</f>
      </c>
      <c r="AD1739" s="111">
        <f>IF(AQ1739="7",BH1739,0)</f>
      </c>
      <c r="AE1739" s="111">
        <f>IF(AQ1739="7",BI1739,0)</f>
      </c>
      <c r="AF1739" s="111">
        <f>IF(AQ1739="2",BH1739,0)</f>
      </c>
      <c r="AG1739" s="111">
        <f>IF(AQ1739="2",BI1739,0)</f>
      </c>
      <c r="AH1739" s="111">
        <f>IF(AQ1739="0",BJ1739,0)</f>
      </c>
      <c r="AI1739" s="132" t="s">
        <v>84</v>
      </c>
      <c r="AJ1739" s="111">
        <f>IF(AN1739=0,I1739,0)</f>
      </c>
      <c r="AK1739" s="111">
        <f>IF(AN1739=12,I1739,0)</f>
      </c>
      <c r="AL1739" s="111">
        <f>IF(AN1739=21,I1739,0)</f>
      </c>
      <c r="AN1739" s="111" t="n">
        <v>21</v>
      </c>
      <c r="AO1739" s="111">
        <f>H1739*0.20302061</f>
      </c>
      <c r="AP1739" s="111">
        <f>H1739*(1-0.20302061)</f>
      </c>
      <c r="AQ1739" s="153" t="s">
        <v>173</v>
      </c>
      <c r="AV1739" s="111">
        <f>AW1739+AX1739</f>
      </c>
      <c r="AW1739" s="111">
        <f>G1739*AO1739</f>
      </c>
      <c r="AX1739" s="111">
        <f>G1739*AP1739</f>
      </c>
      <c r="AY1739" s="153" t="s">
        <v>2657</v>
      </c>
      <c r="AZ1739" s="153" t="s">
        <v>2486</v>
      </c>
      <c r="BA1739" s="132" t="s">
        <v>137</v>
      </c>
      <c r="BC1739" s="111">
        <f>AW1739+AX1739</f>
      </c>
      <c r="BD1739" s="111">
        <f>H1739/(100-BE1739)*100</f>
      </c>
      <c r="BE1739" s="111" t="n">
        <v>0</v>
      </c>
      <c r="BF1739" s="111">
        <f>1739</f>
      </c>
      <c r="BH1739" s="111">
        <f>G1739*AO1739</f>
      </c>
      <c r="BI1739" s="111">
        <f>G1739*AP1739</f>
      </c>
      <c r="BJ1739" s="111">
        <f>G1739*H1739</f>
      </c>
      <c r="BK1739" s="111"/>
      <c r="BL1739" s="111" t="n">
        <v>776</v>
      </c>
      <c r="BW1739" s="111" t="n">
        <v>21</v>
      </c>
      <c r="BX1739" s="14" t="s">
        <v>2730</v>
      </c>
    </row>
    <row r="1740" customHeight="true" ht="13.5">
      <c r="A1740" s="159"/>
      <c r="C1740" s="160" t="s">
        <v>146</v>
      </c>
      <c r="D1740" s="161" t="s">
        <v>2731</v>
      </c>
      <c r="E1740" s="156"/>
      <c r="F1740" s="156"/>
      <c r="G1740" s="156"/>
      <c r="H1740" s="156"/>
      <c r="I1740" s="156"/>
      <c r="J1740" s="156"/>
      <c r="K1740" s="163"/>
    </row>
    <row r="1741">
      <c r="A1741" s="154"/>
      <c r="B1741" s="155"/>
      <c r="C1741" s="155"/>
      <c r="D1741" s="156" t="s">
        <v>2727</v>
      </c>
      <c r="E1741" s="156" t="s">
        <v>933</v>
      </c>
      <c r="F1741" s="155"/>
      <c r="G1741" s="157" t="n">
        <v>7.72</v>
      </c>
      <c r="H1741" s="155"/>
      <c r="I1741" s="155"/>
      <c r="J1741" s="155"/>
      <c r="K1741" s="146"/>
    </row>
    <row r="1742">
      <c r="A1742" s="9" t="s">
        <v>2732</v>
      </c>
      <c r="B1742" s="10" t="s">
        <v>84</v>
      </c>
      <c r="C1742" s="10" t="s">
        <v>2733</v>
      </c>
      <c r="D1742" s="14" t="s">
        <v>2734</v>
      </c>
      <c r="E1742" s="10"/>
      <c r="F1742" s="10" t="s">
        <v>133</v>
      </c>
      <c r="G1742" s="111">
        <f>'Stavební rozpočet'!G1742</f>
      </c>
      <c r="H1742" s="111">
        <f>'Stavební rozpočet'!H1742</f>
      </c>
      <c r="I1742" s="111">
        <f>G1742*H1742</f>
      </c>
      <c r="J1742" s="153" t="s">
        <v>134</v>
      </c>
      <c r="K1742" s="146"/>
      <c r="Z1742" s="111">
        <f>IF(AQ1742="5",BJ1742,0)</f>
      </c>
      <c r="AB1742" s="111">
        <f>IF(AQ1742="1",BH1742,0)</f>
      </c>
      <c r="AC1742" s="111">
        <f>IF(AQ1742="1",BI1742,0)</f>
      </c>
      <c r="AD1742" s="111">
        <f>IF(AQ1742="7",BH1742,0)</f>
      </c>
      <c r="AE1742" s="111">
        <f>IF(AQ1742="7",BI1742,0)</f>
      </c>
      <c r="AF1742" s="111">
        <f>IF(AQ1742="2",BH1742,0)</f>
      </c>
      <c r="AG1742" s="111">
        <f>IF(AQ1742="2",BI1742,0)</f>
      </c>
      <c r="AH1742" s="111">
        <f>IF(AQ1742="0",BJ1742,0)</f>
      </c>
      <c r="AI1742" s="132" t="s">
        <v>84</v>
      </c>
      <c r="AJ1742" s="111">
        <f>IF(AN1742=0,I1742,0)</f>
      </c>
      <c r="AK1742" s="111">
        <f>IF(AN1742=12,I1742,0)</f>
      </c>
      <c r="AL1742" s="111">
        <f>IF(AN1742=21,I1742,0)</f>
      </c>
      <c r="AN1742" s="111" t="n">
        <v>21</v>
      </c>
      <c r="AO1742" s="111">
        <f>H1742*1</f>
      </c>
      <c r="AP1742" s="111">
        <f>H1742*(1-1)</f>
      </c>
      <c r="AQ1742" s="153" t="s">
        <v>173</v>
      </c>
      <c r="AV1742" s="111">
        <f>AW1742+AX1742</f>
      </c>
      <c r="AW1742" s="111">
        <f>G1742*AO1742</f>
      </c>
      <c r="AX1742" s="111">
        <f>G1742*AP1742</f>
      </c>
      <c r="AY1742" s="153" t="s">
        <v>2657</v>
      </c>
      <c r="AZ1742" s="153" t="s">
        <v>2486</v>
      </c>
      <c r="BA1742" s="132" t="s">
        <v>137</v>
      </c>
      <c r="BC1742" s="111">
        <f>AW1742+AX1742</f>
      </c>
      <c r="BD1742" s="111">
        <f>H1742/(100-BE1742)*100</f>
      </c>
      <c r="BE1742" s="111" t="n">
        <v>0</v>
      </c>
      <c r="BF1742" s="111">
        <f>1742</f>
      </c>
      <c r="BH1742" s="111">
        <f>G1742*AO1742</f>
      </c>
      <c r="BI1742" s="111">
        <f>G1742*AP1742</f>
      </c>
      <c r="BJ1742" s="111">
        <f>G1742*H1742</f>
      </c>
      <c r="BK1742" s="111"/>
      <c r="BL1742" s="111" t="n">
        <v>776</v>
      </c>
      <c r="BW1742" s="111" t="n">
        <v>21</v>
      </c>
      <c r="BX1742" s="14" t="s">
        <v>2734</v>
      </c>
    </row>
    <row r="1743">
      <c r="A1743" s="154"/>
      <c r="B1743" s="155"/>
      <c r="C1743" s="155"/>
      <c r="D1743" s="156" t="s">
        <v>2727</v>
      </c>
      <c r="E1743" s="156" t="s">
        <v>933</v>
      </c>
      <c r="F1743" s="155"/>
      <c r="G1743" s="157" t="n">
        <v>7.72</v>
      </c>
      <c r="H1743" s="155"/>
      <c r="I1743" s="155"/>
      <c r="J1743" s="155"/>
      <c r="K1743" s="146"/>
    </row>
    <row r="1744">
      <c r="A1744" s="154"/>
      <c r="B1744" s="155"/>
      <c r="C1744" s="155"/>
      <c r="D1744" s="156" t="s">
        <v>2735</v>
      </c>
      <c r="E1744" s="156" t="s">
        <v>1730</v>
      </c>
      <c r="F1744" s="155"/>
      <c r="G1744" s="157" t="n">
        <v>0.772</v>
      </c>
      <c r="H1744" s="155"/>
      <c r="I1744" s="155"/>
      <c r="J1744" s="155"/>
      <c r="K1744" s="146"/>
    </row>
    <row r="1745">
      <c r="A1745" s="9" t="s">
        <v>2736</v>
      </c>
      <c r="B1745" s="10" t="s">
        <v>84</v>
      </c>
      <c r="C1745" s="10" t="s">
        <v>2737</v>
      </c>
      <c r="D1745" s="14" t="s">
        <v>2738</v>
      </c>
      <c r="E1745" s="10"/>
      <c r="F1745" s="10" t="s">
        <v>145</v>
      </c>
      <c r="G1745" s="111">
        <f>'Stavební rozpočet'!G1745</f>
      </c>
      <c r="H1745" s="111">
        <f>'Stavební rozpočet'!H1745</f>
      </c>
      <c r="I1745" s="111">
        <f>G1745*H1745</f>
      </c>
      <c r="J1745" s="153" t="s">
        <v>134</v>
      </c>
      <c r="K1745" s="146"/>
      <c r="Z1745" s="111">
        <f>IF(AQ1745="5",BJ1745,0)</f>
      </c>
      <c r="AB1745" s="111">
        <f>IF(AQ1745="1",BH1745,0)</f>
      </c>
      <c r="AC1745" s="111">
        <f>IF(AQ1745="1",BI1745,0)</f>
      </c>
      <c r="AD1745" s="111">
        <f>IF(AQ1745="7",BH1745,0)</f>
      </c>
      <c r="AE1745" s="111">
        <f>IF(AQ1745="7",BI1745,0)</f>
      </c>
      <c r="AF1745" s="111">
        <f>IF(AQ1745="2",BH1745,0)</f>
      </c>
      <c r="AG1745" s="111">
        <f>IF(AQ1745="2",BI1745,0)</f>
      </c>
      <c r="AH1745" s="111">
        <f>IF(AQ1745="0",BJ1745,0)</f>
      </c>
      <c r="AI1745" s="132" t="s">
        <v>84</v>
      </c>
      <c r="AJ1745" s="111">
        <f>IF(AN1745=0,I1745,0)</f>
      </c>
      <c r="AK1745" s="111">
        <f>IF(AN1745=12,I1745,0)</f>
      </c>
      <c r="AL1745" s="111">
        <f>IF(AN1745=21,I1745,0)</f>
      </c>
      <c r="AN1745" s="111" t="n">
        <v>21</v>
      </c>
      <c r="AO1745" s="111">
        <f>H1745*0.972861272</f>
      </c>
      <c r="AP1745" s="111">
        <f>H1745*(1-0.972861272)</f>
      </c>
      <c r="AQ1745" s="153" t="s">
        <v>173</v>
      </c>
      <c r="AV1745" s="111">
        <f>AW1745+AX1745</f>
      </c>
      <c r="AW1745" s="111">
        <f>G1745*AO1745</f>
      </c>
      <c r="AX1745" s="111">
        <f>G1745*AP1745</f>
      </c>
      <c r="AY1745" s="153" t="s">
        <v>2657</v>
      </c>
      <c r="AZ1745" s="153" t="s">
        <v>2486</v>
      </c>
      <c r="BA1745" s="132" t="s">
        <v>137</v>
      </c>
      <c r="BC1745" s="111">
        <f>AW1745+AX1745</f>
      </c>
      <c r="BD1745" s="111">
        <f>H1745/(100-BE1745)*100</f>
      </c>
      <c r="BE1745" s="111" t="n">
        <v>0</v>
      </c>
      <c r="BF1745" s="111">
        <f>1745</f>
      </c>
      <c r="BH1745" s="111">
        <f>G1745*AO1745</f>
      </c>
      <c r="BI1745" s="111">
        <f>G1745*AP1745</f>
      </c>
      <c r="BJ1745" s="111">
        <f>G1745*H1745</f>
      </c>
      <c r="BK1745" s="111"/>
      <c r="BL1745" s="111" t="n">
        <v>776</v>
      </c>
      <c r="BW1745" s="111" t="n">
        <v>21</v>
      </c>
      <c r="BX1745" s="14" t="s">
        <v>2738</v>
      </c>
    </row>
    <row r="1746" customHeight="true" ht="13.5">
      <c r="A1746" s="159"/>
      <c r="C1746" s="160" t="s">
        <v>146</v>
      </c>
      <c r="D1746" s="161" t="s">
        <v>2739</v>
      </c>
      <c r="E1746" s="156"/>
      <c r="F1746" s="156"/>
      <c r="G1746" s="156"/>
      <c r="H1746" s="156"/>
      <c r="I1746" s="156"/>
      <c r="J1746" s="156"/>
      <c r="K1746" s="163"/>
    </row>
    <row r="1747">
      <c r="A1747" s="154"/>
      <c r="B1747" s="155"/>
      <c r="C1747" s="155"/>
      <c r="D1747" s="156" t="s">
        <v>128</v>
      </c>
      <c r="E1747" s="156" t="s">
        <v>2740</v>
      </c>
      <c r="F1747" s="155"/>
      <c r="G1747" s="157" t="n">
        <v>11</v>
      </c>
      <c r="H1747" s="155"/>
      <c r="I1747" s="155"/>
      <c r="J1747" s="155"/>
      <c r="K1747" s="146"/>
    </row>
    <row r="1748">
      <c r="A1748" s="9" t="s">
        <v>2741</v>
      </c>
      <c r="B1748" s="10" t="s">
        <v>84</v>
      </c>
      <c r="C1748" s="10" t="s">
        <v>2742</v>
      </c>
      <c r="D1748" s="14" t="s">
        <v>2743</v>
      </c>
      <c r="E1748" s="10"/>
      <c r="F1748" s="10" t="s">
        <v>282</v>
      </c>
      <c r="G1748" s="111">
        <f>'Stavební rozpočet'!G1748</f>
      </c>
      <c r="H1748" s="111">
        <f>'Stavební rozpočet'!H1748</f>
      </c>
      <c r="I1748" s="111">
        <f>G1748*H1748</f>
      </c>
      <c r="J1748" s="153" t="s">
        <v>134</v>
      </c>
      <c r="K1748" s="146"/>
      <c r="Z1748" s="111">
        <f>IF(AQ1748="5",BJ1748,0)</f>
      </c>
      <c r="AB1748" s="111">
        <f>IF(AQ1748="1",BH1748,0)</f>
      </c>
      <c r="AC1748" s="111">
        <f>IF(AQ1748="1",BI1748,0)</f>
      </c>
      <c r="AD1748" s="111">
        <f>IF(AQ1748="7",BH1748,0)</f>
      </c>
      <c r="AE1748" s="111">
        <f>IF(AQ1748="7",BI1748,0)</f>
      </c>
      <c r="AF1748" s="111">
        <f>IF(AQ1748="2",BH1748,0)</f>
      </c>
      <c r="AG1748" s="111">
        <f>IF(AQ1748="2",BI1748,0)</f>
      </c>
      <c r="AH1748" s="111">
        <f>IF(AQ1748="0",BJ1748,0)</f>
      </c>
      <c r="AI1748" s="132" t="s">
        <v>84</v>
      </c>
      <c r="AJ1748" s="111">
        <f>IF(AN1748=0,I1748,0)</f>
      </c>
      <c r="AK1748" s="111">
        <f>IF(AN1748=12,I1748,0)</f>
      </c>
      <c r="AL1748" s="111">
        <f>IF(AN1748=21,I1748,0)</f>
      </c>
      <c r="AN1748" s="111" t="n">
        <v>21</v>
      </c>
      <c r="AO1748" s="111">
        <f>H1748*0.578208556</f>
      </c>
      <c r="AP1748" s="111">
        <f>H1748*(1-0.578208556)</f>
      </c>
      <c r="AQ1748" s="153" t="s">
        <v>173</v>
      </c>
      <c r="AV1748" s="111">
        <f>AW1748+AX1748</f>
      </c>
      <c r="AW1748" s="111">
        <f>G1748*AO1748</f>
      </c>
      <c r="AX1748" s="111">
        <f>G1748*AP1748</f>
      </c>
      <c r="AY1748" s="153" t="s">
        <v>2657</v>
      </c>
      <c r="AZ1748" s="153" t="s">
        <v>2486</v>
      </c>
      <c r="BA1748" s="132" t="s">
        <v>137</v>
      </c>
      <c r="BC1748" s="111">
        <f>AW1748+AX1748</f>
      </c>
      <c r="BD1748" s="111">
        <f>H1748/(100-BE1748)*100</f>
      </c>
      <c r="BE1748" s="111" t="n">
        <v>0</v>
      </c>
      <c r="BF1748" s="111">
        <f>1748</f>
      </c>
      <c r="BH1748" s="111">
        <f>G1748*AO1748</f>
      </c>
      <c r="BI1748" s="111">
        <f>G1748*AP1748</f>
      </c>
      <c r="BJ1748" s="111">
        <f>G1748*H1748</f>
      </c>
      <c r="BK1748" s="111"/>
      <c r="BL1748" s="111" t="n">
        <v>776</v>
      </c>
      <c r="BW1748" s="111" t="n">
        <v>21</v>
      </c>
      <c r="BX1748" s="14" t="s">
        <v>2743</v>
      </c>
    </row>
    <row r="1749" customHeight="true" ht="13.5">
      <c r="A1749" s="159"/>
      <c r="C1749" s="160" t="s">
        <v>146</v>
      </c>
      <c r="D1749" s="161" t="s">
        <v>2744</v>
      </c>
      <c r="E1749" s="156"/>
      <c r="F1749" s="156"/>
      <c r="G1749" s="156"/>
      <c r="H1749" s="156"/>
      <c r="I1749" s="156"/>
      <c r="J1749" s="156"/>
      <c r="K1749" s="163"/>
    </row>
    <row r="1750">
      <c r="A1750" s="154"/>
      <c r="B1750" s="155"/>
      <c r="C1750" s="155"/>
      <c r="D1750" s="156" t="s">
        <v>2745</v>
      </c>
      <c r="E1750" s="156" t="s">
        <v>2746</v>
      </c>
      <c r="F1750" s="155"/>
      <c r="G1750" s="157" t="n">
        <v>0.9</v>
      </c>
      <c r="H1750" s="155"/>
      <c r="I1750" s="155"/>
      <c r="J1750" s="155"/>
      <c r="K1750" s="146"/>
    </row>
    <row r="1751">
      <c r="A1751" s="154"/>
      <c r="B1751" s="155"/>
      <c r="C1751" s="155"/>
      <c r="D1751" s="156" t="s">
        <v>2747</v>
      </c>
      <c r="E1751" s="156" t="s">
        <v>2748</v>
      </c>
      <c r="F1751" s="155"/>
      <c r="G1751" s="157" t="n">
        <v>3.05</v>
      </c>
      <c r="H1751" s="155"/>
      <c r="I1751" s="155"/>
      <c r="J1751" s="155"/>
      <c r="K1751" s="146"/>
    </row>
    <row r="1752">
      <c r="A1752" s="154"/>
      <c r="B1752" s="155"/>
      <c r="C1752" s="155"/>
      <c r="D1752" s="156" t="s">
        <v>2749</v>
      </c>
      <c r="E1752" s="156" t="s">
        <v>993</v>
      </c>
      <c r="F1752" s="155"/>
      <c r="G1752" s="157" t="n">
        <v>4</v>
      </c>
      <c r="H1752" s="155"/>
      <c r="I1752" s="155"/>
      <c r="J1752" s="155"/>
      <c r="K1752" s="146"/>
    </row>
    <row r="1753">
      <c r="A1753" s="154"/>
      <c r="B1753" s="155"/>
      <c r="C1753" s="155"/>
      <c r="D1753" s="156" t="s">
        <v>2750</v>
      </c>
      <c r="E1753" s="156" t="s">
        <v>2751</v>
      </c>
      <c r="F1753" s="155"/>
      <c r="G1753" s="157" t="n">
        <v>1.6</v>
      </c>
      <c r="H1753" s="155"/>
      <c r="I1753" s="155"/>
      <c r="J1753" s="155"/>
      <c r="K1753" s="146"/>
    </row>
    <row r="1754">
      <c r="A1754" s="9" t="s">
        <v>2752</v>
      </c>
      <c r="B1754" s="10" t="s">
        <v>84</v>
      </c>
      <c r="C1754" s="10" t="s">
        <v>2753</v>
      </c>
      <c r="D1754" s="14" t="s">
        <v>2754</v>
      </c>
      <c r="E1754" s="10"/>
      <c r="F1754" s="10" t="s">
        <v>61</v>
      </c>
      <c r="G1754" s="111">
        <f>'Stavební rozpočet'!G1754</f>
      </c>
      <c r="H1754" s="111">
        <f>'Stavební rozpočet'!H1754</f>
      </c>
      <c r="I1754" s="111">
        <f>G1754*H1754</f>
      </c>
      <c r="J1754" s="153" t="s">
        <v>134</v>
      </c>
      <c r="K1754" s="146"/>
      <c r="Z1754" s="111">
        <f>IF(AQ1754="5",BJ1754,0)</f>
      </c>
      <c r="AB1754" s="111">
        <f>IF(AQ1754="1",BH1754,0)</f>
      </c>
      <c r="AC1754" s="111">
        <f>IF(AQ1754="1",BI1754,0)</f>
      </c>
      <c r="AD1754" s="111">
        <f>IF(AQ1754="7",BH1754,0)</f>
      </c>
      <c r="AE1754" s="111">
        <f>IF(AQ1754="7",BI1754,0)</f>
      </c>
      <c r="AF1754" s="111">
        <f>IF(AQ1754="2",BH1754,0)</f>
      </c>
      <c r="AG1754" s="111">
        <f>IF(AQ1754="2",BI1754,0)</f>
      </c>
      <c r="AH1754" s="111">
        <f>IF(AQ1754="0",BJ1754,0)</f>
      </c>
      <c r="AI1754" s="132" t="s">
        <v>84</v>
      </c>
      <c r="AJ1754" s="111">
        <f>IF(AN1754=0,I1754,0)</f>
      </c>
      <c r="AK1754" s="111">
        <f>IF(AN1754=12,I1754,0)</f>
      </c>
      <c r="AL1754" s="111">
        <f>IF(AN1754=21,I1754,0)</f>
      </c>
      <c r="AN1754" s="111" t="n">
        <v>21</v>
      </c>
      <c r="AO1754" s="111">
        <f>H1754*0</f>
      </c>
      <c r="AP1754" s="111">
        <f>H1754*(1-0)</f>
      </c>
      <c r="AQ1754" s="153" t="s">
        <v>156</v>
      </c>
      <c r="AV1754" s="111">
        <f>AW1754+AX1754</f>
      </c>
      <c r="AW1754" s="111">
        <f>G1754*AO1754</f>
      </c>
      <c r="AX1754" s="111">
        <f>G1754*AP1754</f>
      </c>
      <c r="AY1754" s="153" t="s">
        <v>2657</v>
      </c>
      <c r="AZ1754" s="153" t="s">
        <v>2486</v>
      </c>
      <c r="BA1754" s="132" t="s">
        <v>137</v>
      </c>
      <c r="BC1754" s="111">
        <f>AW1754+AX1754</f>
      </c>
      <c r="BD1754" s="111">
        <f>H1754/(100-BE1754)*100</f>
      </c>
      <c r="BE1754" s="111" t="n">
        <v>0</v>
      </c>
      <c r="BF1754" s="111">
        <f>1754</f>
      </c>
      <c r="BH1754" s="111">
        <f>G1754*AO1754</f>
      </c>
      <c r="BI1754" s="111">
        <f>G1754*AP1754</f>
      </c>
      <c r="BJ1754" s="111">
        <f>G1754*H1754</f>
      </c>
      <c r="BK1754" s="111"/>
      <c r="BL1754" s="111" t="n">
        <v>776</v>
      </c>
      <c r="BW1754" s="111" t="n">
        <v>21</v>
      </c>
      <c r="BX1754" s="14" t="s">
        <v>2754</v>
      </c>
    </row>
    <row r="1755">
      <c r="A1755" s="9" t="s">
        <v>2755</v>
      </c>
      <c r="B1755" s="10" t="s">
        <v>84</v>
      </c>
      <c r="C1755" s="10" t="s">
        <v>2756</v>
      </c>
      <c r="D1755" s="14" t="s">
        <v>2757</v>
      </c>
      <c r="E1755" s="10"/>
      <c r="F1755" s="10" t="s">
        <v>61</v>
      </c>
      <c r="G1755" s="111">
        <f>'Stavební rozpočet'!G1755</f>
      </c>
      <c r="H1755" s="111">
        <f>'Stavební rozpočet'!H1755</f>
      </c>
      <c r="I1755" s="111">
        <f>G1755*H1755</f>
      </c>
      <c r="J1755" s="153" t="s">
        <v>134</v>
      </c>
      <c r="K1755" s="146"/>
      <c r="Z1755" s="111">
        <f>IF(AQ1755="5",BJ1755,0)</f>
      </c>
      <c r="AB1755" s="111">
        <f>IF(AQ1755="1",BH1755,0)</f>
      </c>
      <c r="AC1755" s="111">
        <f>IF(AQ1755="1",BI1755,0)</f>
      </c>
      <c r="AD1755" s="111">
        <f>IF(AQ1755="7",BH1755,0)</f>
      </c>
      <c r="AE1755" s="111">
        <f>IF(AQ1755="7",BI1755,0)</f>
      </c>
      <c r="AF1755" s="111">
        <f>IF(AQ1755="2",BH1755,0)</f>
      </c>
      <c r="AG1755" s="111">
        <f>IF(AQ1755="2",BI1755,0)</f>
      </c>
      <c r="AH1755" s="111">
        <f>IF(AQ1755="0",BJ1755,0)</f>
      </c>
      <c r="AI1755" s="132" t="s">
        <v>84</v>
      </c>
      <c r="AJ1755" s="111">
        <f>IF(AN1755=0,I1755,0)</f>
      </c>
      <c r="AK1755" s="111">
        <f>IF(AN1755=12,I1755,0)</f>
      </c>
      <c r="AL1755" s="111">
        <f>IF(AN1755=21,I1755,0)</f>
      </c>
      <c r="AN1755" s="111" t="n">
        <v>21</v>
      </c>
      <c r="AO1755" s="111">
        <f>H1755*0</f>
      </c>
      <c r="AP1755" s="111">
        <f>H1755*(1-0)</f>
      </c>
      <c r="AQ1755" s="153" t="s">
        <v>156</v>
      </c>
      <c r="AV1755" s="111">
        <f>AW1755+AX1755</f>
      </c>
      <c r="AW1755" s="111">
        <f>G1755*AO1755</f>
      </c>
      <c r="AX1755" s="111">
        <f>G1755*AP1755</f>
      </c>
      <c r="AY1755" s="153" t="s">
        <v>2657</v>
      </c>
      <c r="AZ1755" s="153" t="s">
        <v>2486</v>
      </c>
      <c r="BA1755" s="132" t="s">
        <v>137</v>
      </c>
      <c r="BC1755" s="111">
        <f>AW1755+AX1755</f>
      </c>
      <c r="BD1755" s="111">
        <f>H1755/(100-BE1755)*100</f>
      </c>
      <c r="BE1755" s="111" t="n">
        <v>0</v>
      </c>
      <c r="BF1755" s="111">
        <f>1755</f>
      </c>
      <c r="BH1755" s="111">
        <f>G1755*AO1755</f>
      </c>
      <c r="BI1755" s="111">
        <f>G1755*AP1755</f>
      </c>
      <c r="BJ1755" s="111">
        <f>G1755*H1755</f>
      </c>
      <c r="BK1755" s="111"/>
      <c r="BL1755" s="111" t="n">
        <v>776</v>
      </c>
      <c r="BW1755" s="111" t="n">
        <v>21</v>
      </c>
      <c r="BX1755" s="14" t="s">
        <v>2757</v>
      </c>
    </row>
    <row r="1756">
      <c r="A1756" s="147" t="s">
        <v>4</v>
      </c>
      <c r="B1756" s="148" t="s">
        <v>84</v>
      </c>
      <c r="C1756" s="148" t="s">
        <v>2758</v>
      </c>
      <c r="D1756" s="149" t="s">
        <v>2759</v>
      </c>
      <c r="E1756" s="148"/>
      <c r="F1756" s="150" t="s">
        <v>79</v>
      </c>
      <c r="G1756" s="150" t="s">
        <v>79</v>
      </c>
      <c r="H1756" s="150" t="s">
        <v>79</v>
      </c>
      <c r="I1756" s="117">
        <f>SUM(I1757:I1884)</f>
      </c>
      <c r="J1756" s="132" t="s">
        <v>4</v>
      </c>
      <c r="K1756" s="146"/>
      <c r="AI1756" s="132" t="s">
        <v>84</v>
      </c>
      <c r="AS1756" s="117">
        <f>SUM(AJ1757:AJ1884)</f>
      </c>
      <c r="AT1756" s="117">
        <f>SUM(AK1757:AK1884)</f>
      </c>
      <c r="AU1756" s="117">
        <f>SUM(AL1757:AL1884)</f>
      </c>
    </row>
    <row r="1757">
      <c r="A1757" s="9" t="s">
        <v>2760</v>
      </c>
      <c r="B1757" s="10" t="s">
        <v>84</v>
      </c>
      <c r="C1757" s="10" t="s">
        <v>2761</v>
      </c>
      <c r="D1757" s="14" t="s">
        <v>2762</v>
      </c>
      <c r="E1757" s="10"/>
      <c r="F1757" s="10" t="s">
        <v>145</v>
      </c>
      <c r="G1757" s="111">
        <f>'Stavební rozpočet'!G1757</f>
      </c>
      <c r="H1757" s="111">
        <f>'Stavební rozpočet'!H1757</f>
      </c>
      <c r="I1757" s="111">
        <f>G1757*H1757</f>
      </c>
      <c r="J1757" s="153" t="s">
        <v>134</v>
      </c>
      <c r="K1757" s="146"/>
      <c r="Z1757" s="111">
        <f>IF(AQ1757="5",BJ1757,0)</f>
      </c>
      <c r="AB1757" s="111">
        <f>IF(AQ1757="1",BH1757,0)</f>
      </c>
      <c r="AC1757" s="111">
        <f>IF(AQ1757="1",BI1757,0)</f>
      </c>
      <c r="AD1757" s="111">
        <f>IF(AQ1757="7",BH1757,0)</f>
      </c>
      <c r="AE1757" s="111">
        <f>IF(AQ1757="7",BI1757,0)</f>
      </c>
      <c r="AF1757" s="111">
        <f>IF(AQ1757="2",BH1757,0)</f>
      </c>
      <c r="AG1757" s="111">
        <f>IF(AQ1757="2",BI1757,0)</f>
      </c>
      <c r="AH1757" s="111">
        <f>IF(AQ1757="0",BJ1757,0)</f>
      </c>
      <c r="AI1757" s="132" t="s">
        <v>84</v>
      </c>
      <c r="AJ1757" s="111">
        <f>IF(AN1757=0,I1757,0)</f>
      </c>
      <c r="AK1757" s="111">
        <f>IF(AN1757=12,I1757,0)</f>
      </c>
      <c r="AL1757" s="111">
        <f>IF(AN1757=21,I1757,0)</f>
      </c>
      <c r="AN1757" s="111" t="n">
        <v>21</v>
      </c>
      <c r="AO1757" s="111">
        <f>H1757*0.4773653</f>
      </c>
      <c r="AP1757" s="111">
        <f>H1757*(1-0.4773653)</f>
      </c>
      <c r="AQ1757" s="153" t="s">
        <v>173</v>
      </c>
      <c r="AV1757" s="111">
        <f>AW1757+AX1757</f>
      </c>
      <c r="AW1757" s="111">
        <f>G1757*AO1757</f>
      </c>
      <c r="AX1757" s="111">
        <f>G1757*AP1757</f>
      </c>
      <c r="AY1757" s="153" t="s">
        <v>2763</v>
      </c>
      <c r="AZ1757" s="153" t="s">
        <v>2764</v>
      </c>
      <c r="BA1757" s="132" t="s">
        <v>137</v>
      </c>
      <c r="BC1757" s="111">
        <f>AW1757+AX1757</f>
      </c>
      <c r="BD1757" s="111">
        <f>H1757/(100-BE1757)*100</f>
      </c>
      <c r="BE1757" s="111" t="n">
        <v>0</v>
      </c>
      <c r="BF1757" s="111">
        <f>1757</f>
      </c>
      <c r="BH1757" s="111">
        <f>G1757*AO1757</f>
      </c>
      <c r="BI1757" s="111">
        <f>G1757*AP1757</f>
      </c>
      <c r="BJ1757" s="111">
        <f>G1757*H1757</f>
      </c>
      <c r="BK1757" s="111"/>
      <c r="BL1757" s="111" t="n">
        <v>781</v>
      </c>
      <c r="BW1757" s="111" t="n">
        <v>21</v>
      </c>
      <c r="BX1757" s="14" t="s">
        <v>2762</v>
      </c>
    </row>
    <row r="1758" customHeight="true" ht="13.5">
      <c r="A1758" s="159"/>
      <c r="C1758" s="160" t="s">
        <v>146</v>
      </c>
      <c r="D1758" s="161" t="s">
        <v>2765</v>
      </c>
      <c r="E1758" s="156"/>
      <c r="F1758" s="156"/>
      <c r="G1758" s="156"/>
      <c r="H1758" s="156"/>
      <c r="I1758" s="156"/>
      <c r="J1758" s="156"/>
      <c r="K1758" s="163"/>
    </row>
    <row r="1759">
      <c r="A1759" s="9" t="s">
        <v>2766</v>
      </c>
      <c r="B1759" s="10" t="s">
        <v>84</v>
      </c>
      <c r="C1759" s="10" t="s">
        <v>2767</v>
      </c>
      <c r="D1759" s="14" t="s">
        <v>2768</v>
      </c>
      <c r="E1759" s="10"/>
      <c r="F1759" s="10" t="s">
        <v>145</v>
      </c>
      <c r="G1759" s="111">
        <f>'Stavební rozpočet'!G1759</f>
      </c>
      <c r="H1759" s="111">
        <f>'Stavební rozpočet'!H1759</f>
      </c>
      <c r="I1759" s="111">
        <f>G1759*H1759</f>
      </c>
      <c r="J1759" s="153" t="s">
        <v>134</v>
      </c>
      <c r="K1759" s="146"/>
      <c r="Z1759" s="111">
        <f>IF(AQ1759="5",BJ1759,0)</f>
      </c>
      <c r="AB1759" s="111">
        <f>IF(AQ1759="1",BH1759,0)</f>
      </c>
      <c r="AC1759" s="111">
        <f>IF(AQ1759="1",BI1759,0)</f>
      </c>
      <c r="AD1759" s="111">
        <f>IF(AQ1759="7",BH1759,0)</f>
      </c>
      <c r="AE1759" s="111">
        <f>IF(AQ1759="7",BI1759,0)</f>
      </c>
      <c r="AF1759" s="111">
        <f>IF(AQ1759="2",BH1759,0)</f>
      </c>
      <c r="AG1759" s="111">
        <f>IF(AQ1759="2",BI1759,0)</f>
      </c>
      <c r="AH1759" s="111">
        <f>IF(AQ1759="0",BJ1759,0)</f>
      </c>
      <c r="AI1759" s="132" t="s">
        <v>84</v>
      </c>
      <c r="AJ1759" s="111">
        <f>IF(AN1759=0,I1759,0)</f>
      </c>
      <c r="AK1759" s="111">
        <f>IF(AN1759=12,I1759,0)</f>
      </c>
      <c r="AL1759" s="111">
        <f>IF(AN1759=21,I1759,0)</f>
      </c>
      <c r="AN1759" s="111" t="n">
        <v>21</v>
      </c>
      <c r="AO1759" s="111">
        <f>H1759*0.224663542</f>
      </c>
      <c r="AP1759" s="111">
        <f>H1759*(1-0.224663542)</f>
      </c>
      <c r="AQ1759" s="153" t="s">
        <v>173</v>
      </c>
      <c r="AV1759" s="111">
        <f>AW1759+AX1759</f>
      </c>
      <c r="AW1759" s="111">
        <f>G1759*AO1759</f>
      </c>
      <c r="AX1759" s="111">
        <f>G1759*AP1759</f>
      </c>
      <c r="AY1759" s="153" t="s">
        <v>2763</v>
      </c>
      <c r="AZ1759" s="153" t="s">
        <v>2764</v>
      </c>
      <c r="BA1759" s="132" t="s">
        <v>137</v>
      </c>
      <c r="BC1759" s="111">
        <f>AW1759+AX1759</f>
      </c>
      <c r="BD1759" s="111">
        <f>H1759/(100-BE1759)*100</f>
      </c>
      <c r="BE1759" s="111" t="n">
        <v>0</v>
      </c>
      <c r="BF1759" s="111">
        <f>1759</f>
      </c>
      <c r="BH1759" s="111">
        <f>G1759*AO1759</f>
      </c>
      <c r="BI1759" s="111">
        <f>G1759*AP1759</f>
      </c>
      <c r="BJ1759" s="111">
        <f>G1759*H1759</f>
      </c>
      <c r="BK1759" s="111"/>
      <c r="BL1759" s="111" t="n">
        <v>781</v>
      </c>
      <c r="BW1759" s="111" t="n">
        <v>21</v>
      </c>
      <c r="BX1759" s="14" t="s">
        <v>2768</v>
      </c>
    </row>
    <row r="1760">
      <c r="A1760" s="154"/>
      <c r="B1760" s="155"/>
      <c r="C1760" s="155"/>
      <c r="D1760" s="156" t="s">
        <v>1026</v>
      </c>
      <c r="E1760" s="156" t="s">
        <v>864</v>
      </c>
      <c r="F1760" s="155"/>
      <c r="G1760" s="157" t="n">
        <v>25.896</v>
      </c>
      <c r="H1760" s="155"/>
      <c r="I1760" s="155"/>
      <c r="J1760" s="155"/>
      <c r="K1760" s="146"/>
    </row>
    <row r="1761">
      <c r="A1761" s="154"/>
      <c r="B1761" s="155"/>
      <c r="C1761" s="155"/>
      <c r="D1761" s="156" t="s">
        <v>1027</v>
      </c>
      <c r="E1761" s="156" t="s">
        <v>566</v>
      </c>
      <c r="F1761" s="155"/>
      <c r="G1761" s="157" t="n">
        <v>25.416</v>
      </c>
      <c r="H1761" s="155"/>
      <c r="I1761" s="155"/>
      <c r="J1761" s="155"/>
      <c r="K1761" s="146"/>
    </row>
    <row r="1762">
      <c r="A1762" s="154"/>
      <c r="B1762" s="155"/>
      <c r="C1762" s="155"/>
      <c r="D1762" s="156" t="s">
        <v>1028</v>
      </c>
      <c r="E1762" s="156" t="s">
        <v>865</v>
      </c>
      <c r="F1762" s="155"/>
      <c r="G1762" s="157" t="n">
        <v>18.342</v>
      </c>
      <c r="H1762" s="155"/>
      <c r="I1762" s="155"/>
      <c r="J1762" s="155"/>
      <c r="K1762" s="146"/>
    </row>
    <row r="1763">
      <c r="A1763" s="154"/>
      <c r="B1763" s="155"/>
      <c r="C1763" s="155"/>
      <c r="D1763" s="156" t="s">
        <v>1029</v>
      </c>
      <c r="E1763" s="156" t="s">
        <v>1030</v>
      </c>
      <c r="F1763" s="155"/>
      <c r="G1763" s="157" t="n">
        <v>17.236</v>
      </c>
      <c r="H1763" s="155"/>
      <c r="I1763" s="155"/>
      <c r="J1763" s="155"/>
      <c r="K1763" s="146"/>
    </row>
    <row r="1764">
      <c r="A1764" s="154"/>
      <c r="B1764" s="155"/>
      <c r="C1764" s="155"/>
      <c r="D1764" s="156" t="s">
        <v>1031</v>
      </c>
      <c r="E1764" s="156" t="s">
        <v>1032</v>
      </c>
      <c r="F1764" s="155"/>
      <c r="G1764" s="157" t="n">
        <v>25.429</v>
      </c>
      <c r="H1764" s="155"/>
      <c r="I1764" s="155"/>
      <c r="J1764" s="155"/>
      <c r="K1764" s="146"/>
    </row>
    <row r="1765">
      <c r="A1765" s="154"/>
      <c r="B1765" s="155"/>
      <c r="C1765" s="155"/>
      <c r="D1765" s="156" t="s">
        <v>1033</v>
      </c>
      <c r="E1765" s="156" t="s">
        <v>1034</v>
      </c>
      <c r="F1765" s="155"/>
      <c r="G1765" s="157" t="n">
        <v>12.973</v>
      </c>
      <c r="H1765" s="155"/>
      <c r="I1765" s="155"/>
      <c r="J1765" s="155"/>
      <c r="K1765" s="146"/>
    </row>
    <row r="1766">
      <c r="A1766" s="154"/>
      <c r="B1766" s="155"/>
      <c r="C1766" s="155"/>
      <c r="D1766" s="156" t="s">
        <v>1035</v>
      </c>
      <c r="E1766" s="156" t="s">
        <v>1008</v>
      </c>
      <c r="F1766" s="155"/>
      <c r="G1766" s="157" t="n">
        <v>15.441</v>
      </c>
      <c r="H1766" s="155"/>
      <c r="I1766" s="155"/>
      <c r="J1766" s="155"/>
      <c r="K1766" s="146"/>
    </row>
    <row r="1767">
      <c r="A1767" s="154"/>
      <c r="B1767" s="155"/>
      <c r="C1767" s="155"/>
      <c r="D1767" s="156" t="s">
        <v>1036</v>
      </c>
      <c r="E1767" s="156" t="s">
        <v>1010</v>
      </c>
      <c r="F1767" s="155"/>
      <c r="G1767" s="157" t="n">
        <v>16.061</v>
      </c>
      <c r="H1767" s="155"/>
      <c r="I1767" s="155"/>
      <c r="J1767" s="155"/>
      <c r="K1767" s="146"/>
    </row>
    <row r="1768">
      <c r="A1768" s="9" t="s">
        <v>2769</v>
      </c>
      <c r="B1768" s="10" t="s">
        <v>84</v>
      </c>
      <c r="C1768" s="10" t="s">
        <v>2770</v>
      </c>
      <c r="D1768" s="14" t="s">
        <v>2771</v>
      </c>
      <c r="E1768" s="10"/>
      <c r="F1768" s="10" t="s">
        <v>145</v>
      </c>
      <c r="G1768" s="111">
        <f>'Stavební rozpočet'!G1768</f>
      </c>
      <c r="H1768" s="111">
        <f>'Stavební rozpočet'!H1768</f>
      </c>
      <c r="I1768" s="111">
        <f>G1768*H1768</f>
      </c>
      <c r="J1768" s="153" t="s">
        <v>134</v>
      </c>
      <c r="K1768" s="146"/>
      <c r="Z1768" s="111">
        <f>IF(AQ1768="5",BJ1768,0)</f>
      </c>
      <c r="AB1768" s="111">
        <f>IF(AQ1768="1",BH1768,0)</f>
      </c>
      <c r="AC1768" s="111">
        <f>IF(AQ1768="1",BI1768,0)</f>
      </c>
      <c r="AD1768" s="111">
        <f>IF(AQ1768="7",BH1768,0)</f>
      </c>
      <c r="AE1768" s="111">
        <f>IF(AQ1768="7",BI1768,0)</f>
      </c>
      <c r="AF1768" s="111">
        <f>IF(AQ1768="2",BH1768,0)</f>
      </c>
      <c r="AG1768" s="111">
        <f>IF(AQ1768="2",BI1768,0)</f>
      </c>
      <c r="AH1768" s="111">
        <f>IF(AQ1768="0",BJ1768,0)</f>
      </c>
      <c r="AI1768" s="132" t="s">
        <v>84</v>
      </c>
      <c r="AJ1768" s="111">
        <f>IF(AN1768=0,I1768,0)</f>
      </c>
      <c r="AK1768" s="111">
        <f>IF(AN1768=12,I1768,0)</f>
      </c>
      <c r="AL1768" s="111">
        <f>IF(AN1768=21,I1768,0)</f>
      </c>
      <c r="AN1768" s="111" t="n">
        <v>21</v>
      </c>
      <c r="AO1768" s="111">
        <f>H1768*0</f>
      </c>
      <c r="AP1768" s="111">
        <f>H1768*(1-0)</f>
      </c>
      <c r="AQ1768" s="153" t="s">
        <v>173</v>
      </c>
      <c r="AV1768" s="111">
        <f>AW1768+AX1768</f>
      </c>
      <c r="AW1768" s="111">
        <f>G1768*AO1768</f>
      </c>
      <c r="AX1768" s="111">
        <f>G1768*AP1768</f>
      </c>
      <c r="AY1768" s="153" t="s">
        <v>2763</v>
      </c>
      <c r="AZ1768" s="153" t="s">
        <v>2764</v>
      </c>
      <c r="BA1768" s="132" t="s">
        <v>137</v>
      </c>
      <c r="BC1768" s="111">
        <f>AW1768+AX1768</f>
      </c>
      <c r="BD1768" s="111">
        <f>H1768/(100-BE1768)*100</f>
      </c>
      <c r="BE1768" s="111" t="n">
        <v>0</v>
      </c>
      <c r="BF1768" s="111">
        <f>1768</f>
      </c>
      <c r="BH1768" s="111">
        <f>G1768*AO1768</f>
      </c>
      <c r="BI1768" s="111">
        <f>G1768*AP1768</f>
      </c>
      <c r="BJ1768" s="111">
        <f>G1768*H1768</f>
      </c>
      <c r="BK1768" s="111"/>
      <c r="BL1768" s="111" t="n">
        <v>781</v>
      </c>
      <c r="BW1768" s="111" t="n">
        <v>21</v>
      </c>
      <c r="BX1768" s="14" t="s">
        <v>2771</v>
      </c>
    </row>
    <row r="1769" customHeight="true" ht="13.5">
      <c r="A1769" s="159"/>
      <c r="C1769" s="160" t="s">
        <v>146</v>
      </c>
      <c r="D1769" s="161" t="s">
        <v>1856</v>
      </c>
      <c r="E1769" s="156"/>
      <c r="F1769" s="156"/>
      <c r="G1769" s="156"/>
      <c r="H1769" s="156"/>
      <c r="I1769" s="156"/>
      <c r="J1769" s="156"/>
      <c r="K1769" s="163"/>
    </row>
    <row r="1770">
      <c r="A1770" s="154"/>
      <c r="B1770" s="155"/>
      <c r="C1770" s="155"/>
      <c r="D1770" s="156" t="s">
        <v>1026</v>
      </c>
      <c r="E1770" s="156" t="s">
        <v>864</v>
      </c>
      <c r="F1770" s="155"/>
      <c r="G1770" s="157" t="n">
        <v>25.896</v>
      </c>
      <c r="H1770" s="155"/>
      <c r="I1770" s="155"/>
      <c r="J1770" s="155"/>
      <c r="K1770" s="146"/>
    </row>
    <row r="1771">
      <c r="A1771" s="154"/>
      <c r="B1771" s="155"/>
      <c r="C1771" s="155"/>
      <c r="D1771" s="156" t="s">
        <v>1027</v>
      </c>
      <c r="E1771" s="156" t="s">
        <v>566</v>
      </c>
      <c r="F1771" s="155"/>
      <c r="G1771" s="157" t="n">
        <v>25.416</v>
      </c>
      <c r="H1771" s="155"/>
      <c r="I1771" s="155"/>
      <c r="J1771" s="155"/>
      <c r="K1771" s="146"/>
    </row>
    <row r="1772">
      <c r="A1772" s="9" t="s">
        <v>2772</v>
      </c>
      <c r="B1772" s="10" t="s">
        <v>84</v>
      </c>
      <c r="C1772" s="10" t="s">
        <v>2508</v>
      </c>
      <c r="D1772" s="14" t="s">
        <v>2773</v>
      </c>
      <c r="E1772" s="10"/>
      <c r="F1772" s="10" t="s">
        <v>2426</v>
      </c>
      <c r="G1772" s="111">
        <f>'Stavební rozpočet'!G1772</f>
      </c>
      <c r="H1772" s="111">
        <f>'Stavební rozpočet'!H1772</f>
      </c>
      <c r="I1772" s="111">
        <f>G1772*H1772</f>
      </c>
      <c r="J1772" s="153" t="s">
        <v>134</v>
      </c>
      <c r="K1772" s="146"/>
      <c r="Z1772" s="111">
        <f>IF(AQ1772="5",BJ1772,0)</f>
      </c>
      <c r="AB1772" s="111">
        <f>IF(AQ1772="1",BH1772,0)</f>
      </c>
      <c r="AC1772" s="111">
        <f>IF(AQ1772="1",BI1772,0)</f>
      </c>
      <c r="AD1772" s="111">
        <f>IF(AQ1772="7",BH1772,0)</f>
      </c>
      <c r="AE1772" s="111">
        <f>IF(AQ1772="7",BI1772,0)</f>
      </c>
      <c r="AF1772" s="111">
        <f>IF(AQ1772="2",BH1772,0)</f>
      </c>
      <c r="AG1772" s="111">
        <f>IF(AQ1772="2",BI1772,0)</f>
      </c>
      <c r="AH1772" s="111">
        <f>IF(AQ1772="0",BJ1772,0)</f>
      </c>
      <c r="AI1772" s="132" t="s">
        <v>84</v>
      </c>
      <c r="AJ1772" s="111">
        <f>IF(AN1772=0,I1772,0)</f>
      </c>
      <c r="AK1772" s="111">
        <f>IF(AN1772=12,I1772,0)</f>
      </c>
      <c r="AL1772" s="111">
        <f>IF(AN1772=21,I1772,0)</f>
      </c>
      <c r="AN1772" s="111" t="n">
        <v>21</v>
      </c>
      <c r="AO1772" s="111">
        <f>H1772*1</f>
      </c>
      <c r="AP1772" s="111">
        <f>H1772*(1-1)</f>
      </c>
      <c r="AQ1772" s="153" t="s">
        <v>173</v>
      </c>
      <c r="AV1772" s="111">
        <f>AW1772+AX1772</f>
      </c>
      <c r="AW1772" s="111">
        <f>G1772*AO1772</f>
      </c>
      <c r="AX1772" s="111">
        <f>G1772*AP1772</f>
      </c>
      <c r="AY1772" s="153" t="s">
        <v>2763</v>
      </c>
      <c r="AZ1772" s="153" t="s">
        <v>2764</v>
      </c>
      <c r="BA1772" s="132" t="s">
        <v>137</v>
      </c>
      <c r="BC1772" s="111">
        <f>AW1772+AX1772</f>
      </c>
      <c r="BD1772" s="111">
        <f>H1772/(100-BE1772)*100</f>
      </c>
      <c r="BE1772" s="111" t="n">
        <v>0</v>
      </c>
      <c r="BF1772" s="111">
        <f>1772</f>
      </c>
      <c r="BH1772" s="111">
        <f>G1772*AO1772</f>
      </c>
      <c r="BI1772" s="111">
        <f>G1772*AP1772</f>
      </c>
      <c r="BJ1772" s="111">
        <f>G1772*H1772</f>
      </c>
      <c r="BK1772" s="111"/>
      <c r="BL1772" s="111" t="n">
        <v>781</v>
      </c>
      <c r="BW1772" s="111" t="n">
        <v>21</v>
      </c>
      <c r="BX1772" s="14" t="s">
        <v>2773</v>
      </c>
    </row>
    <row r="1773">
      <c r="A1773" s="154"/>
      <c r="B1773" s="155"/>
      <c r="C1773" s="155"/>
      <c r="D1773" s="156" t="s">
        <v>4</v>
      </c>
      <c r="E1773" s="156" t="s">
        <v>2510</v>
      </c>
      <c r="F1773" s="155"/>
      <c r="G1773" s="157" t="n">
        <v>0</v>
      </c>
      <c r="H1773" s="155"/>
      <c r="I1773" s="155"/>
      <c r="J1773" s="155"/>
      <c r="K1773" s="146"/>
    </row>
    <row r="1774">
      <c r="A1774" s="154"/>
      <c r="B1774" s="155"/>
      <c r="C1774" s="155"/>
      <c r="D1774" s="156" t="s">
        <v>2774</v>
      </c>
      <c r="E1774" s="156" t="s">
        <v>864</v>
      </c>
      <c r="F1774" s="155"/>
      <c r="G1774" s="157" t="n">
        <v>100.55808</v>
      </c>
      <c r="H1774" s="155"/>
      <c r="I1774" s="155"/>
      <c r="J1774" s="155"/>
      <c r="K1774" s="146"/>
    </row>
    <row r="1775">
      <c r="A1775" s="154"/>
      <c r="B1775" s="155"/>
      <c r="C1775" s="155"/>
      <c r="D1775" s="156" t="s">
        <v>2775</v>
      </c>
      <c r="E1775" s="156" t="s">
        <v>4</v>
      </c>
      <c r="F1775" s="155"/>
      <c r="G1775" s="157" t="n">
        <v>-13.54752</v>
      </c>
      <c r="H1775" s="155"/>
      <c r="I1775" s="155"/>
      <c r="J1775" s="155"/>
      <c r="K1775" s="146"/>
    </row>
    <row r="1776">
      <c r="A1776" s="154"/>
      <c r="B1776" s="155"/>
      <c r="C1776" s="155"/>
      <c r="D1776" s="156" t="s">
        <v>2775</v>
      </c>
      <c r="E1776" s="156" t="s">
        <v>4</v>
      </c>
      <c r="F1776" s="155"/>
      <c r="G1776" s="157" t="n">
        <v>-13.54752</v>
      </c>
      <c r="H1776" s="155"/>
      <c r="I1776" s="155"/>
      <c r="J1776" s="155"/>
      <c r="K1776" s="146"/>
    </row>
    <row r="1777">
      <c r="A1777" s="154"/>
      <c r="B1777" s="155"/>
      <c r="C1777" s="155"/>
      <c r="D1777" s="156" t="s">
        <v>2776</v>
      </c>
      <c r="E1777" s="156" t="s">
        <v>566</v>
      </c>
      <c r="F1777" s="155"/>
      <c r="G1777" s="157" t="n">
        <v>98.94528</v>
      </c>
      <c r="H1777" s="155"/>
      <c r="I1777" s="155"/>
      <c r="J1777" s="155"/>
      <c r="K1777" s="146"/>
    </row>
    <row r="1778">
      <c r="A1778" s="9" t="s">
        <v>2777</v>
      </c>
      <c r="B1778" s="10" t="s">
        <v>84</v>
      </c>
      <c r="C1778" s="10" t="s">
        <v>2778</v>
      </c>
      <c r="D1778" s="14" t="s">
        <v>2779</v>
      </c>
      <c r="E1778" s="10"/>
      <c r="F1778" s="10" t="s">
        <v>282</v>
      </c>
      <c r="G1778" s="111">
        <f>'Stavební rozpočet'!G1778</f>
      </c>
      <c r="H1778" s="111">
        <f>'Stavební rozpočet'!H1778</f>
      </c>
      <c r="I1778" s="111">
        <f>G1778*H1778</f>
      </c>
      <c r="J1778" s="153" t="s">
        <v>134</v>
      </c>
      <c r="K1778" s="146"/>
      <c r="Z1778" s="111">
        <f>IF(AQ1778="5",BJ1778,0)</f>
      </c>
      <c r="AB1778" s="111">
        <f>IF(AQ1778="1",BH1778,0)</f>
      </c>
      <c r="AC1778" s="111">
        <f>IF(AQ1778="1",BI1778,0)</f>
      </c>
      <c r="AD1778" s="111">
        <f>IF(AQ1778="7",BH1778,0)</f>
      </c>
      <c r="AE1778" s="111">
        <f>IF(AQ1778="7",BI1778,0)</f>
      </c>
      <c r="AF1778" s="111">
        <f>IF(AQ1778="2",BH1778,0)</f>
      </c>
      <c r="AG1778" s="111">
        <f>IF(AQ1778="2",BI1778,0)</f>
      </c>
      <c r="AH1778" s="111">
        <f>IF(AQ1778="0",BJ1778,0)</f>
      </c>
      <c r="AI1778" s="132" t="s">
        <v>84</v>
      </c>
      <c r="AJ1778" s="111">
        <f>IF(AN1778=0,I1778,0)</f>
      </c>
      <c r="AK1778" s="111">
        <f>IF(AN1778=12,I1778,0)</f>
      </c>
      <c r="AL1778" s="111">
        <f>IF(AN1778=21,I1778,0)</f>
      </c>
      <c r="AN1778" s="111" t="n">
        <v>21</v>
      </c>
      <c r="AO1778" s="111">
        <f>H1778*0</f>
      </c>
      <c r="AP1778" s="111">
        <f>H1778*(1-0)</f>
      </c>
      <c r="AQ1778" s="153" t="s">
        <v>173</v>
      </c>
      <c r="AV1778" s="111">
        <f>AW1778+AX1778</f>
      </c>
      <c r="AW1778" s="111">
        <f>G1778*AO1778</f>
      </c>
      <c r="AX1778" s="111">
        <f>G1778*AP1778</f>
      </c>
      <c r="AY1778" s="153" t="s">
        <v>2763</v>
      </c>
      <c r="AZ1778" s="153" t="s">
        <v>2764</v>
      </c>
      <c r="BA1778" s="132" t="s">
        <v>137</v>
      </c>
      <c r="BC1778" s="111">
        <f>AW1778+AX1778</f>
      </c>
      <c r="BD1778" s="111">
        <f>H1778/(100-BE1778)*100</f>
      </c>
      <c r="BE1778" s="111" t="n">
        <v>0</v>
      </c>
      <c r="BF1778" s="111">
        <f>1778</f>
      </c>
      <c r="BH1778" s="111">
        <f>G1778*AO1778</f>
      </c>
      <c r="BI1778" s="111">
        <f>G1778*AP1778</f>
      </c>
      <c r="BJ1778" s="111">
        <f>G1778*H1778</f>
      </c>
      <c r="BK1778" s="111"/>
      <c r="BL1778" s="111" t="n">
        <v>781</v>
      </c>
      <c r="BW1778" s="111" t="n">
        <v>21</v>
      </c>
      <c r="BX1778" s="14" t="s">
        <v>2779</v>
      </c>
    </row>
    <row r="1779">
      <c r="A1779" s="154"/>
      <c r="B1779" s="155"/>
      <c r="C1779" s="155"/>
      <c r="D1779" s="156" t="s">
        <v>2780</v>
      </c>
      <c r="E1779" s="156" t="s">
        <v>2781</v>
      </c>
      <c r="F1779" s="155"/>
      <c r="G1779" s="157" t="n">
        <v>2.4</v>
      </c>
      <c r="H1779" s="155"/>
      <c r="I1779" s="155"/>
      <c r="J1779" s="155"/>
      <c r="K1779" s="146"/>
    </row>
    <row r="1780">
      <c r="A1780" s="154"/>
      <c r="B1780" s="155"/>
      <c r="C1780" s="155"/>
      <c r="D1780" s="156" t="s">
        <v>2780</v>
      </c>
      <c r="E1780" s="156" t="s">
        <v>2782</v>
      </c>
      <c r="F1780" s="155"/>
      <c r="G1780" s="157" t="n">
        <v>2.4</v>
      </c>
      <c r="H1780" s="155"/>
      <c r="I1780" s="155"/>
      <c r="J1780" s="155"/>
      <c r="K1780" s="146"/>
    </row>
    <row r="1781">
      <c r="A1781" s="154"/>
      <c r="B1781" s="155"/>
      <c r="C1781" s="155"/>
      <c r="D1781" s="156" t="s">
        <v>2783</v>
      </c>
      <c r="E1781" s="156" t="s">
        <v>2784</v>
      </c>
      <c r="F1781" s="155"/>
      <c r="G1781" s="157" t="n">
        <v>1.2</v>
      </c>
      <c r="H1781" s="155"/>
      <c r="I1781" s="155"/>
      <c r="J1781" s="155"/>
      <c r="K1781" s="146"/>
    </row>
    <row r="1782">
      <c r="A1782" s="154"/>
      <c r="B1782" s="155"/>
      <c r="C1782" s="155"/>
      <c r="D1782" s="156" t="s">
        <v>2783</v>
      </c>
      <c r="E1782" s="156" t="s">
        <v>2785</v>
      </c>
      <c r="F1782" s="155"/>
      <c r="G1782" s="157" t="n">
        <v>1.2</v>
      </c>
      <c r="H1782" s="155"/>
      <c r="I1782" s="155"/>
      <c r="J1782" s="155"/>
      <c r="K1782" s="146"/>
    </row>
    <row r="1783">
      <c r="A1783" s="154"/>
      <c r="B1783" s="155"/>
      <c r="C1783" s="155"/>
      <c r="D1783" s="156" t="s">
        <v>2783</v>
      </c>
      <c r="E1783" s="156" t="s">
        <v>2786</v>
      </c>
      <c r="F1783" s="155"/>
      <c r="G1783" s="157" t="n">
        <v>1.2</v>
      </c>
      <c r="H1783" s="155"/>
      <c r="I1783" s="155"/>
      <c r="J1783" s="155"/>
      <c r="K1783" s="146"/>
    </row>
    <row r="1784">
      <c r="A1784" s="9" t="s">
        <v>2787</v>
      </c>
      <c r="B1784" s="10" t="s">
        <v>84</v>
      </c>
      <c r="C1784" s="10" t="s">
        <v>2788</v>
      </c>
      <c r="D1784" s="14" t="s">
        <v>2789</v>
      </c>
      <c r="E1784" s="10"/>
      <c r="F1784" s="10" t="s">
        <v>282</v>
      </c>
      <c r="G1784" s="111">
        <f>'Stavební rozpočet'!G1784</f>
      </c>
      <c r="H1784" s="111">
        <f>'Stavební rozpočet'!H1784</f>
      </c>
      <c r="I1784" s="111">
        <f>G1784*H1784</f>
      </c>
      <c r="J1784" s="153" t="s">
        <v>134</v>
      </c>
      <c r="K1784" s="146"/>
      <c r="Z1784" s="111">
        <f>IF(AQ1784="5",BJ1784,0)</f>
      </c>
      <c r="AB1784" s="111">
        <f>IF(AQ1784="1",BH1784,0)</f>
      </c>
      <c r="AC1784" s="111">
        <f>IF(AQ1784="1",BI1784,0)</f>
      </c>
      <c r="AD1784" s="111">
        <f>IF(AQ1784="7",BH1784,0)</f>
      </c>
      <c r="AE1784" s="111">
        <f>IF(AQ1784="7",BI1784,0)</f>
      </c>
      <c r="AF1784" s="111">
        <f>IF(AQ1784="2",BH1784,0)</f>
      </c>
      <c r="AG1784" s="111">
        <f>IF(AQ1784="2",BI1784,0)</f>
      </c>
      <c r="AH1784" s="111">
        <f>IF(AQ1784="0",BJ1784,0)</f>
      </c>
      <c r="AI1784" s="132" t="s">
        <v>84</v>
      </c>
      <c r="AJ1784" s="111">
        <f>IF(AN1784=0,I1784,0)</f>
      </c>
      <c r="AK1784" s="111">
        <f>IF(AN1784=12,I1784,0)</f>
      </c>
      <c r="AL1784" s="111">
        <f>IF(AN1784=21,I1784,0)</f>
      </c>
      <c r="AN1784" s="111" t="n">
        <v>21</v>
      </c>
      <c r="AO1784" s="111">
        <f>H1784*0</f>
      </c>
      <c r="AP1784" s="111">
        <f>H1784*(1-0)</f>
      </c>
      <c r="AQ1784" s="153" t="s">
        <v>173</v>
      </c>
      <c r="AV1784" s="111">
        <f>AW1784+AX1784</f>
      </c>
      <c r="AW1784" s="111">
        <f>G1784*AO1784</f>
      </c>
      <c r="AX1784" s="111">
        <f>G1784*AP1784</f>
      </c>
      <c r="AY1784" s="153" t="s">
        <v>2763</v>
      </c>
      <c r="AZ1784" s="153" t="s">
        <v>2764</v>
      </c>
      <c r="BA1784" s="132" t="s">
        <v>137</v>
      </c>
      <c r="BC1784" s="111">
        <f>AW1784+AX1784</f>
      </c>
      <c r="BD1784" s="111">
        <f>H1784/(100-BE1784)*100</f>
      </c>
      <c r="BE1784" s="111" t="n">
        <v>0</v>
      </c>
      <c r="BF1784" s="111">
        <f>1784</f>
      </c>
      <c r="BH1784" s="111">
        <f>G1784*AO1784</f>
      </c>
      <c r="BI1784" s="111">
        <f>G1784*AP1784</f>
      </c>
      <c r="BJ1784" s="111">
        <f>G1784*H1784</f>
      </c>
      <c r="BK1784" s="111"/>
      <c r="BL1784" s="111" t="n">
        <v>781</v>
      </c>
      <c r="BW1784" s="111" t="n">
        <v>21</v>
      </c>
      <c r="BX1784" s="14" t="s">
        <v>2789</v>
      </c>
    </row>
    <row r="1785">
      <c r="A1785" s="154"/>
      <c r="B1785" s="155"/>
      <c r="C1785" s="155"/>
      <c r="D1785" s="156" t="s">
        <v>2790</v>
      </c>
      <c r="E1785" s="156" t="s">
        <v>2791</v>
      </c>
      <c r="F1785" s="155"/>
      <c r="G1785" s="157" t="n">
        <v>4</v>
      </c>
      <c r="H1785" s="155"/>
      <c r="I1785" s="155"/>
      <c r="J1785" s="155"/>
      <c r="K1785" s="146"/>
    </row>
    <row r="1786">
      <c r="A1786" s="9" t="s">
        <v>2792</v>
      </c>
      <c r="B1786" s="10" t="s">
        <v>84</v>
      </c>
      <c r="C1786" s="10" t="s">
        <v>2793</v>
      </c>
      <c r="D1786" s="14" t="s">
        <v>2794</v>
      </c>
      <c r="E1786" s="10"/>
      <c r="F1786" s="10" t="s">
        <v>282</v>
      </c>
      <c r="G1786" s="111">
        <f>'Stavební rozpočet'!G1786</f>
      </c>
      <c r="H1786" s="111">
        <f>'Stavební rozpočet'!H1786</f>
      </c>
      <c r="I1786" s="111">
        <f>G1786*H1786</f>
      </c>
      <c r="J1786" s="153" t="s">
        <v>134</v>
      </c>
      <c r="K1786" s="146"/>
      <c r="Z1786" s="111">
        <f>IF(AQ1786="5",BJ1786,0)</f>
      </c>
      <c r="AB1786" s="111">
        <f>IF(AQ1786="1",BH1786,0)</f>
      </c>
      <c r="AC1786" s="111">
        <f>IF(AQ1786="1",BI1786,0)</f>
      </c>
      <c r="AD1786" s="111">
        <f>IF(AQ1786="7",BH1786,0)</f>
      </c>
      <c r="AE1786" s="111">
        <f>IF(AQ1786="7",BI1786,0)</f>
      </c>
      <c r="AF1786" s="111">
        <f>IF(AQ1786="2",BH1786,0)</f>
      </c>
      <c r="AG1786" s="111">
        <f>IF(AQ1786="2",BI1786,0)</f>
      </c>
      <c r="AH1786" s="111">
        <f>IF(AQ1786="0",BJ1786,0)</f>
      </c>
      <c r="AI1786" s="132" t="s">
        <v>84</v>
      </c>
      <c r="AJ1786" s="111">
        <f>IF(AN1786=0,I1786,0)</f>
      </c>
      <c r="AK1786" s="111">
        <f>IF(AN1786=12,I1786,0)</f>
      </c>
      <c r="AL1786" s="111">
        <f>IF(AN1786=21,I1786,0)</f>
      </c>
      <c r="AN1786" s="111" t="n">
        <v>21</v>
      </c>
      <c r="AO1786" s="111">
        <f>H1786*0</f>
      </c>
      <c r="AP1786" s="111">
        <f>H1786*(1-0)</f>
      </c>
      <c r="AQ1786" s="153" t="s">
        <v>173</v>
      </c>
      <c r="AV1786" s="111">
        <f>AW1786+AX1786</f>
      </c>
      <c r="AW1786" s="111">
        <f>G1786*AO1786</f>
      </c>
      <c r="AX1786" s="111">
        <f>G1786*AP1786</f>
      </c>
      <c r="AY1786" s="153" t="s">
        <v>2763</v>
      </c>
      <c r="AZ1786" s="153" t="s">
        <v>2764</v>
      </c>
      <c r="BA1786" s="132" t="s">
        <v>137</v>
      </c>
      <c r="BC1786" s="111">
        <f>AW1786+AX1786</f>
      </c>
      <c r="BD1786" s="111">
        <f>H1786/(100-BE1786)*100</f>
      </c>
      <c r="BE1786" s="111" t="n">
        <v>0</v>
      </c>
      <c r="BF1786" s="111">
        <f>1786</f>
      </c>
      <c r="BH1786" s="111">
        <f>G1786*AO1786</f>
      </c>
      <c r="BI1786" s="111">
        <f>G1786*AP1786</f>
      </c>
      <c r="BJ1786" s="111">
        <f>G1786*H1786</f>
      </c>
      <c r="BK1786" s="111"/>
      <c r="BL1786" s="111" t="n">
        <v>781</v>
      </c>
      <c r="BW1786" s="111" t="n">
        <v>21</v>
      </c>
      <c r="BX1786" s="14" t="s">
        <v>2794</v>
      </c>
    </row>
    <row r="1787">
      <c r="A1787" s="154"/>
      <c r="B1787" s="155"/>
      <c r="C1787" s="155"/>
      <c r="D1787" s="156" t="s">
        <v>2795</v>
      </c>
      <c r="E1787" s="156" t="s">
        <v>2784</v>
      </c>
      <c r="F1787" s="155"/>
      <c r="G1787" s="157" t="n">
        <v>0.85</v>
      </c>
      <c r="H1787" s="155"/>
      <c r="I1787" s="155"/>
      <c r="J1787" s="155"/>
      <c r="K1787" s="146"/>
    </row>
    <row r="1788">
      <c r="A1788" s="154"/>
      <c r="B1788" s="155"/>
      <c r="C1788" s="155"/>
      <c r="D1788" s="156" t="s">
        <v>2795</v>
      </c>
      <c r="E1788" s="156" t="s">
        <v>2785</v>
      </c>
      <c r="F1788" s="155"/>
      <c r="G1788" s="157" t="n">
        <v>0.85</v>
      </c>
      <c r="H1788" s="155"/>
      <c r="I1788" s="155"/>
      <c r="J1788" s="155"/>
      <c r="K1788" s="146"/>
    </row>
    <row r="1789">
      <c r="A1789" s="154"/>
      <c r="B1789" s="155"/>
      <c r="C1789" s="155"/>
      <c r="D1789" s="156" t="s">
        <v>2795</v>
      </c>
      <c r="E1789" s="156" t="s">
        <v>2786</v>
      </c>
      <c r="F1789" s="155"/>
      <c r="G1789" s="157" t="n">
        <v>0.85</v>
      </c>
      <c r="H1789" s="155"/>
      <c r="I1789" s="155"/>
      <c r="J1789" s="155"/>
      <c r="K1789" s="146"/>
    </row>
    <row r="1790">
      <c r="A1790" s="154"/>
      <c r="B1790" s="155"/>
      <c r="C1790" s="155"/>
      <c r="D1790" s="156" t="s">
        <v>2796</v>
      </c>
      <c r="E1790" s="156" t="s">
        <v>2797</v>
      </c>
      <c r="F1790" s="155"/>
      <c r="G1790" s="157" t="n">
        <v>1.25</v>
      </c>
      <c r="H1790" s="155"/>
      <c r="I1790" s="155"/>
      <c r="J1790" s="155"/>
      <c r="K1790" s="146"/>
    </row>
    <row r="1791">
      <c r="A1791" s="154"/>
      <c r="B1791" s="155"/>
      <c r="C1791" s="155"/>
      <c r="D1791" s="156" t="s">
        <v>2798</v>
      </c>
      <c r="E1791" s="156" t="s">
        <v>2799</v>
      </c>
      <c r="F1791" s="155"/>
      <c r="G1791" s="157" t="n">
        <v>1.05</v>
      </c>
      <c r="H1791" s="155"/>
      <c r="I1791" s="155"/>
      <c r="J1791" s="155"/>
      <c r="K1791" s="146"/>
    </row>
    <row r="1792">
      <c r="A1792" s="9" t="s">
        <v>2800</v>
      </c>
      <c r="B1792" s="10" t="s">
        <v>84</v>
      </c>
      <c r="C1792" s="10" t="s">
        <v>2801</v>
      </c>
      <c r="D1792" s="14" t="s">
        <v>2802</v>
      </c>
      <c r="E1792" s="10"/>
      <c r="F1792" s="10" t="s">
        <v>282</v>
      </c>
      <c r="G1792" s="111">
        <f>'Stavební rozpočet'!G1792</f>
      </c>
      <c r="H1792" s="111">
        <f>'Stavební rozpočet'!H1792</f>
      </c>
      <c r="I1792" s="111">
        <f>G1792*H1792</f>
      </c>
      <c r="J1792" s="153" t="s">
        <v>134</v>
      </c>
      <c r="K1792" s="146"/>
      <c r="Z1792" s="111">
        <f>IF(AQ1792="5",BJ1792,0)</f>
      </c>
      <c r="AB1792" s="111">
        <f>IF(AQ1792="1",BH1792,0)</f>
      </c>
      <c r="AC1792" s="111">
        <f>IF(AQ1792="1",BI1792,0)</f>
      </c>
      <c r="AD1792" s="111">
        <f>IF(AQ1792="7",BH1792,0)</f>
      </c>
      <c r="AE1792" s="111">
        <f>IF(AQ1792="7",BI1792,0)</f>
      </c>
      <c r="AF1792" s="111">
        <f>IF(AQ1792="2",BH1792,0)</f>
      </c>
      <c r="AG1792" s="111">
        <f>IF(AQ1792="2",BI1792,0)</f>
      </c>
      <c r="AH1792" s="111">
        <f>IF(AQ1792="0",BJ1792,0)</f>
      </c>
      <c r="AI1792" s="132" t="s">
        <v>84</v>
      </c>
      <c r="AJ1792" s="111">
        <f>IF(AN1792=0,I1792,0)</f>
      </c>
      <c r="AK1792" s="111">
        <f>IF(AN1792=12,I1792,0)</f>
      </c>
      <c r="AL1792" s="111">
        <f>IF(AN1792=21,I1792,0)</f>
      </c>
      <c r="AN1792" s="111" t="n">
        <v>21</v>
      </c>
      <c r="AO1792" s="111">
        <f>H1792*0</f>
      </c>
      <c r="AP1792" s="111">
        <f>H1792*(1-0)</f>
      </c>
      <c r="AQ1792" s="153" t="s">
        <v>173</v>
      </c>
      <c r="AV1792" s="111">
        <f>AW1792+AX1792</f>
      </c>
      <c r="AW1792" s="111">
        <f>G1792*AO1792</f>
      </c>
      <c r="AX1792" s="111">
        <f>G1792*AP1792</f>
      </c>
      <c r="AY1792" s="153" t="s">
        <v>2763</v>
      </c>
      <c r="AZ1792" s="153" t="s">
        <v>2764</v>
      </c>
      <c r="BA1792" s="132" t="s">
        <v>137</v>
      </c>
      <c r="BC1792" s="111">
        <f>AW1792+AX1792</f>
      </c>
      <c r="BD1792" s="111">
        <f>H1792/(100-BE1792)*100</f>
      </c>
      <c r="BE1792" s="111" t="n">
        <v>0</v>
      </c>
      <c r="BF1792" s="111">
        <f>1792</f>
      </c>
      <c r="BH1792" s="111">
        <f>G1792*AO1792</f>
      </c>
      <c r="BI1792" s="111">
        <f>G1792*AP1792</f>
      </c>
      <c r="BJ1792" s="111">
        <f>G1792*H1792</f>
      </c>
      <c r="BK1792" s="111"/>
      <c r="BL1792" s="111" t="n">
        <v>781</v>
      </c>
      <c r="BW1792" s="111" t="n">
        <v>21</v>
      </c>
      <c r="BX1792" s="14" t="s">
        <v>2802</v>
      </c>
    </row>
    <row r="1793">
      <c r="A1793" s="154"/>
      <c r="B1793" s="155"/>
      <c r="C1793" s="155"/>
      <c r="D1793" s="156" t="s">
        <v>2803</v>
      </c>
      <c r="E1793" s="156" t="s">
        <v>864</v>
      </c>
      <c r="F1793" s="155"/>
      <c r="G1793" s="157" t="n">
        <v>1.6</v>
      </c>
      <c r="H1793" s="155"/>
      <c r="I1793" s="155"/>
      <c r="J1793" s="155"/>
      <c r="K1793" s="146"/>
    </row>
    <row r="1794">
      <c r="A1794" s="154"/>
      <c r="B1794" s="155"/>
      <c r="C1794" s="155"/>
      <c r="D1794" s="156" t="s">
        <v>2803</v>
      </c>
      <c r="E1794" s="156" t="s">
        <v>566</v>
      </c>
      <c r="F1794" s="155"/>
      <c r="G1794" s="157" t="n">
        <v>1.6</v>
      </c>
      <c r="H1794" s="155"/>
      <c r="I1794" s="155"/>
      <c r="J1794" s="155"/>
      <c r="K1794" s="146"/>
    </row>
    <row r="1795">
      <c r="A1795" s="154"/>
      <c r="B1795" s="155"/>
      <c r="C1795" s="155"/>
      <c r="D1795" s="156" t="s">
        <v>2795</v>
      </c>
      <c r="E1795" s="156" t="s">
        <v>865</v>
      </c>
      <c r="F1795" s="155"/>
      <c r="G1795" s="157" t="n">
        <v>0.85</v>
      </c>
      <c r="H1795" s="155"/>
      <c r="I1795" s="155"/>
      <c r="J1795" s="155"/>
      <c r="K1795" s="146"/>
    </row>
    <row r="1796">
      <c r="A1796" s="154"/>
      <c r="B1796" s="155"/>
      <c r="C1796" s="155"/>
      <c r="D1796" s="156" t="s">
        <v>2804</v>
      </c>
      <c r="E1796" s="156" t="s">
        <v>1030</v>
      </c>
      <c r="F1796" s="155"/>
      <c r="G1796" s="157" t="n">
        <v>1.65</v>
      </c>
      <c r="H1796" s="155"/>
      <c r="I1796" s="155"/>
      <c r="J1796" s="155"/>
      <c r="K1796" s="146"/>
    </row>
    <row r="1797">
      <c r="A1797" s="154"/>
      <c r="B1797" s="155"/>
      <c r="C1797" s="155"/>
      <c r="D1797" s="156" t="s">
        <v>2805</v>
      </c>
      <c r="E1797" s="156" t="s">
        <v>1032</v>
      </c>
      <c r="F1797" s="155"/>
      <c r="G1797" s="157" t="n">
        <v>2.6</v>
      </c>
      <c r="H1797" s="155"/>
      <c r="I1797" s="155"/>
      <c r="J1797" s="155"/>
      <c r="K1797" s="146"/>
    </row>
    <row r="1798">
      <c r="A1798" s="154"/>
      <c r="B1798" s="155"/>
      <c r="C1798" s="155"/>
      <c r="D1798" s="156" t="s">
        <v>2783</v>
      </c>
      <c r="E1798" s="156" t="s">
        <v>1010</v>
      </c>
      <c r="F1798" s="155"/>
      <c r="G1798" s="157" t="n">
        <v>1.2</v>
      </c>
      <c r="H1798" s="155"/>
      <c r="I1798" s="155"/>
      <c r="J1798" s="155"/>
      <c r="K1798" s="146"/>
    </row>
    <row r="1799">
      <c r="A1799" s="9" t="s">
        <v>2806</v>
      </c>
      <c r="B1799" s="10" t="s">
        <v>84</v>
      </c>
      <c r="C1799" s="10" t="s">
        <v>2807</v>
      </c>
      <c r="D1799" s="14" t="s">
        <v>2808</v>
      </c>
      <c r="E1799" s="10"/>
      <c r="F1799" s="10" t="s">
        <v>282</v>
      </c>
      <c r="G1799" s="111">
        <f>'Stavební rozpočet'!G1799</f>
      </c>
      <c r="H1799" s="111">
        <f>'Stavební rozpočet'!H1799</f>
      </c>
      <c r="I1799" s="111">
        <f>G1799*H1799</f>
      </c>
      <c r="J1799" s="153" t="s">
        <v>134</v>
      </c>
      <c r="K1799" s="146"/>
      <c r="Z1799" s="111">
        <f>IF(AQ1799="5",BJ1799,0)</f>
      </c>
      <c r="AB1799" s="111">
        <f>IF(AQ1799="1",BH1799,0)</f>
      </c>
      <c r="AC1799" s="111">
        <f>IF(AQ1799="1",BI1799,0)</f>
      </c>
      <c r="AD1799" s="111">
        <f>IF(AQ1799="7",BH1799,0)</f>
      </c>
      <c r="AE1799" s="111">
        <f>IF(AQ1799="7",BI1799,0)</f>
      </c>
      <c r="AF1799" s="111">
        <f>IF(AQ1799="2",BH1799,0)</f>
      </c>
      <c r="AG1799" s="111">
        <f>IF(AQ1799="2",BI1799,0)</f>
      </c>
      <c r="AH1799" s="111">
        <f>IF(AQ1799="0",BJ1799,0)</f>
      </c>
      <c r="AI1799" s="132" t="s">
        <v>84</v>
      </c>
      <c r="AJ1799" s="111">
        <f>IF(AN1799=0,I1799,0)</f>
      </c>
      <c r="AK1799" s="111">
        <f>IF(AN1799=12,I1799,0)</f>
      </c>
      <c r="AL1799" s="111">
        <f>IF(AN1799=21,I1799,0)</f>
      </c>
      <c r="AN1799" s="111" t="n">
        <v>21</v>
      </c>
      <c r="AO1799" s="111">
        <f>H1799*0</f>
      </c>
      <c r="AP1799" s="111">
        <f>H1799*(1-0)</f>
      </c>
      <c r="AQ1799" s="153" t="s">
        <v>173</v>
      </c>
      <c r="AV1799" s="111">
        <f>AW1799+AX1799</f>
      </c>
      <c r="AW1799" s="111">
        <f>G1799*AO1799</f>
      </c>
      <c r="AX1799" s="111">
        <f>G1799*AP1799</f>
      </c>
      <c r="AY1799" s="153" t="s">
        <v>2763</v>
      </c>
      <c r="AZ1799" s="153" t="s">
        <v>2764</v>
      </c>
      <c r="BA1799" s="132" t="s">
        <v>137</v>
      </c>
      <c r="BC1799" s="111">
        <f>AW1799+AX1799</f>
      </c>
      <c r="BD1799" s="111">
        <f>H1799/(100-BE1799)*100</f>
      </c>
      <c r="BE1799" s="111" t="n">
        <v>0</v>
      </c>
      <c r="BF1799" s="111">
        <f>1799</f>
      </c>
      <c r="BH1799" s="111">
        <f>G1799*AO1799</f>
      </c>
      <c r="BI1799" s="111">
        <f>G1799*AP1799</f>
      </c>
      <c r="BJ1799" s="111">
        <f>G1799*H1799</f>
      </c>
      <c r="BK1799" s="111"/>
      <c r="BL1799" s="111" t="n">
        <v>781</v>
      </c>
      <c r="BW1799" s="111" t="n">
        <v>21</v>
      </c>
      <c r="BX1799" s="14" t="s">
        <v>2808</v>
      </c>
    </row>
    <row r="1800">
      <c r="A1800" s="154"/>
      <c r="B1800" s="155"/>
      <c r="C1800" s="155"/>
      <c r="D1800" s="156" t="s">
        <v>2034</v>
      </c>
      <c r="E1800" s="156" t="s">
        <v>2809</v>
      </c>
      <c r="F1800" s="155"/>
      <c r="G1800" s="157" t="n">
        <v>3.1</v>
      </c>
      <c r="H1800" s="155"/>
      <c r="I1800" s="155"/>
      <c r="J1800" s="155"/>
      <c r="K1800" s="146"/>
    </row>
    <row r="1801">
      <c r="A1801" s="9" t="s">
        <v>2810</v>
      </c>
      <c r="B1801" s="10" t="s">
        <v>84</v>
      </c>
      <c r="C1801" s="10" t="s">
        <v>2811</v>
      </c>
      <c r="D1801" s="14" t="s">
        <v>2812</v>
      </c>
      <c r="E1801" s="10"/>
      <c r="F1801" s="10" t="s">
        <v>145</v>
      </c>
      <c r="G1801" s="111">
        <f>'Stavební rozpočet'!G1801</f>
      </c>
      <c r="H1801" s="111">
        <f>'Stavební rozpočet'!H1801</f>
      </c>
      <c r="I1801" s="111">
        <f>G1801*H1801</f>
      </c>
      <c r="J1801" s="153" t="s">
        <v>134</v>
      </c>
      <c r="K1801" s="146"/>
      <c r="Z1801" s="111">
        <f>IF(AQ1801="5",BJ1801,0)</f>
      </c>
      <c r="AB1801" s="111">
        <f>IF(AQ1801="1",BH1801,0)</f>
      </c>
      <c r="AC1801" s="111">
        <f>IF(AQ1801="1",BI1801,0)</f>
      </c>
      <c r="AD1801" s="111">
        <f>IF(AQ1801="7",BH1801,0)</f>
      </c>
      <c r="AE1801" s="111">
        <f>IF(AQ1801="7",BI1801,0)</f>
      </c>
      <c r="AF1801" s="111">
        <f>IF(AQ1801="2",BH1801,0)</f>
      </c>
      <c r="AG1801" s="111">
        <f>IF(AQ1801="2",BI1801,0)</f>
      </c>
      <c r="AH1801" s="111">
        <f>IF(AQ1801="0",BJ1801,0)</f>
      </c>
      <c r="AI1801" s="132" t="s">
        <v>84</v>
      </c>
      <c r="AJ1801" s="111">
        <f>IF(AN1801=0,I1801,0)</f>
      </c>
      <c r="AK1801" s="111">
        <f>IF(AN1801=12,I1801,0)</f>
      </c>
      <c r="AL1801" s="111">
        <f>IF(AN1801=21,I1801,0)</f>
      </c>
      <c r="AN1801" s="111" t="n">
        <v>21</v>
      </c>
      <c r="AO1801" s="111">
        <f>H1801*1</f>
      </c>
      <c r="AP1801" s="111">
        <f>H1801*(1-1)</f>
      </c>
      <c r="AQ1801" s="153" t="s">
        <v>173</v>
      </c>
      <c r="AV1801" s="111">
        <f>AW1801+AX1801</f>
      </c>
      <c r="AW1801" s="111">
        <f>G1801*AO1801</f>
      </c>
      <c r="AX1801" s="111">
        <f>G1801*AP1801</f>
      </c>
      <c r="AY1801" s="153" t="s">
        <v>2763</v>
      </c>
      <c r="AZ1801" s="153" t="s">
        <v>2764</v>
      </c>
      <c r="BA1801" s="132" t="s">
        <v>137</v>
      </c>
      <c r="BC1801" s="111">
        <f>AW1801+AX1801</f>
      </c>
      <c r="BD1801" s="111">
        <f>H1801/(100-BE1801)*100</f>
      </c>
      <c r="BE1801" s="111" t="n">
        <v>0</v>
      </c>
      <c r="BF1801" s="111">
        <f>1801</f>
      </c>
      <c r="BH1801" s="111">
        <f>G1801*AO1801</f>
      </c>
      <c r="BI1801" s="111">
        <f>G1801*AP1801</f>
      </c>
      <c r="BJ1801" s="111">
        <f>G1801*H1801</f>
      </c>
      <c r="BK1801" s="111"/>
      <c r="BL1801" s="111" t="n">
        <v>781</v>
      </c>
      <c r="BW1801" s="111" t="n">
        <v>21</v>
      </c>
      <c r="BX1801" s="14" t="s">
        <v>2812</v>
      </c>
    </row>
    <row r="1802">
      <c r="A1802" s="154"/>
      <c r="B1802" s="155"/>
      <c r="C1802" s="155"/>
      <c r="D1802" s="156" t="s">
        <v>4</v>
      </c>
      <c r="E1802" s="156" t="s">
        <v>2813</v>
      </c>
      <c r="F1802" s="155"/>
      <c r="G1802" s="157" t="n">
        <v>0</v>
      </c>
      <c r="H1802" s="155"/>
      <c r="I1802" s="155"/>
      <c r="J1802" s="155"/>
      <c r="K1802" s="146"/>
    </row>
    <row r="1803">
      <c r="A1803" s="154"/>
      <c r="B1803" s="155"/>
      <c r="C1803" s="155"/>
      <c r="D1803" s="156" t="s">
        <v>2814</v>
      </c>
      <c r="E1803" s="156" t="s">
        <v>864</v>
      </c>
      <c r="F1803" s="155"/>
      <c r="G1803" s="157" t="n">
        <v>26.088</v>
      </c>
      <c r="H1803" s="155"/>
      <c r="I1803" s="155"/>
      <c r="J1803" s="155"/>
      <c r="K1803" s="146"/>
    </row>
    <row r="1804">
      <c r="A1804" s="154"/>
      <c r="B1804" s="155"/>
      <c r="C1804" s="155"/>
      <c r="D1804" s="156" t="s">
        <v>2815</v>
      </c>
      <c r="E1804" s="156" t="s">
        <v>566</v>
      </c>
      <c r="F1804" s="155"/>
      <c r="G1804" s="157" t="n">
        <v>25.608</v>
      </c>
      <c r="H1804" s="155"/>
      <c r="I1804" s="155"/>
      <c r="J1804" s="155"/>
      <c r="K1804" s="146"/>
    </row>
    <row r="1805">
      <c r="A1805" s="154"/>
      <c r="B1805" s="155"/>
      <c r="C1805" s="155"/>
      <c r="D1805" s="156" t="s">
        <v>1028</v>
      </c>
      <c r="E1805" s="156" t="s">
        <v>865</v>
      </c>
      <c r="F1805" s="155"/>
      <c r="G1805" s="157" t="n">
        <v>18.342</v>
      </c>
      <c r="H1805" s="155"/>
      <c r="I1805" s="155"/>
      <c r="J1805" s="155"/>
      <c r="K1805" s="146"/>
    </row>
    <row r="1806">
      <c r="A1806" s="154"/>
      <c r="B1806" s="155"/>
      <c r="C1806" s="155"/>
      <c r="D1806" s="156" t="s">
        <v>4</v>
      </c>
      <c r="E1806" s="156" t="s">
        <v>2816</v>
      </c>
      <c r="F1806" s="155"/>
      <c r="G1806" s="157" t="n">
        <v>0</v>
      </c>
      <c r="H1806" s="155"/>
      <c r="I1806" s="155"/>
      <c r="J1806" s="155"/>
      <c r="K1806" s="146"/>
    </row>
    <row r="1807">
      <c r="A1807" s="154"/>
      <c r="B1807" s="155"/>
      <c r="C1807" s="155"/>
      <c r="D1807" s="156" t="s">
        <v>1029</v>
      </c>
      <c r="E1807" s="156" t="s">
        <v>1030</v>
      </c>
      <c r="F1807" s="155"/>
      <c r="G1807" s="157" t="n">
        <v>17.236</v>
      </c>
      <c r="H1807" s="155"/>
      <c r="I1807" s="155"/>
      <c r="J1807" s="155"/>
      <c r="K1807" s="146"/>
    </row>
    <row r="1808">
      <c r="A1808" s="154"/>
      <c r="B1808" s="155"/>
      <c r="C1808" s="155"/>
      <c r="D1808" s="156" t="s">
        <v>1031</v>
      </c>
      <c r="E1808" s="156" t="s">
        <v>1032</v>
      </c>
      <c r="F1808" s="155"/>
      <c r="G1808" s="157" t="n">
        <v>25.429</v>
      </c>
      <c r="H1808" s="155"/>
      <c r="I1808" s="155"/>
      <c r="J1808" s="155"/>
      <c r="K1808" s="146"/>
    </row>
    <row r="1809">
      <c r="A1809" s="154"/>
      <c r="B1809" s="155"/>
      <c r="C1809" s="155"/>
      <c r="D1809" s="156" t="s">
        <v>1033</v>
      </c>
      <c r="E1809" s="156" t="s">
        <v>1034</v>
      </c>
      <c r="F1809" s="155"/>
      <c r="G1809" s="157" t="n">
        <v>12.973</v>
      </c>
      <c r="H1809" s="155"/>
      <c r="I1809" s="155"/>
      <c r="J1809" s="155"/>
      <c r="K1809" s="146"/>
    </row>
    <row r="1810">
      <c r="A1810" s="154"/>
      <c r="B1810" s="155"/>
      <c r="C1810" s="155"/>
      <c r="D1810" s="156" t="s">
        <v>1035</v>
      </c>
      <c r="E1810" s="156" t="s">
        <v>1008</v>
      </c>
      <c r="F1810" s="155"/>
      <c r="G1810" s="157" t="n">
        <v>15.441</v>
      </c>
      <c r="H1810" s="155"/>
      <c r="I1810" s="155"/>
      <c r="J1810" s="155"/>
      <c r="K1810" s="146"/>
    </row>
    <row r="1811">
      <c r="A1811" s="154"/>
      <c r="B1811" s="155"/>
      <c r="C1811" s="155"/>
      <c r="D1811" s="156" t="s">
        <v>1036</v>
      </c>
      <c r="E1811" s="156" t="s">
        <v>1010</v>
      </c>
      <c r="F1811" s="155"/>
      <c r="G1811" s="157" t="n">
        <v>16.061</v>
      </c>
      <c r="H1811" s="155"/>
      <c r="I1811" s="155"/>
      <c r="J1811" s="155"/>
      <c r="K1811" s="146"/>
    </row>
    <row r="1812">
      <c r="A1812" s="154"/>
      <c r="B1812" s="155"/>
      <c r="C1812" s="155"/>
      <c r="D1812" s="156" t="s">
        <v>4</v>
      </c>
      <c r="E1812" s="156" t="s">
        <v>2817</v>
      </c>
      <c r="F1812" s="155"/>
      <c r="G1812" s="157" t="n">
        <v>0</v>
      </c>
      <c r="H1812" s="155"/>
      <c r="I1812" s="155"/>
      <c r="J1812" s="155"/>
      <c r="K1812" s="146"/>
    </row>
    <row r="1813">
      <c r="A1813" s="154"/>
      <c r="B1813" s="155"/>
      <c r="C1813" s="155"/>
      <c r="D1813" s="156" t="s">
        <v>2818</v>
      </c>
      <c r="E1813" s="156" t="s">
        <v>2781</v>
      </c>
      <c r="F1813" s="155"/>
      <c r="G1813" s="157" t="n">
        <v>0.432</v>
      </c>
      <c r="H1813" s="155"/>
      <c r="I1813" s="155"/>
      <c r="J1813" s="155"/>
      <c r="K1813" s="146"/>
    </row>
    <row r="1814">
      <c r="A1814" s="154"/>
      <c r="B1814" s="155"/>
      <c r="C1814" s="155"/>
      <c r="D1814" s="156" t="s">
        <v>2818</v>
      </c>
      <c r="E1814" s="156" t="s">
        <v>2782</v>
      </c>
      <c r="F1814" s="155"/>
      <c r="G1814" s="157" t="n">
        <v>0.432</v>
      </c>
      <c r="H1814" s="155"/>
      <c r="I1814" s="155"/>
      <c r="J1814" s="155"/>
      <c r="K1814" s="146"/>
    </row>
    <row r="1815">
      <c r="A1815" s="154"/>
      <c r="B1815" s="155"/>
      <c r="C1815" s="155"/>
      <c r="D1815" s="156" t="s">
        <v>2819</v>
      </c>
      <c r="E1815" s="156" t="s">
        <v>2784</v>
      </c>
      <c r="F1815" s="155"/>
      <c r="G1815" s="157" t="n">
        <v>0.18</v>
      </c>
      <c r="H1815" s="155"/>
      <c r="I1815" s="155"/>
      <c r="J1815" s="155"/>
      <c r="K1815" s="146"/>
    </row>
    <row r="1816">
      <c r="A1816" s="154"/>
      <c r="B1816" s="155"/>
      <c r="C1816" s="155"/>
      <c r="D1816" s="156" t="s">
        <v>2819</v>
      </c>
      <c r="E1816" s="156" t="s">
        <v>2785</v>
      </c>
      <c r="F1816" s="155"/>
      <c r="G1816" s="157" t="n">
        <v>0.18</v>
      </c>
      <c r="H1816" s="155"/>
      <c r="I1816" s="155"/>
      <c r="J1816" s="155"/>
      <c r="K1816" s="146"/>
    </row>
    <row r="1817">
      <c r="A1817" s="154"/>
      <c r="B1817" s="155"/>
      <c r="C1817" s="155"/>
      <c r="D1817" s="156" t="s">
        <v>2819</v>
      </c>
      <c r="E1817" s="156" t="s">
        <v>2786</v>
      </c>
      <c r="F1817" s="155"/>
      <c r="G1817" s="157" t="n">
        <v>0.18</v>
      </c>
      <c r="H1817" s="155"/>
      <c r="I1817" s="155"/>
      <c r="J1817" s="155"/>
      <c r="K1817" s="146"/>
    </row>
    <row r="1818">
      <c r="A1818" s="154"/>
      <c r="B1818" s="155"/>
      <c r="C1818" s="155"/>
      <c r="D1818" s="156" t="s">
        <v>2820</v>
      </c>
      <c r="E1818" s="156" t="s">
        <v>2791</v>
      </c>
      <c r="F1818" s="155"/>
      <c r="G1818" s="157" t="n">
        <v>0.8</v>
      </c>
      <c r="H1818" s="155"/>
      <c r="I1818" s="155"/>
      <c r="J1818" s="155"/>
      <c r="K1818" s="146"/>
    </row>
    <row r="1819">
      <c r="A1819" s="154"/>
      <c r="B1819" s="155"/>
      <c r="C1819" s="155"/>
      <c r="D1819" s="156" t="s">
        <v>2821</v>
      </c>
      <c r="E1819" s="156" t="s">
        <v>1730</v>
      </c>
      <c r="F1819" s="155"/>
      <c r="G1819" s="157" t="n">
        <v>16.23895</v>
      </c>
      <c r="H1819" s="155"/>
      <c r="I1819" s="155"/>
      <c r="J1819" s="155"/>
      <c r="K1819" s="146"/>
    </row>
    <row r="1820">
      <c r="A1820" s="154"/>
      <c r="B1820" s="155"/>
      <c r="C1820" s="155"/>
      <c r="D1820" s="156" t="s">
        <v>2822</v>
      </c>
      <c r="E1820" s="156" t="s">
        <v>2784</v>
      </c>
      <c r="F1820" s="155"/>
      <c r="G1820" s="157" t="n">
        <v>0.1275</v>
      </c>
      <c r="H1820" s="155"/>
      <c r="I1820" s="155"/>
      <c r="J1820" s="155"/>
      <c r="K1820" s="146"/>
    </row>
    <row r="1821">
      <c r="A1821" s="154"/>
      <c r="B1821" s="155"/>
      <c r="C1821" s="155"/>
      <c r="D1821" s="156" t="s">
        <v>2822</v>
      </c>
      <c r="E1821" s="156" t="s">
        <v>2785</v>
      </c>
      <c r="F1821" s="155"/>
      <c r="G1821" s="157" t="n">
        <v>0.1275</v>
      </c>
      <c r="H1821" s="155"/>
      <c r="I1821" s="155"/>
      <c r="J1821" s="155"/>
      <c r="K1821" s="146"/>
    </row>
    <row r="1822">
      <c r="A1822" s="154"/>
      <c r="B1822" s="155"/>
      <c r="C1822" s="155"/>
      <c r="D1822" s="156" t="s">
        <v>2822</v>
      </c>
      <c r="E1822" s="156" t="s">
        <v>2786</v>
      </c>
      <c r="F1822" s="155"/>
      <c r="G1822" s="157" t="n">
        <v>0.1275</v>
      </c>
      <c r="H1822" s="155"/>
      <c r="I1822" s="155"/>
      <c r="J1822" s="155"/>
      <c r="K1822" s="146"/>
    </row>
    <row r="1823">
      <c r="A1823" s="154"/>
      <c r="B1823" s="155"/>
      <c r="C1823" s="155"/>
      <c r="D1823" s="156" t="s">
        <v>2823</v>
      </c>
      <c r="E1823" s="156" t="s">
        <v>2797</v>
      </c>
      <c r="F1823" s="155"/>
      <c r="G1823" s="157" t="n">
        <v>0.1875</v>
      </c>
      <c r="H1823" s="155"/>
      <c r="I1823" s="155"/>
      <c r="J1823" s="155"/>
      <c r="K1823" s="146"/>
    </row>
    <row r="1824">
      <c r="A1824" s="154"/>
      <c r="B1824" s="155"/>
      <c r="C1824" s="155"/>
      <c r="D1824" s="156" t="s">
        <v>2824</v>
      </c>
      <c r="E1824" s="156" t="s">
        <v>2799</v>
      </c>
      <c r="F1824" s="155"/>
      <c r="G1824" s="157" t="n">
        <v>0.1575</v>
      </c>
      <c r="H1824" s="155"/>
      <c r="I1824" s="155"/>
      <c r="J1824" s="155"/>
      <c r="K1824" s="146"/>
    </row>
    <row r="1825">
      <c r="A1825" s="154"/>
      <c r="B1825" s="155"/>
      <c r="C1825" s="155"/>
      <c r="D1825" s="156" t="s">
        <v>2825</v>
      </c>
      <c r="E1825" s="156" t="s">
        <v>864</v>
      </c>
      <c r="F1825" s="155"/>
      <c r="G1825" s="157" t="n">
        <v>0.384</v>
      </c>
      <c r="H1825" s="155"/>
      <c r="I1825" s="155"/>
      <c r="J1825" s="155"/>
      <c r="K1825" s="146"/>
    </row>
    <row r="1826">
      <c r="A1826" s="154"/>
      <c r="B1826" s="155"/>
      <c r="C1826" s="155"/>
      <c r="D1826" s="156" t="s">
        <v>2825</v>
      </c>
      <c r="E1826" s="156" t="s">
        <v>566</v>
      </c>
      <c r="F1826" s="155"/>
      <c r="G1826" s="157" t="n">
        <v>0.384</v>
      </c>
      <c r="H1826" s="155"/>
      <c r="I1826" s="155"/>
      <c r="J1826" s="155"/>
      <c r="K1826" s="146"/>
    </row>
    <row r="1827">
      <c r="A1827" s="154"/>
      <c r="B1827" s="155"/>
      <c r="C1827" s="155"/>
      <c r="D1827" s="156" t="s">
        <v>2826</v>
      </c>
      <c r="E1827" s="156" t="s">
        <v>865</v>
      </c>
      <c r="F1827" s="155"/>
      <c r="G1827" s="157" t="n">
        <v>0.204</v>
      </c>
      <c r="H1827" s="155"/>
      <c r="I1827" s="155"/>
      <c r="J1827" s="155"/>
      <c r="K1827" s="146"/>
    </row>
    <row r="1828">
      <c r="A1828" s="154"/>
      <c r="B1828" s="155"/>
      <c r="C1828" s="155"/>
      <c r="D1828" s="156" t="s">
        <v>2827</v>
      </c>
      <c r="E1828" s="156" t="s">
        <v>1030</v>
      </c>
      <c r="F1828" s="155"/>
      <c r="G1828" s="157" t="n">
        <v>0.396</v>
      </c>
      <c r="H1828" s="155"/>
      <c r="I1828" s="155"/>
      <c r="J1828" s="155"/>
      <c r="K1828" s="146"/>
    </row>
    <row r="1829">
      <c r="A1829" s="154"/>
      <c r="B1829" s="155"/>
      <c r="C1829" s="155"/>
      <c r="D1829" s="156" t="s">
        <v>2828</v>
      </c>
      <c r="E1829" s="156" t="s">
        <v>1032</v>
      </c>
      <c r="F1829" s="155"/>
      <c r="G1829" s="157" t="n">
        <v>0.624</v>
      </c>
      <c r="H1829" s="155"/>
      <c r="I1829" s="155"/>
      <c r="J1829" s="155"/>
      <c r="K1829" s="146"/>
    </row>
    <row r="1830">
      <c r="A1830" s="154"/>
      <c r="B1830" s="155"/>
      <c r="C1830" s="155"/>
      <c r="D1830" s="156" t="s">
        <v>2829</v>
      </c>
      <c r="E1830" s="156" t="s">
        <v>1010</v>
      </c>
      <c r="F1830" s="155"/>
      <c r="G1830" s="157" t="n">
        <v>0.288</v>
      </c>
      <c r="H1830" s="155"/>
      <c r="I1830" s="155"/>
      <c r="J1830" s="155"/>
      <c r="K1830" s="146"/>
    </row>
    <row r="1831">
      <c r="A1831" s="9" t="s">
        <v>2830</v>
      </c>
      <c r="B1831" s="10" t="s">
        <v>84</v>
      </c>
      <c r="C1831" s="10" t="s">
        <v>2548</v>
      </c>
      <c r="D1831" s="14" t="s">
        <v>2549</v>
      </c>
      <c r="E1831" s="10"/>
      <c r="F1831" s="10" t="s">
        <v>145</v>
      </c>
      <c r="G1831" s="111">
        <f>'Stavební rozpočet'!G1831</f>
      </c>
      <c r="H1831" s="111">
        <f>'Stavební rozpočet'!H1831</f>
      </c>
      <c r="I1831" s="111">
        <f>G1831*H1831</f>
      </c>
      <c r="J1831" s="153" t="s">
        <v>134</v>
      </c>
      <c r="K1831" s="146"/>
      <c r="Z1831" s="111">
        <f>IF(AQ1831="5",BJ1831,0)</f>
      </c>
      <c r="AB1831" s="111">
        <f>IF(AQ1831="1",BH1831,0)</f>
      </c>
      <c r="AC1831" s="111">
        <f>IF(AQ1831="1",BI1831,0)</f>
      </c>
      <c r="AD1831" s="111">
        <f>IF(AQ1831="7",BH1831,0)</f>
      </c>
      <c r="AE1831" s="111">
        <f>IF(AQ1831="7",BI1831,0)</f>
      </c>
      <c r="AF1831" s="111">
        <f>IF(AQ1831="2",BH1831,0)</f>
      </c>
      <c r="AG1831" s="111">
        <f>IF(AQ1831="2",BI1831,0)</f>
      </c>
      <c r="AH1831" s="111">
        <f>IF(AQ1831="0",BJ1831,0)</f>
      </c>
      <c r="AI1831" s="132" t="s">
        <v>84</v>
      </c>
      <c r="AJ1831" s="111">
        <f>IF(AN1831=0,I1831,0)</f>
      </c>
      <c r="AK1831" s="111">
        <f>IF(AN1831=12,I1831,0)</f>
      </c>
      <c r="AL1831" s="111">
        <f>IF(AN1831=21,I1831,0)</f>
      </c>
      <c r="AN1831" s="111" t="n">
        <v>21</v>
      </c>
      <c r="AO1831" s="111">
        <f>H1831*0.999999755</f>
      </c>
      <c r="AP1831" s="111">
        <f>H1831*(1-0.999999755)</f>
      </c>
      <c r="AQ1831" s="153" t="s">
        <v>173</v>
      </c>
      <c r="AV1831" s="111">
        <f>AW1831+AX1831</f>
      </c>
      <c r="AW1831" s="111">
        <f>G1831*AO1831</f>
      </c>
      <c r="AX1831" s="111">
        <f>G1831*AP1831</f>
      </c>
      <c r="AY1831" s="153" t="s">
        <v>2763</v>
      </c>
      <c r="AZ1831" s="153" t="s">
        <v>2764</v>
      </c>
      <c r="BA1831" s="132" t="s">
        <v>137</v>
      </c>
      <c r="BC1831" s="111">
        <f>AW1831+AX1831</f>
      </c>
      <c r="BD1831" s="111">
        <f>H1831/(100-BE1831)*100</f>
      </c>
      <c r="BE1831" s="111" t="n">
        <v>0</v>
      </c>
      <c r="BF1831" s="111">
        <f>1831</f>
      </c>
      <c r="BH1831" s="111">
        <f>G1831*AO1831</f>
      </c>
      <c r="BI1831" s="111">
        <f>G1831*AP1831</f>
      </c>
      <c r="BJ1831" s="111">
        <f>G1831*H1831</f>
      </c>
      <c r="BK1831" s="111"/>
      <c r="BL1831" s="111" t="n">
        <v>781</v>
      </c>
      <c r="BW1831" s="111" t="n">
        <v>21</v>
      </c>
      <c r="BX1831" s="14" t="s">
        <v>2549</v>
      </c>
    </row>
    <row r="1832" customHeight="true" ht="13.5">
      <c r="A1832" s="159"/>
      <c r="C1832" s="160" t="s">
        <v>146</v>
      </c>
      <c r="D1832" s="161" t="s">
        <v>2831</v>
      </c>
      <c r="E1832" s="156"/>
      <c r="F1832" s="156"/>
      <c r="G1832" s="156"/>
      <c r="H1832" s="156"/>
      <c r="I1832" s="156"/>
      <c r="J1832" s="156"/>
      <c r="K1832" s="163"/>
    </row>
    <row r="1833">
      <c r="A1833" s="154"/>
      <c r="B1833" s="155"/>
      <c r="C1833" s="155"/>
      <c r="D1833" s="156" t="s">
        <v>1026</v>
      </c>
      <c r="E1833" s="156" t="s">
        <v>864</v>
      </c>
      <c r="F1833" s="155"/>
      <c r="G1833" s="157" t="n">
        <v>25.896</v>
      </c>
      <c r="H1833" s="155"/>
      <c r="I1833" s="155"/>
      <c r="J1833" s="155"/>
      <c r="K1833" s="146"/>
    </row>
    <row r="1834">
      <c r="A1834" s="154"/>
      <c r="B1834" s="155"/>
      <c r="C1834" s="155"/>
      <c r="D1834" s="156" t="s">
        <v>1027</v>
      </c>
      <c r="E1834" s="156" t="s">
        <v>566</v>
      </c>
      <c r="F1834" s="155"/>
      <c r="G1834" s="157" t="n">
        <v>25.416</v>
      </c>
      <c r="H1834" s="155"/>
      <c r="I1834" s="155"/>
      <c r="J1834" s="155"/>
      <c r="K1834" s="146"/>
    </row>
    <row r="1835">
      <c r="A1835" s="154"/>
      <c r="B1835" s="155"/>
      <c r="C1835" s="155"/>
      <c r="D1835" s="156" t="s">
        <v>1028</v>
      </c>
      <c r="E1835" s="156" t="s">
        <v>865</v>
      </c>
      <c r="F1835" s="155"/>
      <c r="G1835" s="157" t="n">
        <v>18.342</v>
      </c>
      <c r="H1835" s="155"/>
      <c r="I1835" s="155"/>
      <c r="J1835" s="155"/>
      <c r="K1835" s="146"/>
    </row>
    <row r="1836">
      <c r="A1836" s="154"/>
      <c r="B1836" s="155"/>
      <c r="C1836" s="155"/>
      <c r="D1836" s="156" t="s">
        <v>1029</v>
      </c>
      <c r="E1836" s="156" t="s">
        <v>1030</v>
      </c>
      <c r="F1836" s="155"/>
      <c r="G1836" s="157" t="n">
        <v>17.236</v>
      </c>
      <c r="H1836" s="155"/>
      <c r="I1836" s="155"/>
      <c r="J1836" s="155"/>
      <c r="K1836" s="146"/>
    </row>
    <row r="1837">
      <c r="A1837" s="154"/>
      <c r="B1837" s="155"/>
      <c r="C1837" s="155"/>
      <c r="D1837" s="156" t="s">
        <v>1031</v>
      </c>
      <c r="E1837" s="156" t="s">
        <v>1032</v>
      </c>
      <c r="F1837" s="155"/>
      <c r="G1837" s="157" t="n">
        <v>25.429</v>
      </c>
      <c r="H1837" s="155"/>
      <c r="I1837" s="155"/>
      <c r="J1837" s="155"/>
      <c r="K1837" s="146"/>
    </row>
    <row r="1838">
      <c r="A1838" s="154"/>
      <c r="B1838" s="155"/>
      <c r="C1838" s="155"/>
      <c r="D1838" s="156" t="s">
        <v>1033</v>
      </c>
      <c r="E1838" s="156" t="s">
        <v>1034</v>
      </c>
      <c r="F1838" s="155"/>
      <c r="G1838" s="157" t="n">
        <v>12.973</v>
      </c>
      <c r="H1838" s="155"/>
      <c r="I1838" s="155"/>
      <c r="J1838" s="155"/>
      <c r="K1838" s="146"/>
    </row>
    <row r="1839">
      <c r="A1839" s="154"/>
      <c r="B1839" s="155"/>
      <c r="C1839" s="155"/>
      <c r="D1839" s="156" t="s">
        <v>1035</v>
      </c>
      <c r="E1839" s="156" t="s">
        <v>1008</v>
      </c>
      <c r="F1839" s="155"/>
      <c r="G1839" s="157" t="n">
        <v>15.441</v>
      </c>
      <c r="H1839" s="155"/>
      <c r="I1839" s="155"/>
      <c r="J1839" s="155"/>
      <c r="K1839" s="146"/>
    </row>
    <row r="1840">
      <c r="A1840" s="154"/>
      <c r="B1840" s="155"/>
      <c r="C1840" s="155"/>
      <c r="D1840" s="156" t="s">
        <v>1036</v>
      </c>
      <c r="E1840" s="156" t="s">
        <v>1010</v>
      </c>
      <c r="F1840" s="155"/>
      <c r="G1840" s="157" t="n">
        <v>16.061</v>
      </c>
      <c r="H1840" s="155"/>
      <c r="I1840" s="155"/>
      <c r="J1840" s="155"/>
      <c r="K1840" s="146"/>
    </row>
    <row r="1841">
      <c r="A1841" s="9" t="s">
        <v>2832</v>
      </c>
      <c r="B1841" s="10" t="s">
        <v>84</v>
      </c>
      <c r="C1841" s="10" t="s">
        <v>2833</v>
      </c>
      <c r="D1841" s="14" t="s">
        <v>2834</v>
      </c>
      <c r="E1841" s="10"/>
      <c r="F1841" s="10" t="s">
        <v>145</v>
      </c>
      <c r="G1841" s="111">
        <f>'Stavební rozpočet'!G1841</f>
      </c>
      <c r="H1841" s="111">
        <f>'Stavební rozpočet'!H1841</f>
      </c>
      <c r="I1841" s="111">
        <f>G1841*H1841</f>
      </c>
      <c r="J1841" s="153" t="s">
        <v>134</v>
      </c>
      <c r="K1841" s="146"/>
      <c r="Z1841" s="111">
        <f>IF(AQ1841="5",BJ1841,0)</f>
      </c>
      <c r="AB1841" s="111">
        <f>IF(AQ1841="1",BH1841,0)</f>
      </c>
      <c r="AC1841" s="111">
        <f>IF(AQ1841="1",BI1841,0)</f>
      </c>
      <c r="AD1841" s="111">
        <f>IF(AQ1841="7",BH1841,0)</f>
      </c>
      <c r="AE1841" s="111">
        <f>IF(AQ1841="7",BI1841,0)</f>
      </c>
      <c r="AF1841" s="111">
        <f>IF(AQ1841="2",BH1841,0)</f>
      </c>
      <c r="AG1841" s="111">
        <f>IF(AQ1841="2",BI1841,0)</f>
      </c>
      <c r="AH1841" s="111">
        <f>IF(AQ1841="0",BJ1841,0)</f>
      </c>
      <c r="AI1841" s="132" t="s">
        <v>84</v>
      </c>
      <c r="AJ1841" s="111">
        <f>IF(AN1841=0,I1841,0)</f>
      </c>
      <c r="AK1841" s="111">
        <f>IF(AN1841=12,I1841,0)</f>
      </c>
      <c r="AL1841" s="111">
        <f>IF(AN1841=21,I1841,0)</f>
      </c>
      <c r="AN1841" s="111" t="n">
        <v>21</v>
      </c>
      <c r="AO1841" s="111">
        <f>H1841*0</f>
      </c>
      <c r="AP1841" s="111">
        <f>H1841*(1-0)</f>
      </c>
      <c r="AQ1841" s="153" t="s">
        <v>173</v>
      </c>
      <c r="AV1841" s="111">
        <f>AW1841+AX1841</f>
      </c>
      <c r="AW1841" s="111">
        <f>G1841*AO1841</f>
      </c>
      <c r="AX1841" s="111">
        <f>G1841*AP1841</f>
      </c>
      <c r="AY1841" s="153" t="s">
        <v>2763</v>
      </c>
      <c r="AZ1841" s="153" t="s">
        <v>2764</v>
      </c>
      <c r="BA1841" s="132" t="s">
        <v>137</v>
      </c>
      <c r="BC1841" s="111">
        <f>AW1841+AX1841</f>
      </c>
      <c r="BD1841" s="111">
        <f>H1841/(100-BE1841)*100</f>
      </c>
      <c r="BE1841" s="111" t="n">
        <v>0</v>
      </c>
      <c r="BF1841" s="111">
        <f>1841</f>
      </c>
      <c r="BH1841" s="111">
        <f>G1841*AO1841</f>
      </c>
      <c r="BI1841" s="111">
        <f>G1841*AP1841</f>
      </c>
      <c r="BJ1841" s="111">
        <f>G1841*H1841</f>
      </c>
      <c r="BK1841" s="111"/>
      <c r="BL1841" s="111" t="n">
        <v>781</v>
      </c>
      <c r="BW1841" s="111" t="n">
        <v>21</v>
      </c>
      <c r="BX1841" s="14" t="s">
        <v>2834</v>
      </c>
    </row>
    <row r="1842">
      <c r="A1842" s="154"/>
      <c r="B1842" s="155"/>
      <c r="C1842" s="155"/>
      <c r="D1842" s="156" t="s">
        <v>1026</v>
      </c>
      <c r="E1842" s="156" t="s">
        <v>864</v>
      </c>
      <c r="F1842" s="155"/>
      <c r="G1842" s="157" t="n">
        <v>25.896</v>
      </c>
      <c r="H1842" s="155"/>
      <c r="I1842" s="155"/>
      <c r="J1842" s="155"/>
      <c r="K1842" s="146"/>
    </row>
    <row r="1843">
      <c r="A1843" s="154"/>
      <c r="B1843" s="155"/>
      <c r="C1843" s="155"/>
      <c r="D1843" s="156" t="s">
        <v>1027</v>
      </c>
      <c r="E1843" s="156" t="s">
        <v>566</v>
      </c>
      <c r="F1843" s="155"/>
      <c r="G1843" s="157" t="n">
        <v>25.416</v>
      </c>
      <c r="H1843" s="155"/>
      <c r="I1843" s="155"/>
      <c r="J1843" s="155"/>
      <c r="K1843" s="146"/>
    </row>
    <row r="1844">
      <c r="A1844" s="154"/>
      <c r="B1844" s="155"/>
      <c r="C1844" s="155"/>
      <c r="D1844" s="156" t="s">
        <v>1028</v>
      </c>
      <c r="E1844" s="156" t="s">
        <v>865</v>
      </c>
      <c r="F1844" s="155"/>
      <c r="G1844" s="157" t="n">
        <v>18.342</v>
      </c>
      <c r="H1844" s="155"/>
      <c r="I1844" s="155"/>
      <c r="J1844" s="155"/>
      <c r="K1844" s="146"/>
    </row>
    <row r="1845">
      <c r="A1845" s="154"/>
      <c r="B1845" s="155"/>
      <c r="C1845" s="155"/>
      <c r="D1845" s="156" t="s">
        <v>1029</v>
      </c>
      <c r="E1845" s="156" t="s">
        <v>1030</v>
      </c>
      <c r="F1845" s="155"/>
      <c r="G1845" s="157" t="n">
        <v>17.236</v>
      </c>
      <c r="H1845" s="155"/>
      <c r="I1845" s="155"/>
      <c r="J1845" s="155"/>
      <c r="K1845" s="146"/>
    </row>
    <row r="1846">
      <c r="A1846" s="154"/>
      <c r="B1846" s="155"/>
      <c r="C1846" s="155"/>
      <c r="D1846" s="156" t="s">
        <v>1031</v>
      </c>
      <c r="E1846" s="156" t="s">
        <v>1032</v>
      </c>
      <c r="F1846" s="155"/>
      <c r="G1846" s="157" t="n">
        <v>25.429</v>
      </c>
      <c r="H1846" s="155"/>
      <c r="I1846" s="155"/>
      <c r="J1846" s="155"/>
      <c r="K1846" s="146"/>
    </row>
    <row r="1847">
      <c r="A1847" s="154"/>
      <c r="B1847" s="155"/>
      <c r="C1847" s="155"/>
      <c r="D1847" s="156" t="s">
        <v>1033</v>
      </c>
      <c r="E1847" s="156" t="s">
        <v>1034</v>
      </c>
      <c r="F1847" s="155"/>
      <c r="G1847" s="157" t="n">
        <v>12.973</v>
      </c>
      <c r="H1847" s="155"/>
      <c r="I1847" s="155"/>
      <c r="J1847" s="155"/>
      <c r="K1847" s="146"/>
    </row>
    <row r="1848">
      <c r="A1848" s="154"/>
      <c r="B1848" s="155"/>
      <c r="C1848" s="155"/>
      <c r="D1848" s="156" t="s">
        <v>1035</v>
      </c>
      <c r="E1848" s="156" t="s">
        <v>1008</v>
      </c>
      <c r="F1848" s="155"/>
      <c r="G1848" s="157" t="n">
        <v>15.441</v>
      </c>
      <c r="H1848" s="155"/>
      <c r="I1848" s="155"/>
      <c r="J1848" s="155"/>
      <c r="K1848" s="146"/>
    </row>
    <row r="1849">
      <c r="A1849" s="154"/>
      <c r="B1849" s="155"/>
      <c r="C1849" s="155"/>
      <c r="D1849" s="156" t="s">
        <v>1036</v>
      </c>
      <c r="E1849" s="156" t="s">
        <v>1010</v>
      </c>
      <c r="F1849" s="155"/>
      <c r="G1849" s="157" t="n">
        <v>16.061</v>
      </c>
      <c r="H1849" s="155"/>
      <c r="I1849" s="155"/>
      <c r="J1849" s="155"/>
      <c r="K1849" s="146"/>
    </row>
    <row r="1850">
      <c r="A1850" s="9" t="s">
        <v>2835</v>
      </c>
      <c r="B1850" s="10" t="s">
        <v>84</v>
      </c>
      <c r="C1850" s="10" t="s">
        <v>2533</v>
      </c>
      <c r="D1850" s="14" t="s">
        <v>2836</v>
      </c>
      <c r="E1850" s="10"/>
      <c r="F1850" s="10" t="s">
        <v>282</v>
      </c>
      <c r="G1850" s="111">
        <f>'Stavební rozpočet'!G1850</f>
      </c>
      <c r="H1850" s="111">
        <f>'Stavební rozpočet'!H1850</f>
      </c>
      <c r="I1850" s="111">
        <f>G1850*H1850</f>
      </c>
      <c r="J1850" s="153" t="s">
        <v>134</v>
      </c>
      <c r="K1850" s="146"/>
      <c r="Z1850" s="111">
        <f>IF(AQ1850="5",BJ1850,0)</f>
      </c>
      <c r="AB1850" s="111">
        <f>IF(AQ1850="1",BH1850,0)</f>
      </c>
      <c r="AC1850" s="111">
        <f>IF(AQ1850="1",BI1850,0)</f>
      </c>
      <c r="AD1850" s="111">
        <f>IF(AQ1850="7",BH1850,0)</f>
      </c>
      <c r="AE1850" s="111">
        <f>IF(AQ1850="7",BI1850,0)</f>
      </c>
      <c r="AF1850" s="111">
        <f>IF(AQ1850="2",BH1850,0)</f>
      </c>
      <c r="AG1850" s="111">
        <f>IF(AQ1850="2",BI1850,0)</f>
      </c>
      <c r="AH1850" s="111">
        <f>IF(AQ1850="0",BJ1850,0)</f>
      </c>
      <c r="AI1850" s="132" t="s">
        <v>84</v>
      </c>
      <c r="AJ1850" s="111">
        <f>IF(AN1850=0,I1850,0)</f>
      </c>
      <c r="AK1850" s="111">
        <f>IF(AN1850=12,I1850,0)</f>
      </c>
      <c r="AL1850" s="111">
        <f>IF(AN1850=21,I1850,0)</f>
      </c>
      <c r="AN1850" s="111" t="n">
        <v>21</v>
      </c>
      <c r="AO1850" s="111">
        <f>H1850*0.500126743</f>
      </c>
      <c r="AP1850" s="111">
        <f>H1850*(1-0.500126743)</f>
      </c>
      <c r="AQ1850" s="153" t="s">
        <v>173</v>
      </c>
      <c r="AV1850" s="111">
        <f>AW1850+AX1850</f>
      </c>
      <c r="AW1850" s="111">
        <f>G1850*AO1850</f>
      </c>
      <c r="AX1850" s="111">
        <f>G1850*AP1850</f>
      </c>
      <c r="AY1850" s="153" t="s">
        <v>2763</v>
      </c>
      <c r="AZ1850" s="153" t="s">
        <v>2764</v>
      </c>
      <c r="BA1850" s="132" t="s">
        <v>137</v>
      </c>
      <c r="BC1850" s="111">
        <f>AW1850+AX1850</f>
      </c>
      <c r="BD1850" s="111">
        <f>H1850/(100-BE1850)*100</f>
      </c>
      <c r="BE1850" s="111" t="n">
        <v>0</v>
      </c>
      <c r="BF1850" s="111">
        <f>1850</f>
      </c>
      <c r="BH1850" s="111">
        <f>G1850*AO1850</f>
      </c>
      <c r="BI1850" s="111">
        <f>G1850*AP1850</f>
      </c>
      <c r="BJ1850" s="111">
        <f>G1850*H1850</f>
      </c>
      <c r="BK1850" s="111"/>
      <c r="BL1850" s="111" t="n">
        <v>781</v>
      </c>
      <c r="BW1850" s="111" t="n">
        <v>21</v>
      </c>
      <c r="BX1850" s="14" t="s">
        <v>2836</v>
      </c>
    </row>
    <row r="1851" customHeight="true" ht="13.5">
      <c r="A1851" s="159"/>
      <c r="C1851" s="160" t="s">
        <v>146</v>
      </c>
      <c r="D1851" s="161" t="s">
        <v>2837</v>
      </c>
      <c r="E1851" s="156"/>
      <c r="F1851" s="156"/>
      <c r="G1851" s="156"/>
      <c r="H1851" s="156"/>
      <c r="I1851" s="156"/>
      <c r="J1851" s="156"/>
      <c r="K1851" s="163"/>
    </row>
    <row r="1852">
      <c r="A1852" s="154"/>
      <c r="B1852" s="155"/>
      <c r="C1852" s="155"/>
      <c r="D1852" s="156" t="s">
        <v>2838</v>
      </c>
      <c r="E1852" s="156" t="s">
        <v>864</v>
      </c>
      <c r="F1852" s="155"/>
      <c r="G1852" s="157" t="n">
        <v>4.8</v>
      </c>
      <c r="H1852" s="155"/>
      <c r="I1852" s="155"/>
      <c r="J1852" s="155"/>
      <c r="K1852" s="146"/>
    </row>
    <row r="1853">
      <c r="A1853" s="154"/>
      <c r="B1853" s="155"/>
      <c r="C1853" s="155"/>
      <c r="D1853" s="156" t="s">
        <v>2838</v>
      </c>
      <c r="E1853" s="156" t="s">
        <v>566</v>
      </c>
      <c r="F1853" s="155"/>
      <c r="G1853" s="157" t="n">
        <v>4.8</v>
      </c>
      <c r="H1853" s="155"/>
      <c r="I1853" s="155"/>
      <c r="J1853" s="155"/>
      <c r="K1853" s="146"/>
    </row>
    <row r="1854">
      <c r="A1854" s="154"/>
      <c r="B1854" s="155"/>
      <c r="C1854" s="155"/>
      <c r="D1854" s="156" t="s">
        <v>2839</v>
      </c>
      <c r="E1854" s="156" t="s">
        <v>865</v>
      </c>
      <c r="F1854" s="155"/>
      <c r="G1854" s="157" t="n">
        <v>10.4</v>
      </c>
      <c r="H1854" s="155"/>
      <c r="I1854" s="155"/>
      <c r="J1854" s="155"/>
      <c r="K1854" s="146"/>
    </row>
    <row r="1855">
      <c r="A1855" s="154"/>
      <c r="B1855" s="155"/>
      <c r="C1855" s="155"/>
      <c r="D1855" s="156" t="s">
        <v>2839</v>
      </c>
      <c r="E1855" s="156" t="s">
        <v>1030</v>
      </c>
      <c r="F1855" s="155"/>
      <c r="G1855" s="157" t="n">
        <v>10.4</v>
      </c>
      <c r="H1855" s="155"/>
      <c r="I1855" s="155"/>
      <c r="J1855" s="155"/>
      <c r="K1855" s="146"/>
    </row>
    <row r="1856">
      <c r="A1856" s="154"/>
      <c r="B1856" s="155"/>
      <c r="C1856" s="155"/>
      <c r="D1856" s="156" t="s">
        <v>2839</v>
      </c>
      <c r="E1856" s="156" t="s">
        <v>1032</v>
      </c>
      <c r="F1856" s="155"/>
      <c r="G1856" s="157" t="n">
        <v>10.4</v>
      </c>
      <c r="H1856" s="155"/>
      <c r="I1856" s="155"/>
      <c r="J1856" s="155"/>
      <c r="K1856" s="146"/>
    </row>
    <row r="1857">
      <c r="A1857" s="154"/>
      <c r="B1857" s="155"/>
      <c r="C1857" s="155"/>
      <c r="D1857" s="156" t="s">
        <v>2839</v>
      </c>
      <c r="E1857" s="156" t="s">
        <v>1034</v>
      </c>
      <c r="F1857" s="155"/>
      <c r="G1857" s="157" t="n">
        <v>10.4</v>
      </c>
      <c r="H1857" s="155"/>
      <c r="I1857" s="155"/>
      <c r="J1857" s="155"/>
      <c r="K1857" s="146"/>
    </row>
    <row r="1858">
      <c r="A1858" s="154"/>
      <c r="B1858" s="155"/>
      <c r="C1858" s="155"/>
      <c r="D1858" s="156" t="s">
        <v>2840</v>
      </c>
      <c r="E1858" s="156" t="s">
        <v>1008</v>
      </c>
      <c r="F1858" s="155"/>
      <c r="G1858" s="157" t="n">
        <v>10</v>
      </c>
      <c r="H1858" s="155"/>
      <c r="I1858" s="155"/>
      <c r="J1858" s="155"/>
      <c r="K1858" s="146"/>
    </row>
    <row r="1859">
      <c r="A1859" s="154"/>
      <c r="B1859" s="155"/>
      <c r="C1859" s="155"/>
      <c r="D1859" s="156" t="s">
        <v>2841</v>
      </c>
      <c r="E1859" s="156" t="s">
        <v>1010</v>
      </c>
      <c r="F1859" s="155"/>
      <c r="G1859" s="157" t="n">
        <v>8</v>
      </c>
      <c r="H1859" s="155"/>
      <c r="I1859" s="155"/>
      <c r="J1859" s="155"/>
      <c r="K1859" s="146"/>
    </row>
    <row r="1860">
      <c r="A1860" s="9" t="s">
        <v>2842</v>
      </c>
      <c r="B1860" s="10" t="s">
        <v>84</v>
      </c>
      <c r="C1860" s="10" t="s">
        <v>2843</v>
      </c>
      <c r="D1860" s="14" t="s">
        <v>2844</v>
      </c>
      <c r="E1860" s="10"/>
      <c r="F1860" s="10" t="s">
        <v>282</v>
      </c>
      <c r="G1860" s="111">
        <f>'Stavební rozpočet'!G1860</f>
      </c>
      <c r="H1860" s="111">
        <f>'Stavební rozpočet'!H1860</f>
      </c>
      <c r="I1860" s="111">
        <f>G1860*H1860</f>
      </c>
      <c r="J1860" s="153" t="s">
        <v>134</v>
      </c>
      <c r="K1860" s="146"/>
      <c r="Z1860" s="111">
        <f>IF(AQ1860="5",BJ1860,0)</f>
      </c>
      <c r="AB1860" s="111">
        <f>IF(AQ1860="1",BH1860,0)</f>
      </c>
      <c r="AC1860" s="111">
        <f>IF(AQ1860="1",BI1860,0)</f>
      </c>
      <c r="AD1860" s="111">
        <f>IF(AQ1860="7",BH1860,0)</f>
      </c>
      <c r="AE1860" s="111">
        <f>IF(AQ1860="7",BI1860,0)</f>
      </c>
      <c r="AF1860" s="111">
        <f>IF(AQ1860="2",BH1860,0)</f>
      </c>
      <c r="AG1860" s="111">
        <f>IF(AQ1860="2",BI1860,0)</f>
      </c>
      <c r="AH1860" s="111">
        <f>IF(AQ1860="0",BJ1860,0)</f>
      </c>
      <c r="AI1860" s="132" t="s">
        <v>84</v>
      </c>
      <c r="AJ1860" s="111">
        <f>IF(AN1860=0,I1860,0)</f>
      </c>
      <c r="AK1860" s="111">
        <f>IF(AN1860=12,I1860,0)</f>
      </c>
      <c r="AL1860" s="111">
        <f>IF(AN1860=21,I1860,0)</f>
      </c>
      <c r="AN1860" s="111" t="n">
        <v>21</v>
      </c>
      <c r="AO1860" s="111">
        <f>H1860*0.795431165</f>
      </c>
      <c r="AP1860" s="111">
        <f>H1860*(1-0.795431165)</f>
      </c>
      <c r="AQ1860" s="153" t="s">
        <v>173</v>
      </c>
      <c r="AV1860" s="111">
        <f>AW1860+AX1860</f>
      </c>
      <c r="AW1860" s="111">
        <f>G1860*AO1860</f>
      </c>
      <c r="AX1860" s="111">
        <f>G1860*AP1860</f>
      </c>
      <c r="AY1860" s="153" t="s">
        <v>2763</v>
      </c>
      <c r="AZ1860" s="153" t="s">
        <v>2764</v>
      </c>
      <c r="BA1860" s="132" t="s">
        <v>137</v>
      </c>
      <c r="BC1860" s="111">
        <f>AW1860+AX1860</f>
      </c>
      <c r="BD1860" s="111">
        <f>H1860/(100-BE1860)*100</f>
      </c>
      <c r="BE1860" s="111" t="n">
        <v>0</v>
      </c>
      <c r="BF1860" s="111">
        <f>1860</f>
      </c>
      <c r="BH1860" s="111">
        <f>G1860*AO1860</f>
      </c>
      <c r="BI1860" s="111">
        <f>G1860*AP1860</f>
      </c>
      <c r="BJ1860" s="111">
        <f>G1860*H1860</f>
      </c>
      <c r="BK1860" s="111"/>
      <c r="BL1860" s="111" t="n">
        <v>781</v>
      </c>
      <c r="BW1860" s="111" t="n">
        <v>21</v>
      </c>
      <c r="BX1860" s="14" t="s">
        <v>2844</v>
      </c>
    </row>
    <row r="1861" customHeight="true" ht="13.5">
      <c r="A1861" s="159"/>
      <c r="C1861" s="160" t="s">
        <v>146</v>
      </c>
      <c r="D1861" s="161" t="s">
        <v>2845</v>
      </c>
      <c r="E1861" s="156"/>
      <c r="F1861" s="156"/>
      <c r="G1861" s="156"/>
      <c r="H1861" s="156"/>
      <c r="I1861" s="156"/>
      <c r="J1861" s="156"/>
      <c r="K1861" s="163"/>
    </row>
    <row r="1862">
      <c r="A1862" s="154"/>
      <c r="B1862" s="155"/>
      <c r="C1862" s="155"/>
      <c r="D1862" s="156" t="s">
        <v>2846</v>
      </c>
      <c r="E1862" s="156" t="s">
        <v>864</v>
      </c>
      <c r="F1862" s="155"/>
      <c r="G1862" s="157" t="n">
        <v>9.6</v>
      </c>
      <c r="H1862" s="155"/>
      <c r="I1862" s="155"/>
      <c r="J1862" s="155"/>
      <c r="K1862" s="146"/>
    </row>
    <row r="1863">
      <c r="A1863" s="154"/>
      <c r="B1863" s="155"/>
      <c r="C1863" s="155"/>
      <c r="D1863" s="156" t="s">
        <v>2846</v>
      </c>
      <c r="E1863" s="156" t="s">
        <v>566</v>
      </c>
      <c r="F1863" s="155"/>
      <c r="G1863" s="157" t="n">
        <v>9.6</v>
      </c>
      <c r="H1863" s="155"/>
      <c r="I1863" s="155"/>
      <c r="J1863" s="155"/>
      <c r="K1863" s="146"/>
    </row>
    <row r="1864">
      <c r="A1864" s="9" t="s">
        <v>2847</v>
      </c>
      <c r="B1864" s="10" t="s">
        <v>84</v>
      </c>
      <c r="C1864" s="10" t="s">
        <v>2848</v>
      </c>
      <c r="D1864" s="14" t="s">
        <v>2849</v>
      </c>
      <c r="E1864" s="10"/>
      <c r="F1864" s="10" t="s">
        <v>282</v>
      </c>
      <c r="G1864" s="111">
        <f>'Stavební rozpočet'!G1864</f>
      </c>
      <c r="H1864" s="111">
        <f>'Stavební rozpočet'!H1864</f>
      </c>
      <c r="I1864" s="111">
        <f>G1864*H1864</f>
      </c>
      <c r="J1864" s="153" t="s">
        <v>134</v>
      </c>
      <c r="K1864" s="146"/>
      <c r="Z1864" s="111">
        <f>IF(AQ1864="5",BJ1864,0)</f>
      </c>
      <c r="AB1864" s="111">
        <f>IF(AQ1864="1",BH1864,0)</f>
      </c>
      <c r="AC1864" s="111">
        <f>IF(AQ1864="1",BI1864,0)</f>
      </c>
      <c r="AD1864" s="111">
        <f>IF(AQ1864="7",BH1864,0)</f>
      </c>
      <c r="AE1864" s="111">
        <f>IF(AQ1864="7",BI1864,0)</f>
      </c>
      <c r="AF1864" s="111">
        <f>IF(AQ1864="2",BH1864,0)</f>
      </c>
      <c r="AG1864" s="111">
        <f>IF(AQ1864="2",BI1864,0)</f>
      </c>
      <c r="AH1864" s="111">
        <f>IF(AQ1864="0",BJ1864,0)</f>
      </c>
      <c r="AI1864" s="132" t="s">
        <v>84</v>
      </c>
      <c r="AJ1864" s="111">
        <f>IF(AN1864=0,I1864,0)</f>
      </c>
      <c r="AK1864" s="111">
        <f>IF(AN1864=12,I1864,0)</f>
      </c>
      <c r="AL1864" s="111">
        <f>IF(AN1864=21,I1864,0)</f>
      </c>
      <c r="AN1864" s="111" t="n">
        <v>21</v>
      </c>
      <c r="AO1864" s="111">
        <f>H1864*0.788056426</f>
      </c>
      <c r="AP1864" s="111">
        <f>H1864*(1-0.788056426)</f>
      </c>
      <c r="AQ1864" s="153" t="s">
        <v>173</v>
      </c>
      <c r="AV1864" s="111">
        <f>AW1864+AX1864</f>
      </c>
      <c r="AW1864" s="111">
        <f>G1864*AO1864</f>
      </c>
      <c r="AX1864" s="111">
        <f>G1864*AP1864</f>
      </c>
      <c r="AY1864" s="153" t="s">
        <v>2763</v>
      </c>
      <c r="AZ1864" s="153" t="s">
        <v>2764</v>
      </c>
      <c r="BA1864" s="132" t="s">
        <v>137</v>
      </c>
      <c r="BC1864" s="111">
        <f>AW1864+AX1864</f>
      </c>
      <c r="BD1864" s="111">
        <f>H1864/(100-BE1864)*100</f>
      </c>
      <c r="BE1864" s="111" t="n">
        <v>0</v>
      </c>
      <c r="BF1864" s="111">
        <f>1864</f>
      </c>
      <c r="BH1864" s="111">
        <f>G1864*AO1864</f>
      </c>
      <c r="BI1864" s="111">
        <f>G1864*AP1864</f>
      </c>
      <c r="BJ1864" s="111">
        <f>G1864*H1864</f>
      </c>
      <c r="BK1864" s="111"/>
      <c r="BL1864" s="111" t="n">
        <v>781</v>
      </c>
      <c r="BW1864" s="111" t="n">
        <v>21</v>
      </c>
      <c r="BX1864" s="14" t="s">
        <v>2849</v>
      </c>
    </row>
    <row r="1865" customHeight="true" ht="13.5">
      <c r="A1865" s="159"/>
      <c r="C1865" s="160" t="s">
        <v>146</v>
      </c>
      <c r="D1865" s="161" t="s">
        <v>2850</v>
      </c>
      <c r="E1865" s="156"/>
      <c r="F1865" s="156"/>
      <c r="G1865" s="156"/>
      <c r="H1865" s="156"/>
      <c r="I1865" s="156"/>
      <c r="J1865" s="156"/>
      <c r="K1865" s="163"/>
    </row>
    <row r="1866">
      <c r="A1866" s="154"/>
      <c r="B1866" s="155"/>
      <c r="C1866" s="155"/>
      <c r="D1866" s="156" t="s">
        <v>2838</v>
      </c>
      <c r="E1866" s="156" t="s">
        <v>2851</v>
      </c>
      <c r="F1866" s="155"/>
      <c r="G1866" s="157" t="n">
        <v>4.8</v>
      </c>
      <c r="H1866" s="155"/>
      <c r="I1866" s="155"/>
      <c r="J1866" s="155"/>
      <c r="K1866" s="146"/>
    </row>
    <row r="1867">
      <c r="A1867" s="154"/>
      <c r="B1867" s="155"/>
      <c r="C1867" s="155"/>
      <c r="D1867" s="156" t="s">
        <v>2838</v>
      </c>
      <c r="E1867" s="156" t="s">
        <v>2852</v>
      </c>
      <c r="F1867" s="155"/>
      <c r="G1867" s="157" t="n">
        <v>4.8</v>
      </c>
      <c r="H1867" s="155"/>
      <c r="I1867" s="155"/>
      <c r="J1867" s="155"/>
      <c r="K1867" s="146"/>
    </row>
    <row r="1868">
      <c r="A1868" s="154"/>
      <c r="B1868" s="155"/>
      <c r="C1868" s="155"/>
      <c r="D1868" s="156" t="s">
        <v>2853</v>
      </c>
      <c r="E1868" s="156" t="s">
        <v>2784</v>
      </c>
      <c r="F1868" s="155"/>
      <c r="G1868" s="157" t="n">
        <v>2.2</v>
      </c>
      <c r="H1868" s="155"/>
      <c r="I1868" s="155"/>
      <c r="J1868" s="155"/>
      <c r="K1868" s="146"/>
    </row>
    <row r="1869">
      <c r="A1869" s="154"/>
      <c r="B1869" s="155"/>
      <c r="C1869" s="155"/>
      <c r="D1869" s="156" t="s">
        <v>2853</v>
      </c>
      <c r="E1869" s="156" t="s">
        <v>2854</v>
      </c>
      <c r="F1869" s="155"/>
      <c r="G1869" s="157" t="n">
        <v>2.2</v>
      </c>
      <c r="H1869" s="155"/>
      <c r="I1869" s="155"/>
      <c r="J1869" s="155"/>
      <c r="K1869" s="146"/>
    </row>
    <row r="1870">
      <c r="A1870" s="154"/>
      <c r="B1870" s="155"/>
      <c r="C1870" s="155"/>
      <c r="D1870" s="156" t="s">
        <v>2853</v>
      </c>
      <c r="E1870" s="156" t="s">
        <v>2855</v>
      </c>
      <c r="F1870" s="155"/>
      <c r="G1870" s="157" t="n">
        <v>2.2</v>
      </c>
      <c r="H1870" s="155"/>
      <c r="I1870" s="155"/>
      <c r="J1870" s="155"/>
      <c r="K1870" s="146"/>
    </row>
    <row r="1871">
      <c r="A1871" s="154"/>
      <c r="B1871" s="155"/>
      <c r="C1871" s="155"/>
      <c r="D1871" s="156" t="s">
        <v>2856</v>
      </c>
      <c r="E1871" s="156" t="s">
        <v>2857</v>
      </c>
      <c r="F1871" s="155"/>
      <c r="G1871" s="157" t="n">
        <v>3.05</v>
      </c>
      <c r="H1871" s="155"/>
      <c r="I1871" s="155"/>
      <c r="J1871" s="155"/>
      <c r="K1871" s="146"/>
    </row>
    <row r="1872">
      <c r="A1872" s="154"/>
      <c r="B1872" s="155"/>
      <c r="C1872" s="155"/>
      <c r="D1872" s="156" t="s">
        <v>2796</v>
      </c>
      <c r="E1872" s="156" t="s">
        <v>2858</v>
      </c>
      <c r="F1872" s="155"/>
      <c r="G1872" s="157" t="n">
        <v>1.25</v>
      </c>
      <c r="H1872" s="155"/>
      <c r="I1872" s="155"/>
      <c r="J1872" s="155"/>
      <c r="K1872" s="146"/>
    </row>
    <row r="1873">
      <c r="A1873" s="9" t="s">
        <v>2859</v>
      </c>
      <c r="B1873" s="10" t="s">
        <v>84</v>
      </c>
      <c r="C1873" s="10" t="s">
        <v>2860</v>
      </c>
      <c r="D1873" s="14" t="s">
        <v>2861</v>
      </c>
      <c r="E1873" s="10"/>
      <c r="F1873" s="10" t="s">
        <v>282</v>
      </c>
      <c r="G1873" s="111">
        <f>'Stavební rozpočet'!G1873</f>
      </c>
      <c r="H1873" s="111">
        <f>'Stavební rozpočet'!H1873</f>
      </c>
      <c r="I1873" s="111">
        <f>G1873*H1873</f>
      </c>
      <c r="J1873" s="153" t="s">
        <v>134</v>
      </c>
      <c r="K1873" s="146"/>
      <c r="Z1873" s="111">
        <f>IF(AQ1873="5",BJ1873,0)</f>
      </c>
      <c r="AB1873" s="111">
        <f>IF(AQ1873="1",BH1873,0)</f>
      </c>
      <c r="AC1873" s="111">
        <f>IF(AQ1873="1",BI1873,0)</f>
      </c>
      <c r="AD1873" s="111">
        <f>IF(AQ1873="7",BH1873,0)</f>
      </c>
      <c r="AE1873" s="111">
        <f>IF(AQ1873="7",BI1873,0)</f>
      </c>
      <c r="AF1873" s="111">
        <f>IF(AQ1873="2",BH1873,0)</f>
      </c>
      <c r="AG1873" s="111">
        <f>IF(AQ1873="2",BI1873,0)</f>
      </c>
      <c r="AH1873" s="111">
        <f>IF(AQ1873="0",BJ1873,0)</f>
      </c>
      <c r="AI1873" s="132" t="s">
        <v>84</v>
      </c>
      <c r="AJ1873" s="111">
        <f>IF(AN1873=0,I1873,0)</f>
      </c>
      <c r="AK1873" s="111">
        <f>IF(AN1873=12,I1873,0)</f>
      </c>
      <c r="AL1873" s="111">
        <f>IF(AN1873=21,I1873,0)</f>
      </c>
      <c r="AN1873" s="111" t="n">
        <v>21</v>
      </c>
      <c r="AO1873" s="111">
        <f>H1873*0.770424448</f>
      </c>
      <c r="AP1873" s="111">
        <f>H1873*(1-0.770424448)</f>
      </c>
      <c r="AQ1873" s="153" t="s">
        <v>173</v>
      </c>
      <c r="AV1873" s="111">
        <f>AW1873+AX1873</f>
      </c>
      <c r="AW1873" s="111">
        <f>G1873*AO1873</f>
      </c>
      <c r="AX1873" s="111">
        <f>G1873*AP1873</f>
      </c>
      <c r="AY1873" s="153" t="s">
        <v>2763</v>
      </c>
      <c r="AZ1873" s="153" t="s">
        <v>2764</v>
      </c>
      <c r="BA1873" s="132" t="s">
        <v>137</v>
      </c>
      <c r="BC1873" s="111">
        <f>AW1873+AX1873</f>
      </c>
      <c r="BD1873" s="111">
        <f>H1873/(100-BE1873)*100</f>
      </c>
      <c r="BE1873" s="111" t="n">
        <v>0</v>
      </c>
      <c r="BF1873" s="111">
        <f>1873</f>
      </c>
      <c r="BH1873" s="111">
        <f>G1873*AO1873</f>
      </c>
      <c r="BI1873" s="111">
        <f>G1873*AP1873</f>
      </c>
      <c r="BJ1873" s="111">
        <f>G1873*H1873</f>
      </c>
      <c r="BK1873" s="111"/>
      <c r="BL1873" s="111" t="n">
        <v>781</v>
      </c>
      <c r="BW1873" s="111" t="n">
        <v>21</v>
      </c>
      <c r="BX1873" s="14" t="s">
        <v>2861</v>
      </c>
    </row>
    <row r="1874" customHeight="true" ht="13.5">
      <c r="A1874" s="159"/>
      <c r="C1874" s="160" t="s">
        <v>146</v>
      </c>
      <c r="D1874" s="161" t="s">
        <v>2862</v>
      </c>
      <c r="E1874" s="156"/>
      <c r="F1874" s="156"/>
      <c r="G1874" s="156"/>
      <c r="H1874" s="156"/>
      <c r="I1874" s="156"/>
      <c r="J1874" s="156"/>
      <c r="K1874" s="163"/>
    </row>
    <row r="1875">
      <c r="A1875" s="154"/>
      <c r="B1875" s="155"/>
      <c r="C1875" s="155"/>
      <c r="D1875" s="156" t="s">
        <v>2863</v>
      </c>
      <c r="E1875" s="156" t="s">
        <v>864</v>
      </c>
      <c r="F1875" s="155"/>
      <c r="G1875" s="157" t="n">
        <v>6.6</v>
      </c>
      <c r="H1875" s="155"/>
      <c r="I1875" s="155"/>
      <c r="J1875" s="155"/>
      <c r="K1875" s="146"/>
    </row>
    <row r="1876">
      <c r="A1876" s="154"/>
      <c r="B1876" s="155"/>
      <c r="C1876" s="155"/>
      <c r="D1876" s="156" t="s">
        <v>2863</v>
      </c>
      <c r="E1876" s="156" t="s">
        <v>566</v>
      </c>
      <c r="F1876" s="155"/>
      <c r="G1876" s="157" t="n">
        <v>6.6</v>
      </c>
      <c r="H1876" s="155"/>
      <c r="I1876" s="155"/>
      <c r="J1876" s="155"/>
      <c r="K1876" s="146"/>
    </row>
    <row r="1877">
      <c r="A1877" s="154"/>
      <c r="B1877" s="155"/>
      <c r="C1877" s="155"/>
      <c r="D1877" s="156" t="s">
        <v>2864</v>
      </c>
      <c r="E1877" s="156" t="s">
        <v>2865</v>
      </c>
      <c r="F1877" s="155"/>
      <c r="G1877" s="157" t="n">
        <v>7.69</v>
      </c>
      <c r="H1877" s="155"/>
      <c r="I1877" s="155"/>
      <c r="J1877" s="155"/>
      <c r="K1877" s="146"/>
    </row>
    <row r="1878">
      <c r="A1878" s="154"/>
      <c r="B1878" s="155"/>
      <c r="C1878" s="155"/>
      <c r="D1878" s="156" t="s">
        <v>2866</v>
      </c>
      <c r="E1878" s="156" t="s">
        <v>1030</v>
      </c>
      <c r="F1878" s="155"/>
      <c r="G1878" s="157" t="n">
        <v>8.29</v>
      </c>
      <c r="H1878" s="155"/>
      <c r="I1878" s="155"/>
      <c r="J1878" s="155"/>
      <c r="K1878" s="146"/>
    </row>
    <row r="1879">
      <c r="A1879" s="154"/>
      <c r="B1879" s="155"/>
      <c r="C1879" s="155"/>
      <c r="D1879" s="156" t="s">
        <v>2867</v>
      </c>
      <c r="E1879" s="156" t="s">
        <v>1032</v>
      </c>
      <c r="F1879" s="155"/>
      <c r="G1879" s="157" t="n">
        <v>9.24</v>
      </c>
      <c r="H1879" s="155"/>
      <c r="I1879" s="155"/>
      <c r="J1879" s="155"/>
      <c r="K1879" s="146"/>
    </row>
    <row r="1880">
      <c r="A1880" s="154"/>
      <c r="B1880" s="155"/>
      <c r="C1880" s="155"/>
      <c r="D1880" s="156" t="s">
        <v>2868</v>
      </c>
      <c r="E1880" s="156" t="s">
        <v>1034</v>
      </c>
      <c r="F1880" s="155"/>
      <c r="G1880" s="157" t="n">
        <v>4.84</v>
      </c>
      <c r="H1880" s="155"/>
      <c r="I1880" s="155"/>
      <c r="J1880" s="155"/>
      <c r="K1880" s="146"/>
    </row>
    <row r="1881">
      <c r="A1881" s="154"/>
      <c r="B1881" s="155"/>
      <c r="C1881" s="155"/>
      <c r="D1881" s="156" t="s">
        <v>2869</v>
      </c>
      <c r="E1881" s="156" t="s">
        <v>2870</v>
      </c>
      <c r="F1881" s="155"/>
      <c r="G1881" s="157" t="n">
        <v>4</v>
      </c>
      <c r="H1881" s="155"/>
      <c r="I1881" s="155"/>
      <c r="J1881" s="155"/>
      <c r="K1881" s="146"/>
    </row>
    <row r="1882">
      <c r="A1882" s="154"/>
      <c r="B1882" s="155"/>
      <c r="C1882" s="155"/>
      <c r="D1882" s="156" t="s">
        <v>2871</v>
      </c>
      <c r="E1882" s="156" t="s">
        <v>2872</v>
      </c>
      <c r="F1882" s="155"/>
      <c r="G1882" s="157" t="n">
        <v>6.2</v>
      </c>
      <c r="H1882" s="155"/>
      <c r="I1882" s="155"/>
      <c r="J1882" s="155"/>
      <c r="K1882" s="146"/>
    </row>
    <row r="1883">
      <c r="A1883" s="9" t="s">
        <v>2873</v>
      </c>
      <c r="B1883" s="10" t="s">
        <v>84</v>
      </c>
      <c r="C1883" s="10" t="s">
        <v>2874</v>
      </c>
      <c r="D1883" s="14" t="s">
        <v>2875</v>
      </c>
      <c r="E1883" s="10"/>
      <c r="F1883" s="10" t="s">
        <v>61</v>
      </c>
      <c r="G1883" s="111">
        <f>'Stavební rozpočet'!G1883</f>
      </c>
      <c r="H1883" s="111">
        <f>'Stavební rozpočet'!H1883</f>
      </c>
      <c r="I1883" s="111">
        <f>G1883*H1883</f>
      </c>
      <c r="J1883" s="153" t="s">
        <v>134</v>
      </c>
      <c r="K1883" s="146"/>
      <c r="Z1883" s="111">
        <f>IF(AQ1883="5",BJ1883,0)</f>
      </c>
      <c r="AB1883" s="111">
        <f>IF(AQ1883="1",BH1883,0)</f>
      </c>
      <c r="AC1883" s="111">
        <f>IF(AQ1883="1",BI1883,0)</f>
      </c>
      <c r="AD1883" s="111">
        <f>IF(AQ1883="7",BH1883,0)</f>
      </c>
      <c r="AE1883" s="111">
        <f>IF(AQ1883="7",BI1883,0)</f>
      </c>
      <c r="AF1883" s="111">
        <f>IF(AQ1883="2",BH1883,0)</f>
      </c>
      <c r="AG1883" s="111">
        <f>IF(AQ1883="2",BI1883,0)</f>
      </c>
      <c r="AH1883" s="111">
        <f>IF(AQ1883="0",BJ1883,0)</f>
      </c>
      <c r="AI1883" s="132" t="s">
        <v>84</v>
      </c>
      <c r="AJ1883" s="111">
        <f>IF(AN1883=0,I1883,0)</f>
      </c>
      <c r="AK1883" s="111">
        <f>IF(AN1883=12,I1883,0)</f>
      </c>
      <c r="AL1883" s="111">
        <f>IF(AN1883=21,I1883,0)</f>
      </c>
      <c r="AN1883" s="111" t="n">
        <v>21</v>
      </c>
      <c r="AO1883" s="111">
        <f>H1883*0</f>
      </c>
      <c r="AP1883" s="111">
        <f>H1883*(1-0)</f>
      </c>
      <c r="AQ1883" s="153" t="s">
        <v>156</v>
      </c>
      <c r="AV1883" s="111">
        <f>AW1883+AX1883</f>
      </c>
      <c r="AW1883" s="111">
        <f>G1883*AO1883</f>
      </c>
      <c r="AX1883" s="111">
        <f>G1883*AP1883</f>
      </c>
      <c r="AY1883" s="153" t="s">
        <v>2763</v>
      </c>
      <c r="AZ1883" s="153" t="s">
        <v>2764</v>
      </c>
      <c r="BA1883" s="132" t="s">
        <v>137</v>
      </c>
      <c r="BC1883" s="111">
        <f>AW1883+AX1883</f>
      </c>
      <c r="BD1883" s="111">
        <f>H1883/(100-BE1883)*100</f>
      </c>
      <c r="BE1883" s="111" t="n">
        <v>0</v>
      </c>
      <c r="BF1883" s="111">
        <f>1883</f>
      </c>
      <c r="BH1883" s="111">
        <f>G1883*AO1883</f>
      </c>
      <c r="BI1883" s="111">
        <f>G1883*AP1883</f>
      </c>
      <c r="BJ1883" s="111">
        <f>G1883*H1883</f>
      </c>
      <c r="BK1883" s="111"/>
      <c r="BL1883" s="111" t="n">
        <v>781</v>
      </c>
      <c r="BW1883" s="111" t="n">
        <v>21</v>
      </c>
      <c r="BX1883" s="14" t="s">
        <v>2875</v>
      </c>
    </row>
    <row r="1884">
      <c r="A1884" s="9" t="s">
        <v>2876</v>
      </c>
      <c r="B1884" s="10" t="s">
        <v>84</v>
      </c>
      <c r="C1884" s="10" t="s">
        <v>2877</v>
      </c>
      <c r="D1884" s="14" t="s">
        <v>2878</v>
      </c>
      <c r="E1884" s="10"/>
      <c r="F1884" s="10" t="s">
        <v>61</v>
      </c>
      <c r="G1884" s="111">
        <f>'Stavební rozpočet'!G1884</f>
      </c>
      <c r="H1884" s="111">
        <f>'Stavební rozpočet'!H1884</f>
      </c>
      <c r="I1884" s="111">
        <f>G1884*H1884</f>
      </c>
      <c r="J1884" s="153" t="s">
        <v>134</v>
      </c>
      <c r="K1884" s="146"/>
      <c r="Z1884" s="111">
        <f>IF(AQ1884="5",BJ1884,0)</f>
      </c>
      <c r="AB1884" s="111">
        <f>IF(AQ1884="1",BH1884,0)</f>
      </c>
      <c r="AC1884" s="111">
        <f>IF(AQ1884="1",BI1884,0)</f>
      </c>
      <c r="AD1884" s="111">
        <f>IF(AQ1884="7",BH1884,0)</f>
      </c>
      <c r="AE1884" s="111">
        <f>IF(AQ1884="7",BI1884,0)</f>
      </c>
      <c r="AF1884" s="111">
        <f>IF(AQ1884="2",BH1884,0)</f>
      </c>
      <c r="AG1884" s="111">
        <f>IF(AQ1884="2",BI1884,0)</f>
      </c>
      <c r="AH1884" s="111">
        <f>IF(AQ1884="0",BJ1884,0)</f>
      </c>
      <c r="AI1884" s="132" t="s">
        <v>84</v>
      </c>
      <c r="AJ1884" s="111">
        <f>IF(AN1884=0,I1884,0)</f>
      </c>
      <c r="AK1884" s="111">
        <f>IF(AN1884=12,I1884,0)</f>
      </c>
      <c r="AL1884" s="111">
        <f>IF(AN1884=21,I1884,0)</f>
      </c>
      <c r="AN1884" s="111" t="n">
        <v>21</v>
      </c>
      <c r="AO1884" s="111">
        <f>H1884*0</f>
      </c>
      <c r="AP1884" s="111">
        <f>H1884*(1-0)</f>
      </c>
      <c r="AQ1884" s="153" t="s">
        <v>156</v>
      </c>
      <c r="AV1884" s="111">
        <f>AW1884+AX1884</f>
      </c>
      <c r="AW1884" s="111">
        <f>G1884*AO1884</f>
      </c>
      <c r="AX1884" s="111">
        <f>G1884*AP1884</f>
      </c>
      <c r="AY1884" s="153" t="s">
        <v>2763</v>
      </c>
      <c r="AZ1884" s="153" t="s">
        <v>2764</v>
      </c>
      <c r="BA1884" s="132" t="s">
        <v>137</v>
      </c>
      <c r="BC1884" s="111">
        <f>AW1884+AX1884</f>
      </c>
      <c r="BD1884" s="111">
        <f>H1884/(100-BE1884)*100</f>
      </c>
      <c r="BE1884" s="111" t="n">
        <v>0</v>
      </c>
      <c r="BF1884" s="111">
        <f>1884</f>
      </c>
      <c r="BH1884" s="111">
        <f>G1884*AO1884</f>
      </c>
      <c r="BI1884" s="111">
        <f>G1884*AP1884</f>
      </c>
      <c r="BJ1884" s="111">
        <f>G1884*H1884</f>
      </c>
      <c r="BK1884" s="111"/>
      <c r="BL1884" s="111" t="n">
        <v>781</v>
      </c>
      <c r="BW1884" s="111" t="n">
        <v>21</v>
      </c>
      <c r="BX1884" s="14" t="s">
        <v>2878</v>
      </c>
    </row>
    <row r="1885">
      <c r="A1885" s="147" t="s">
        <v>4</v>
      </c>
      <c r="B1885" s="148" t="s">
        <v>84</v>
      </c>
      <c r="C1885" s="148" t="s">
        <v>2879</v>
      </c>
      <c r="D1885" s="149" t="s">
        <v>2880</v>
      </c>
      <c r="E1885" s="148"/>
      <c r="F1885" s="150" t="s">
        <v>79</v>
      </c>
      <c r="G1885" s="150" t="s">
        <v>79</v>
      </c>
      <c r="H1885" s="150" t="s">
        <v>79</v>
      </c>
      <c r="I1885" s="117">
        <f>SUM(I1886:I1908)</f>
      </c>
      <c r="J1885" s="132" t="s">
        <v>4</v>
      </c>
      <c r="K1885" s="146"/>
      <c r="AI1885" s="132" t="s">
        <v>84</v>
      </c>
      <c r="AS1885" s="117">
        <f>SUM(AJ1886:AJ1908)</f>
      </c>
      <c r="AT1885" s="117">
        <f>SUM(AK1886:AK1908)</f>
      </c>
      <c r="AU1885" s="117">
        <f>SUM(AL1886:AL1908)</f>
      </c>
    </row>
    <row r="1886">
      <c r="A1886" s="9" t="s">
        <v>2881</v>
      </c>
      <c r="B1886" s="10" t="s">
        <v>84</v>
      </c>
      <c r="C1886" s="10" t="s">
        <v>2882</v>
      </c>
      <c r="D1886" s="14" t="s">
        <v>2883</v>
      </c>
      <c r="E1886" s="10"/>
      <c r="F1886" s="10" t="s">
        <v>145</v>
      </c>
      <c r="G1886" s="111">
        <f>'Stavební rozpočet'!G1886</f>
      </c>
      <c r="H1886" s="111">
        <f>'Stavební rozpočet'!H1886</f>
      </c>
      <c r="I1886" s="111">
        <f>G1886*H1886</f>
      </c>
      <c r="J1886" s="153" t="s">
        <v>134</v>
      </c>
      <c r="K1886" s="146"/>
      <c r="Z1886" s="111">
        <f>IF(AQ1886="5",BJ1886,0)</f>
      </c>
      <c r="AB1886" s="111">
        <f>IF(AQ1886="1",BH1886,0)</f>
      </c>
      <c r="AC1886" s="111">
        <f>IF(AQ1886="1",BI1886,0)</f>
      </c>
      <c r="AD1886" s="111">
        <f>IF(AQ1886="7",BH1886,0)</f>
      </c>
      <c r="AE1886" s="111">
        <f>IF(AQ1886="7",BI1886,0)</f>
      </c>
      <c r="AF1886" s="111">
        <f>IF(AQ1886="2",BH1886,0)</f>
      </c>
      <c r="AG1886" s="111">
        <f>IF(AQ1886="2",BI1886,0)</f>
      </c>
      <c r="AH1886" s="111">
        <f>IF(AQ1886="0",BJ1886,0)</f>
      </c>
      <c r="AI1886" s="132" t="s">
        <v>84</v>
      </c>
      <c r="AJ1886" s="111">
        <f>IF(AN1886=0,I1886,0)</f>
      </c>
      <c r="AK1886" s="111">
        <f>IF(AN1886=12,I1886,0)</f>
      </c>
      <c r="AL1886" s="111">
        <f>IF(AN1886=21,I1886,0)</f>
      </c>
      <c r="AN1886" s="111" t="n">
        <v>21</v>
      </c>
      <c r="AO1886" s="111">
        <f>H1886*0.51568368</f>
      </c>
      <c r="AP1886" s="111">
        <f>H1886*(1-0.51568368)</f>
      </c>
      <c r="AQ1886" s="153" t="s">
        <v>173</v>
      </c>
      <c r="AV1886" s="111">
        <f>AW1886+AX1886</f>
      </c>
      <c r="AW1886" s="111">
        <f>G1886*AO1886</f>
      </c>
      <c r="AX1886" s="111">
        <f>G1886*AP1886</f>
      </c>
      <c r="AY1886" s="153" t="s">
        <v>2884</v>
      </c>
      <c r="AZ1886" s="153" t="s">
        <v>2764</v>
      </c>
      <c r="BA1886" s="132" t="s">
        <v>137</v>
      </c>
      <c r="BC1886" s="111">
        <f>AW1886+AX1886</f>
      </c>
      <c r="BD1886" s="111">
        <f>H1886/(100-BE1886)*100</f>
      </c>
      <c r="BE1886" s="111" t="n">
        <v>0</v>
      </c>
      <c r="BF1886" s="111">
        <f>1886</f>
      </c>
      <c r="BH1886" s="111">
        <f>G1886*AO1886</f>
      </c>
      <c r="BI1886" s="111">
        <f>G1886*AP1886</f>
      </c>
      <c r="BJ1886" s="111">
        <f>G1886*H1886</f>
      </c>
      <c r="BK1886" s="111"/>
      <c r="BL1886" s="111" t="n">
        <v>783</v>
      </c>
      <c r="BW1886" s="111" t="n">
        <v>21</v>
      </c>
      <c r="BX1886" s="14" t="s">
        <v>2883</v>
      </c>
    </row>
    <row r="1887">
      <c r="A1887" s="154"/>
      <c r="B1887" s="155"/>
      <c r="C1887" s="155"/>
      <c r="D1887" s="156" t="s">
        <v>4</v>
      </c>
      <c r="E1887" s="156" t="s">
        <v>2885</v>
      </c>
      <c r="F1887" s="155"/>
      <c r="G1887" s="157" t="n">
        <v>0</v>
      </c>
      <c r="H1887" s="155"/>
      <c r="I1887" s="155"/>
      <c r="J1887" s="155"/>
      <c r="K1887" s="146"/>
    </row>
    <row r="1888">
      <c r="A1888" s="154"/>
      <c r="B1888" s="155"/>
      <c r="C1888" s="155"/>
      <c r="D1888" s="156" t="s">
        <v>128</v>
      </c>
      <c r="E1888" s="156" t="s">
        <v>977</v>
      </c>
      <c r="F1888" s="155"/>
      <c r="G1888" s="157" t="n">
        <v>11</v>
      </c>
      <c r="H1888" s="155"/>
      <c r="I1888" s="155"/>
      <c r="J1888" s="155"/>
      <c r="K1888" s="146"/>
    </row>
    <row r="1889">
      <c r="A1889" s="154"/>
      <c r="B1889" s="155"/>
      <c r="C1889" s="155"/>
      <c r="D1889" s="156" t="s">
        <v>2886</v>
      </c>
      <c r="E1889" s="156" t="s">
        <v>596</v>
      </c>
      <c r="F1889" s="155"/>
      <c r="G1889" s="157" t="n">
        <v>78.3</v>
      </c>
      <c r="H1889" s="155"/>
      <c r="I1889" s="155"/>
      <c r="J1889" s="155"/>
      <c r="K1889" s="146"/>
    </row>
    <row r="1890">
      <c r="A1890" s="154"/>
      <c r="B1890" s="155"/>
      <c r="C1890" s="155"/>
      <c r="D1890" s="156" t="s">
        <v>279</v>
      </c>
      <c r="E1890" s="156" t="s">
        <v>982</v>
      </c>
      <c r="F1890" s="155"/>
      <c r="G1890" s="157" t="n">
        <v>24</v>
      </c>
      <c r="H1890" s="155"/>
      <c r="I1890" s="155"/>
      <c r="J1890" s="155"/>
      <c r="K1890" s="146"/>
    </row>
    <row r="1891">
      <c r="A1891" s="154"/>
      <c r="B1891" s="155"/>
      <c r="C1891" s="155"/>
      <c r="D1891" s="156" t="s">
        <v>1461</v>
      </c>
      <c r="E1891" s="156" t="s">
        <v>985</v>
      </c>
      <c r="F1891" s="155"/>
      <c r="G1891" s="157" t="n">
        <v>220</v>
      </c>
      <c r="H1891" s="155"/>
      <c r="I1891" s="155"/>
      <c r="J1891" s="155"/>
      <c r="K1891" s="146"/>
    </row>
    <row r="1892">
      <c r="A1892" s="154"/>
      <c r="B1892" s="155"/>
      <c r="C1892" s="155"/>
      <c r="D1892" s="156" t="s">
        <v>2887</v>
      </c>
      <c r="E1892" s="156" t="s">
        <v>987</v>
      </c>
      <c r="F1892" s="155"/>
      <c r="G1892" s="157" t="n">
        <v>20.3</v>
      </c>
      <c r="H1892" s="155"/>
      <c r="I1892" s="155"/>
      <c r="J1892" s="155"/>
      <c r="K1892" s="146"/>
    </row>
    <row r="1893">
      <c r="A1893" s="154"/>
      <c r="B1893" s="155"/>
      <c r="C1893" s="155"/>
      <c r="D1893" s="156" t="s">
        <v>2888</v>
      </c>
      <c r="E1893" s="156" t="s">
        <v>989</v>
      </c>
      <c r="F1893" s="155"/>
      <c r="G1893" s="157" t="n">
        <v>15.7</v>
      </c>
      <c r="H1893" s="155"/>
      <c r="I1893" s="155"/>
      <c r="J1893" s="155"/>
      <c r="K1893" s="146"/>
    </row>
    <row r="1894">
      <c r="A1894" s="154"/>
      <c r="B1894" s="155"/>
      <c r="C1894" s="155"/>
      <c r="D1894" s="156" t="s">
        <v>871</v>
      </c>
      <c r="E1894" s="156" t="s">
        <v>991</v>
      </c>
      <c r="F1894" s="155"/>
      <c r="G1894" s="157" t="n">
        <v>3.6</v>
      </c>
      <c r="H1894" s="155"/>
      <c r="I1894" s="155"/>
      <c r="J1894" s="155"/>
      <c r="K1894" s="146"/>
    </row>
    <row r="1895">
      <c r="A1895" s="154"/>
      <c r="B1895" s="155"/>
      <c r="C1895" s="155"/>
      <c r="D1895" s="156" t="s">
        <v>2889</v>
      </c>
      <c r="E1895" s="156" t="s">
        <v>993</v>
      </c>
      <c r="F1895" s="155"/>
      <c r="G1895" s="157" t="n">
        <v>5.1</v>
      </c>
      <c r="H1895" s="155"/>
      <c r="I1895" s="155"/>
      <c r="J1895" s="155"/>
      <c r="K1895" s="146"/>
    </row>
    <row r="1896">
      <c r="A1896" s="154"/>
      <c r="B1896" s="155"/>
      <c r="C1896" s="155"/>
      <c r="D1896" s="156" t="s">
        <v>163</v>
      </c>
      <c r="E1896" s="156" t="s">
        <v>995</v>
      </c>
      <c r="F1896" s="155"/>
      <c r="G1896" s="157" t="n">
        <v>13</v>
      </c>
      <c r="H1896" s="155"/>
      <c r="I1896" s="155"/>
      <c r="J1896" s="155"/>
      <c r="K1896" s="146"/>
    </row>
    <row r="1897">
      <c r="A1897" s="154"/>
      <c r="B1897" s="155"/>
      <c r="C1897" s="155"/>
      <c r="D1897" s="156" t="s">
        <v>2890</v>
      </c>
      <c r="E1897" s="156" t="s">
        <v>997</v>
      </c>
      <c r="F1897" s="155"/>
      <c r="G1897" s="157" t="n">
        <v>13.3</v>
      </c>
      <c r="H1897" s="155"/>
      <c r="I1897" s="155"/>
      <c r="J1897" s="155"/>
      <c r="K1897" s="146"/>
    </row>
    <row r="1898">
      <c r="A1898" s="154"/>
      <c r="B1898" s="155"/>
      <c r="C1898" s="155"/>
      <c r="D1898" s="156" t="s">
        <v>2891</v>
      </c>
      <c r="E1898" s="156" t="s">
        <v>2892</v>
      </c>
      <c r="F1898" s="155"/>
      <c r="G1898" s="157" t="n">
        <v>122.54</v>
      </c>
      <c r="H1898" s="155"/>
      <c r="I1898" s="155"/>
      <c r="J1898" s="155"/>
      <c r="K1898" s="146"/>
    </row>
    <row r="1899">
      <c r="A1899" s="154"/>
      <c r="B1899" s="155"/>
      <c r="C1899" s="155"/>
      <c r="D1899" s="156" t="s">
        <v>2893</v>
      </c>
      <c r="E1899" s="156" t="s">
        <v>2894</v>
      </c>
      <c r="F1899" s="155"/>
      <c r="G1899" s="157" t="n">
        <v>12.64</v>
      </c>
      <c r="H1899" s="155"/>
      <c r="I1899" s="155"/>
      <c r="J1899" s="155"/>
      <c r="K1899" s="146"/>
    </row>
    <row r="1900">
      <c r="A1900" s="154"/>
      <c r="B1900" s="155"/>
      <c r="C1900" s="155"/>
      <c r="D1900" s="156" t="s">
        <v>2895</v>
      </c>
      <c r="E1900" s="156" t="s">
        <v>2896</v>
      </c>
      <c r="F1900" s="155"/>
      <c r="G1900" s="157" t="n">
        <v>11.2</v>
      </c>
      <c r="H1900" s="155"/>
      <c r="I1900" s="155"/>
      <c r="J1900" s="155"/>
      <c r="K1900" s="146"/>
    </row>
    <row r="1901">
      <c r="A1901" s="154"/>
      <c r="B1901" s="155"/>
      <c r="C1901" s="155"/>
      <c r="D1901" s="156" t="s">
        <v>2897</v>
      </c>
      <c r="E1901" s="156" t="s">
        <v>1000</v>
      </c>
      <c r="F1901" s="155"/>
      <c r="G1901" s="157" t="n">
        <v>9.2</v>
      </c>
      <c r="H1901" s="155"/>
      <c r="I1901" s="155"/>
      <c r="J1901" s="155"/>
      <c r="K1901" s="146"/>
    </row>
    <row r="1902">
      <c r="A1902" s="154"/>
      <c r="B1902" s="155"/>
      <c r="C1902" s="155"/>
      <c r="D1902" s="156" t="s">
        <v>874</v>
      </c>
      <c r="E1902" s="156" t="s">
        <v>1034</v>
      </c>
      <c r="F1902" s="155"/>
      <c r="G1902" s="157" t="n">
        <v>2.1</v>
      </c>
      <c r="H1902" s="155"/>
      <c r="I1902" s="155"/>
      <c r="J1902" s="155"/>
      <c r="K1902" s="146"/>
    </row>
    <row r="1903">
      <c r="A1903" s="154"/>
      <c r="B1903" s="155"/>
      <c r="C1903" s="155"/>
      <c r="D1903" s="156" t="s">
        <v>4</v>
      </c>
      <c r="E1903" s="156" t="s">
        <v>2898</v>
      </c>
      <c r="F1903" s="155"/>
      <c r="G1903" s="157" t="n">
        <v>0</v>
      </c>
      <c r="H1903" s="155"/>
      <c r="I1903" s="155"/>
      <c r="J1903" s="155"/>
      <c r="K1903" s="146"/>
    </row>
    <row r="1904">
      <c r="A1904" s="9" t="s">
        <v>2899</v>
      </c>
      <c r="B1904" s="10" t="s">
        <v>84</v>
      </c>
      <c r="C1904" s="10" t="s">
        <v>2900</v>
      </c>
      <c r="D1904" s="14" t="s">
        <v>2901</v>
      </c>
      <c r="E1904" s="10"/>
      <c r="F1904" s="10" t="s">
        <v>145</v>
      </c>
      <c r="G1904" s="111">
        <f>'Stavební rozpočet'!G1904</f>
      </c>
      <c r="H1904" s="111">
        <f>'Stavební rozpočet'!H1904</f>
      </c>
      <c r="I1904" s="111">
        <f>G1904*H1904</f>
      </c>
      <c r="J1904" s="153" t="s">
        <v>134</v>
      </c>
      <c r="K1904" s="146"/>
      <c r="Z1904" s="111">
        <f>IF(AQ1904="5",BJ1904,0)</f>
      </c>
      <c r="AB1904" s="111">
        <f>IF(AQ1904="1",BH1904,0)</f>
      </c>
      <c r="AC1904" s="111">
        <f>IF(AQ1904="1",BI1904,0)</f>
      </c>
      <c r="AD1904" s="111">
        <f>IF(AQ1904="7",BH1904,0)</f>
      </c>
      <c r="AE1904" s="111">
        <f>IF(AQ1904="7",BI1904,0)</f>
      </c>
      <c r="AF1904" s="111">
        <f>IF(AQ1904="2",BH1904,0)</f>
      </c>
      <c r="AG1904" s="111">
        <f>IF(AQ1904="2",BI1904,0)</f>
      </c>
      <c r="AH1904" s="111">
        <f>IF(AQ1904="0",BJ1904,0)</f>
      </c>
      <c r="AI1904" s="132" t="s">
        <v>84</v>
      </c>
      <c r="AJ1904" s="111">
        <f>IF(AN1904=0,I1904,0)</f>
      </c>
      <c r="AK1904" s="111">
        <f>IF(AN1904=12,I1904,0)</f>
      </c>
      <c r="AL1904" s="111">
        <f>IF(AN1904=21,I1904,0)</f>
      </c>
      <c r="AN1904" s="111" t="n">
        <v>21</v>
      </c>
      <c r="AO1904" s="111">
        <f>H1904*0.547703725</f>
      </c>
      <c r="AP1904" s="111">
        <f>H1904*(1-0.547703725)</f>
      </c>
      <c r="AQ1904" s="153" t="s">
        <v>173</v>
      </c>
      <c r="AV1904" s="111">
        <f>AW1904+AX1904</f>
      </c>
      <c r="AW1904" s="111">
        <f>G1904*AO1904</f>
      </c>
      <c r="AX1904" s="111">
        <f>G1904*AP1904</f>
      </c>
      <c r="AY1904" s="153" t="s">
        <v>2884</v>
      </c>
      <c r="AZ1904" s="153" t="s">
        <v>2764</v>
      </c>
      <c r="BA1904" s="132" t="s">
        <v>137</v>
      </c>
      <c r="BC1904" s="111">
        <f>AW1904+AX1904</f>
      </c>
      <c r="BD1904" s="111">
        <f>H1904/(100-BE1904)*100</f>
      </c>
      <c r="BE1904" s="111" t="n">
        <v>0</v>
      </c>
      <c r="BF1904" s="111">
        <f>1904</f>
      </c>
      <c r="BH1904" s="111">
        <f>G1904*AO1904</f>
      </c>
      <c r="BI1904" s="111">
        <f>G1904*AP1904</f>
      </c>
      <c r="BJ1904" s="111">
        <f>G1904*H1904</f>
      </c>
      <c r="BK1904" s="111"/>
      <c r="BL1904" s="111" t="n">
        <v>783</v>
      </c>
      <c r="BW1904" s="111" t="n">
        <v>21</v>
      </c>
      <c r="BX1904" s="14" t="s">
        <v>2901</v>
      </c>
    </row>
    <row r="1905" customHeight="true" ht="13.5">
      <c r="A1905" s="159"/>
      <c r="C1905" s="160" t="s">
        <v>146</v>
      </c>
      <c r="D1905" s="161" t="s">
        <v>2902</v>
      </c>
      <c r="E1905" s="156"/>
      <c r="F1905" s="156"/>
      <c r="G1905" s="156"/>
      <c r="H1905" s="156"/>
      <c r="I1905" s="156"/>
      <c r="J1905" s="156"/>
      <c r="K1905" s="163"/>
    </row>
    <row r="1906">
      <c r="A1906" s="154"/>
      <c r="B1906" s="155"/>
      <c r="C1906" s="155"/>
      <c r="D1906" s="156" t="s">
        <v>2903</v>
      </c>
      <c r="E1906" s="156" t="s">
        <v>2471</v>
      </c>
      <c r="F1906" s="155"/>
      <c r="G1906" s="157" t="n">
        <v>10.91891</v>
      </c>
      <c r="H1906" s="155"/>
      <c r="I1906" s="155"/>
      <c r="J1906" s="155"/>
      <c r="K1906" s="146"/>
    </row>
    <row r="1907">
      <c r="A1907" s="154"/>
      <c r="B1907" s="155"/>
      <c r="C1907" s="155"/>
      <c r="D1907" s="156" t="s">
        <v>2904</v>
      </c>
      <c r="E1907" s="156" t="s">
        <v>2473</v>
      </c>
      <c r="F1907" s="155"/>
      <c r="G1907" s="157" t="n">
        <v>3.9996</v>
      </c>
      <c r="H1907" s="155"/>
      <c r="I1907" s="155"/>
      <c r="J1907" s="155"/>
      <c r="K1907" s="146"/>
    </row>
    <row r="1908">
      <c r="A1908" s="9" t="s">
        <v>2905</v>
      </c>
      <c r="B1908" s="10" t="s">
        <v>84</v>
      </c>
      <c r="C1908" s="10" t="s">
        <v>2906</v>
      </c>
      <c r="D1908" s="14" t="s">
        <v>2907</v>
      </c>
      <c r="E1908" s="10"/>
      <c r="F1908" s="10" t="s">
        <v>145</v>
      </c>
      <c r="G1908" s="111">
        <f>'Stavební rozpočet'!G1908</f>
      </c>
      <c r="H1908" s="111">
        <f>'Stavební rozpočet'!H1908</f>
      </c>
      <c r="I1908" s="111">
        <f>G1908*H1908</f>
      </c>
      <c r="J1908" s="153" t="s">
        <v>134</v>
      </c>
      <c r="K1908" s="146"/>
      <c r="Z1908" s="111">
        <f>IF(AQ1908="5",BJ1908,0)</f>
      </c>
      <c r="AB1908" s="111">
        <f>IF(AQ1908="1",BH1908,0)</f>
      </c>
      <c r="AC1908" s="111">
        <f>IF(AQ1908="1",BI1908,0)</f>
      </c>
      <c r="AD1908" s="111">
        <f>IF(AQ1908="7",BH1908,0)</f>
      </c>
      <c r="AE1908" s="111">
        <f>IF(AQ1908="7",BI1908,0)</f>
      </c>
      <c r="AF1908" s="111">
        <f>IF(AQ1908="2",BH1908,0)</f>
      </c>
      <c r="AG1908" s="111">
        <f>IF(AQ1908="2",BI1908,0)</f>
      </c>
      <c r="AH1908" s="111">
        <f>IF(AQ1908="0",BJ1908,0)</f>
      </c>
      <c r="AI1908" s="132" t="s">
        <v>84</v>
      </c>
      <c r="AJ1908" s="111">
        <f>IF(AN1908=0,I1908,0)</f>
      </c>
      <c r="AK1908" s="111">
        <f>IF(AN1908=12,I1908,0)</f>
      </c>
      <c r="AL1908" s="111">
        <f>IF(AN1908=21,I1908,0)</f>
      </c>
      <c r="AN1908" s="111" t="n">
        <v>21</v>
      </c>
      <c r="AO1908" s="111">
        <f>H1908*0.413380754</f>
      </c>
      <c r="AP1908" s="111">
        <f>H1908*(1-0.413380754)</f>
      </c>
      <c r="AQ1908" s="153" t="s">
        <v>173</v>
      </c>
      <c r="AV1908" s="111">
        <f>AW1908+AX1908</f>
      </c>
      <c r="AW1908" s="111">
        <f>G1908*AO1908</f>
      </c>
      <c r="AX1908" s="111">
        <f>G1908*AP1908</f>
      </c>
      <c r="AY1908" s="153" t="s">
        <v>2884</v>
      </c>
      <c r="AZ1908" s="153" t="s">
        <v>2764</v>
      </c>
      <c r="BA1908" s="132" t="s">
        <v>137</v>
      </c>
      <c r="BC1908" s="111">
        <f>AW1908+AX1908</f>
      </c>
      <c r="BD1908" s="111">
        <f>H1908/(100-BE1908)*100</f>
      </c>
      <c r="BE1908" s="111" t="n">
        <v>0</v>
      </c>
      <c r="BF1908" s="111">
        <f>1908</f>
      </c>
      <c r="BH1908" s="111">
        <f>G1908*AO1908</f>
      </c>
      <c r="BI1908" s="111">
        <f>G1908*AP1908</f>
      </c>
      <c r="BJ1908" s="111">
        <f>G1908*H1908</f>
      </c>
      <c r="BK1908" s="111"/>
      <c r="BL1908" s="111" t="n">
        <v>783</v>
      </c>
      <c r="BW1908" s="111" t="n">
        <v>21</v>
      </c>
      <c r="BX1908" s="14" t="s">
        <v>2907</v>
      </c>
    </row>
    <row r="1909" customHeight="true" ht="13.5">
      <c r="A1909" s="159"/>
      <c r="C1909" s="160" t="s">
        <v>146</v>
      </c>
      <c r="D1909" s="161" t="s">
        <v>2908</v>
      </c>
      <c r="E1909" s="156"/>
      <c r="F1909" s="156"/>
      <c r="G1909" s="156"/>
      <c r="H1909" s="156"/>
      <c r="I1909" s="156"/>
      <c r="J1909" s="156"/>
      <c r="K1909" s="163"/>
    </row>
    <row r="1910">
      <c r="A1910" s="154"/>
      <c r="B1910" s="155"/>
      <c r="C1910" s="155"/>
      <c r="D1910" s="156" t="s">
        <v>463</v>
      </c>
      <c r="E1910" s="156" t="s">
        <v>2909</v>
      </c>
      <c r="F1910" s="155"/>
      <c r="G1910" s="157" t="n">
        <v>14</v>
      </c>
      <c r="H1910" s="155"/>
      <c r="I1910" s="155"/>
      <c r="J1910" s="155"/>
      <c r="K1910" s="146"/>
    </row>
    <row r="1911">
      <c r="A1911" s="147" t="s">
        <v>4</v>
      </c>
      <c r="B1911" s="148" t="s">
        <v>84</v>
      </c>
      <c r="C1911" s="148" t="s">
        <v>2910</v>
      </c>
      <c r="D1911" s="149" t="s">
        <v>2911</v>
      </c>
      <c r="E1911" s="148"/>
      <c r="F1911" s="150" t="s">
        <v>79</v>
      </c>
      <c r="G1911" s="150" t="s">
        <v>79</v>
      </c>
      <c r="H1911" s="150" t="s">
        <v>79</v>
      </c>
      <c r="I1911" s="117">
        <f>SUM(I1912:I1917)</f>
      </c>
      <c r="J1911" s="132" t="s">
        <v>4</v>
      </c>
      <c r="K1911" s="146"/>
      <c r="AI1911" s="132" t="s">
        <v>84</v>
      </c>
      <c r="AS1911" s="117">
        <f>SUM(AJ1912:AJ1917)</f>
      </c>
      <c r="AT1911" s="117">
        <f>SUM(AK1912:AK1917)</f>
      </c>
      <c r="AU1911" s="117">
        <f>SUM(AL1912:AL1917)</f>
      </c>
    </row>
    <row r="1912">
      <c r="A1912" s="9" t="s">
        <v>2912</v>
      </c>
      <c r="B1912" s="10" t="s">
        <v>84</v>
      </c>
      <c r="C1912" s="10" t="s">
        <v>2913</v>
      </c>
      <c r="D1912" s="14" t="s">
        <v>2914</v>
      </c>
      <c r="E1912" s="10"/>
      <c r="F1912" s="10" t="s">
        <v>145</v>
      </c>
      <c r="G1912" s="111">
        <f>'Stavební rozpočet'!G1912</f>
      </c>
      <c r="H1912" s="111">
        <f>'Stavební rozpočet'!H1912</f>
      </c>
      <c r="I1912" s="111">
        <f>G1912*H1912</f>
      </c>
      <c r="J1912" s="153" t="s">
        <v>134</v>
      </c>
      <c r="K1912" s="146"/>
      <c r="Z1912" s="111">
        <f>IF(AQ1912="5",BJ1912,0)</f>
      </c>
      <c r="AB1912" s="111">
        <f>IF(AQ1912="1",BH1912,0)</f>
      </c>
      <c r="AC1912" s="111">
        <f>IF(AQ1912="1",BI1912,0)</f>
      </c>
      <c r="AD1912" s="111">
        <f>IF(AQ1912="7",BH1912,0)</f>
      </c>
      <c r="AE1912" s="111">
        <f>IF(AQ1912="7",BI1912,0)</f>
      </c>
      <c r="AF1912" s="111">
        <f>IF(AQ1912="2",BH1912,0)</f>
      </c>
      <c r="AG1912" s="111">
        <f>IF(AQ1912="2",BI1912,0)</f>
      </c>
      <c r="AH1912" s="111">
        <f>IF(AQ1912="0",BJ1912,0)</f>
      </c>
      <c r="AI1912" s="132" t="s">
        <v>84</v>
      </c>
      <c r="AJ1912" s="111">
        <f>IF(AN1912=0,I1912,0)</f>
      </c>
      <c r="AK1912" s="111">
        <f>IF(AN1912=12,I1912,0)</f>
      </c>
      <c r="AL1912" s="111">
        <f>IF(AN1912=21,I1912,0)</f>
      </c>
      <c r="AN1912" s="111" t="n">
        <v>21</v>
      </c>
      <c r="AO1912" s="111">
        <f>H1912*0.245074627</f>
      </c>
      <c r="AP1912" s="111">
        <f>H1912*(1-0.245074627)</f>
      </c>
      <c r="AQ1912" s="153" t="s">
        <v>173</v>
      </c>
      <c r="AV1912" s="111">
        <f>AW1912+AX1912</f>
      </c>
      <c r="AW1912" s="111">
        <f>G1912*AO1912</f>
      </c>
      <c r="AX1912" s="111">
        <f>G1912*AP1912</f>
      </c>
      <c r="AY1912" s="153" t="s">
        <v>2915</v>
      </c>
      <c r="AZ1912" s="153" t="s">
        <v>2764</v>
      </c>
      <c r="BA1912" s="132" t="s">
        <v>137</v>
      </c>
      <c r="BC1912" s="111">
        <f>AW1912+AX1912</f>
      </c>
      <c r="BD1912" s="111">
        <f>H1912/(100-BE1912)*100</f>
      </c>
      <c r="BE1912" s="111" t="n">
        <v>0</v>
      </c>
      <c r="BF1912" s="111">
        <f>1912</f>
      </c>
      <c r="BH1912" s="111">
        <f>G1912*AO1912</f>
      </c>
      <c r="BI1912" s="111">
        <f>G1912*AP1912</f>
      </c>
      <c r="BJ1912" s="111">
        <f>G1912*H1912</f>
      </c>
      <c r="BK1912" s="111"/>
      <c r="BL1912" s="111" t="n">
        <v>784</v>
      </c>
      <c r="BW1912" s="111" t="n">
        <v>21</v>
      </c>
      <c r="BX1912" s="14" t="s">
        <v>2914</v>
      </c>
    </row>
    <row r="1913">
      <c r="A1913" s="154"/>
      <c r="B1913" s="155"/>
      <c r="C1913" s="155"/>
      <c r="D1913" s="156" t="s">
        <v>2916</v>
      </c>
      <c r="E1913" s="156" t="s">
        <v>2917</v>
      </c>
      <c r="F1913" s="155"/>
      <c r="G1913" s="157" t="n">
        <v>23.17</v>
      </c>
      <c r="H1913" s="155"/>
      <c r="I1913" s="155"/>
      <c r="J1913" s="155"/>
      <c r="K1913" s="146"/>
    </row>
    <row r="1914">
      <c r="A1914" s="154"/>
      <c r="B1914" s="155"/>
      <c r="C1914" s="155"/>
      <c r="D1914" s="156" t="s">
        <v>2918</v>
      </c>
      <c r="E1914" s="156" t="s">
        <v>2919</v>
      </c>
      <c r="F1914" s="155"/>
      <c r="G1914" s="157" t="n">
        <v>85.04</v>
      </c>
      <c r="H1914" s="155"/>
      <c r="I1914" s="155"/>
      <c r="J1914" s="155"/>
      <c r="K1914" s="146"/>
    </row>
    <row r="1915">
      <c r="A1915" s="154"/>
      <c r="B1915" s="155"/>
      <c r="C1915" s="155"/>
      <c r="D1915" s="156" t="s">
        <v>2920</v>
      </c>
      <c r="E1915" s="156" t="s">
        <v>2921</v>
      </c>
      <c r="F1915" s="155"/>
      <c r="G1915" s="157" t="n">
        <v>47.1</v>
      </c>
      <c r="H1915" s="155"/>
      <c r="I1915" s="155"/>
      <c r="J1915" s="155"/>
      <c r="K1915" s="146"/>
    </row>
    <row r="1916">
      <c r="A1916" s="154"/>
      <c r="B1916" s="155"/>
      <c r="C1916" s="155"/>
      <c r="D1916" s="156" t="s">
        <v>2922</v>
      </c>
      <c r="E1916" s="156" t="s">
        <v>2923</v>
      </c>
      <c r="F1916" s="155"/>
      <c r="G1916" s="157" t="n">
        <v>790.61</v>
      </c>
      <c r="H1916" s="155"/>
      <c r="I1916" s="155"/>
      <c r="J1916" s="155"/>
      <c r="K1916" s="146"/>
    </row>
    <row r="1917">
      <c r="A1917" s="9" t="s">
        <v>2924</v>
      </c>
      <c r="B1917" s="10" t="s">
        <v>84</v>
      </c>
      <c r="C1917" s="10" t="s">
        <v>2925</v>
      </c>
      <c r="D1917" s="14" t="s">
        <v>2926</v>
      </c>
      <c r="E1917" s="10"/>
      <c r="F1917" s="10" t="s">
        <v>145</v>
      </c>
      <c r="G1917" s="111">
        <f>'Stavební rozpočet'!G1917</f>
      </c>
      <c r="H1917" s="111">
        <f>'Stavební rozpočet'!H1917</f>
      </c>
      <c r="I1917" s="111">
        <f>G1917*H1917</f>
      </c>
      <c r="J1917" s="153" t="s">
        <v>134</v>
      </c>
      <c r="K1917" s="146"/>
      <c r="Z1917" s="111">
        <f>IF(AQ1917="5",BJ1917,0)</f>
      </c>
      <c r="AB1917" s="111">
        <f>IF(AQ1917="1",BH1917,0)</f>
      </c>
      <c r="AC1917" s="111">
        <f>IF(AQ1917="1",BI1917,0)</f>
      </c>
      <c r="AD1917" s="111">
        <f>IF(AQ1917="7",BH1917,0)</f>
      </c>
      <c r="AE1917" s="111">
        <f>IF(AQ1917="7",BI1917,0)</f>
      </c>
      <c r="AF1917" s="111">
        <f>IF(AQ1917="2",BH1917,0)</f>
      </c>
      <c r="AG1917" s="111">
        <f>IF(AQ1917="2",BI1917,0)</f>
      </c>
      <c r="AH1917" s="111">
        <f>IF(AQ1917="0",BJ1917,0)</f>
      </c>
      <c r="AI1917" s="132" t="s">
        <v>84</v>
      </c>
      <c r="AJ1917" s="111">
        <f>IF(AN1917=0,I1917,0)</f>
      </c>
      <c r="AK1917" s="111">
        <f>IF(AN1917=12,I1917,0)</f>
      </c>
      <c r="AL1917" s="111">
        <f>IF(AN1917=21,I1917,0)</f>
      </c>
      <c r="AN1917" s="111" t="n">
        <v>21</v>
      </c>
      <c r="AO1917" s="111">
        <f>H1917*0.64223301</f>
      </c>
      <c r="AP1917" s="111">
        <f>H1917*(1-0.64223301)</f>
      </c>
      <c r="AQ1917" s="153" t="s">
        <v>173</v>
      </c>
      <c r="AV1917" s="111">
        <f>AW1917+AX1917</f>
      </c>
      <c r="AW1917" s="111">
        <f>G1917*AO1917</f>
      </c>
      <c r="AX1917" s="111">
        <f>G1917*AP1917</f>
      </c>
      <c r="AY1917" s="153" t="s">
        <v>2915</v>
      </c>
      <c r="AZ1917" s="153" t="s">
        <v>2764</v>
      </c>
      <c r="BA1917" s="132" t="s">
        <v>137</v>
      </c>
      <c r="BC1917" s="111">
        <f>AW1917+AX1917</f>
      </c>
      <c r="BD1917" s="111">
        <f>H1917/(100-BE1917)*100</f>
      </c>
      <c r="BE1917" s="111" t="n">
        <v>0</v>
      </c>
      <c r="BF1917" s="111">
        <f>1917</f>
      </c>
      <c r="BH1917" s="111">
        <f>G1917*AO1917</f>
      </c>
      <c r="BI1917" s="111">
        <f>G1917*AP1917</f>
      </c>
      <c r="BJ1917" s="111">
        <f>G1917*H1917</f>
      </c>
      <c r="BK1917" s="111"/>
      <c r="BL1917" s="111" t="n">
        <v>784</v>
      </c>
      <c r="BW1917" s="111" t="n">
        <v>21</v>
      </c>
      <c r="BX1917" s="14" t="s">
        <v>2926</v>
      </c>
    </row>
    <row r="1918" customHeight="true" ht="13.5">
      <c r="A1918" s="159"/>
      <c r="C1918" s="160" t="s">
        <v>146</v>
      </c>
      <c r="D1918" s="161" t="s">
        <v>2927</v>
      </c>
      <c r="E1918" s="156"/>
      <c r="F1918" s="156"/>
      <c r="G1918" s="156"/>
      <c r="H1918" s="156"/>
      <c r="I1918" s="156"/>
      <c r="J1918" s="156"/>
      <c r="K1918" s="163"/>
    </row>
    <row r="1919">
      <c r="A1919" s="154"/>
      <c r="B1919" s="155"/>
      <c r="C1919" s="155"/>
      <c r="D1919" s="156" t="s">
        <v>1382</v>
      </c>
      <c r="E1919" s="156" t="s">
        <v>421</v>
      </c>
      <c r="F1919" s="155"/>
      <c r="G1919" s="157" t="n">
        <v>181</v>
      </c>
      <c r="H1919" s="155"/>
      <c r="I1919" s="155"/>
      <c r="J1919" s="155"/>
      <c r="K1919" s="146"/>
    </row>
    <row r="1920">
      <c r="A1920" s="154"/>
      <c r="B1920" s="155"/>
      <c r="C1920" s="155"/>
      <c r="D1920" s="156" t="s">
        <v>1383</v>
      </c>
      <c r="E1920" s="156" t="s">
        <v>4</v>
      </c>
      <c r="F1920" s="155"/>
      <c r="G1920" s="157" t="n">
        <v>52</v>
      </c>
      <c r="H1920" s="155"/>
      <c r="I1920" s="155"/>
      <c r="J1920" s="155"/>
      <c r="K1920" s="146"/>
    </row>
    <row r="1921">
      <c r="A1921" s="154"/>
      <c r="B1921" s="155"/>
      <c r="C1921" s="155"/>
      <c r="D1921" s="156" t="s">
        <v>2928</v>
      </c>
      <c r="E1921" s="156" t="s">
        <v>4</v>
      </c>
      <c r="F1921" s="155"/>
      <c r="G1921" s="157" t="n">
        <v>270.1</v>
      </c>
      <c r="H1921" s="155"/>
      <c r="I1921" s="155"/>
      <c r="J1921" s="155"/>
      <c r="K1921" s="146"/>
    </row>
    <row r="1922">
      <c r="A1922" s="154"/>
      <c r="B1922" s="155"/>
      <c r="C1922" s="155"/>
      <c r="D1922" s="156" t="s">
        <v>1385</v>
      </c>
      <c r="E1922" s="156" t="s">
        <v>425</v>
      </c>
      <c r="F1922" s="155"/>
      <c r="G1922" s="157" t="n">
        <v>96.7</v>
      </c>
      <c r="H1922" s="155"/>
      <c r="I1922" s="155"/>
      <c r="J1922" s="155"/>
      <c r="K1922" s="146"/>
    </row>
    <row r="1923">
      <c r="A1923" s="154"/>
      <c r="B1923" s="155"/>
      <c r="C1923" s="155"/>
      <c r="D1923" s="156" t="s">
        <v>658</v>
      </c>
      <c r="E1923" s="156" t="s">
        <v>2929</v>
      </c>
      <c r="F1923" s="155"/>
      <c r="G1923" s="157" t="n">
        <v>80</v>
      </c>
      <c r="H1923" s="155"/>
      <c r="I1923" s="155"/>
      <c r="J1923" s="155"/>
      <c r="K1923" s="146"/>
    </row>
    <row r="1924">
      <c r="A1924" s="147" t="s">
        <v>4</v>
      </c>
      <c r="B1924" s="148" t="s">
        <v>84</v>
      </c>
      <c r="C1924" s="148" t="s">
        <v>2930</v>
      </c>
      <c r="D1924" s="149" t="s">
        <v>57</v>
      </c>
      <c r="E1924" s="148"/>
      <c r="F1924" s="150" t="s">
        <v>79</v>
      </c>
      <c r="G1924" s="150" t="s">
        <v>79</v>
      </c>
      <c r="H1924" s="150" t="s">
        <v>79</v>
      </c>
      <c r="I1924" s="117">
        <f>I1925+I1932+I1935+I1946+I1948+I1953</f>
      </c>
      <c r="J1924" s="132" t="s">
        <v>4</v>
      </c>
      <c r="K1924" s="146"/>
      <c r="AI1924" s="132" t="s">
        <v>84</v>
      </c>
    </row>
    <row r="1925">
      <c r="A1925" s="147" t="s">
        <v>4</v>
      </c>
      <c r="B1925" s="148" t="s">
        <v>84</v>
      </c>
      <c r="C1925" s="148" t="s">
        <v>2931</v>
      </c>
      <c r="D1925" s="149" t="s">
        <v>68</v>
      </c>
      <c r="E1925" s="148"/>
      <c r="F1925" s="150" t="s">
        <v>79</v>
      </c>
      <c r="G1925" s="150" t="s">
        <v>79</v>
      </c>
      <c r="H1925" s="150" t="s">
        <v>79</v>
      </c>
      <c r="I1925" s="117">
        <f>SUM(I1926:I1930)</f>
      </c>
      <c r="J1925" s="132" t="s">
        <v>4</v>
      </c>
      <c r="K1925" s="146"/>
      <c r="AI1925" s="132" t="s">
        <v>84</v>
      </c>
      <c r="AS1925" s="117">
        <f>SUM(AJ1926:AJ1930)</f>
      </c>
      <c r="AT1925" s="117">
        <f>SUM(AK1926:AK1930)</f>
      </c>
      <c r="AU1925" s="117">
        <f>SUM(AL1926:AL1930)</f>
      </c>
    </row>
    <row r="1926">
      <c r="A1926" s="9" t="s">
        <v>2932</v>
      </c>
      <c r="B1926" s="10" t="s">
        <v>84</v>
      </c>
      <c r="C1926" s="10" t="s">
        <v>2933</v>
      </c>
      <c r="D1926" s="14" t="s">
        <v>2934</v>
      </c>
      <c r="E1926" s="10"/>
      <c r="F1926" s="10" t="s">
        <v>2935</v>
      </c>
      <c r="G1926" s="111">
        <f>'Stavební rozpočet'!G1926</f>
      </c>
      <c r="H1926" s="111">
        <f>'Stavební rozpočet'!H1926</f>
      </c>
      <c r="I1926" s="111">
        <f>G1926*H1926</f>
      </c>
      <c r="J1926" s="153" t="s">
        <v>2936</v>
      </c>
      <c r="K1926" s="146"/>
      <c r="Z1926" s="111">
        <f>IF(AQ1926="5",BJ1926,0)</f>
      </c>
      <c r="AB1926" s="111">
        <f>IF(AQ1926="1",BH1926,0)</f>
      </c>
      <c r="AC1926" s="111">
        <f>IF(AQ1926="1",BI1926,0)</f>
      </c>
      <c r="AD1926" s="111">
        <f>IF(AQ1926="7",BH1926,0)</f>
      </c>
      <c r="AE1926" s="111">
        <f>IF(AQ1926="7",BI1926,0)</f>
      </c>
      <c r="AF1926" s="111">
        <f>IF(AQ1926="2",BH1926,0)</f>
      </c>
      <c r="AG1926" s="111">
        <f>IF(AQ1926="2",BI1926,0)</f>
      </c>
      <c r="AH1926" s="111">
        <f>IF(AQ1926="0",BJ1926,0)</f>
      </c>
      <c r="AI1926" s="132" t="s">
        <v>84</v>
      </c>
      <c r="AJ1926" s="111">
        <f>IF(AN1926=0,I1926,0)</f>
      </c>
      <c r="AK1926" s="111">
        <f>IF(AN1926=12,I1926,0)</f>
      </c>
      <c r="AL1926" s="111">
        <f>IF(AN1926=21,I1926,0)</f>
      </c>
      <c r="AN1926" s="111" t="n">
        <v>21</v>
      </c>
      <c r="AO1926" s="111">
        <f>H1926*0</f>
      </c>
      <c r="AP1926" s="111">
        <f>H1926*(1-0)</f>
      </c>
      <c r="AQ1926" s="153" t="s">
        <v>802</v>
      </c>
      <c r="AV1926" s="111">
        <f>AW1926+AX1926</f>
      </c>
      <c r="AW1926" s="111">
        <f>G1926*AO1926</f>
      </c>
      <c r="AX1926" s="111">
        <f>G1926*AP1926</f>
      </c>
      <c r="AY1926" s="153" t="s">
        <v>2937</v>
      </c>
      <c r="AZ1926" s="153" t="s">
        <v>2938</v>
      </c>
      <c r="BA1926" s="132" t="s">
        <v>137</v>
      </c>
      <c r="BC1926" s="111">
        <f>AW1926+AX1926</f>
      </c>
      <c r="BD1926" s="111">
        <f>H1926/(100-BE1926)*100</f>
      </c>
      <c r="BE1926" s="111" t="n">
        <v>0</v>
      </c>
      <c r="BF1926" s="111">
        <f>1926</f>
      </c>
      <c r="BH1926" s="111">
        <f>G1926*AO1926</f>
      </c>
      <c r="BI1926" s="111">
        <f>G1926*AP1926</f>
      </c>
      <c r="BJ1926" s="111">
        <f>G1926*H1926</f>
      </c>
      <c r="BK1926" s="111"/>
      <c r="BL1926" s="111"/>
      <c r="BM1926" s="111">
        <f>G1926*H1926</f>
      </c>
      <c r="BW1926" s="111" t="n">
        <v>21</v>
      </c>
      <c r="BX1926" s="14" t="s">
        <v>2934</v>
      </c>
    </row>
    <row r="1927" customHeight="true" ht="13.5">
      <c r="A1927" s="159"/>
      <c r="C1927" s="160" t="s">
        <v>146</v>
      </c>
      <c r="D1927" s="161" t="s">
        <v>2939</v>
      </c>
      <c r="E1927" s="156"/>
      <c r="F1927" s="156"/>
      <c r="G1927" s="156"/>
      <c r="H1927" s="156"/>
      <c r="I1927" s="156"/>
      <c r="J1927" s="156"/>
      <c r="K1927" s="163"/>
    </row>
    <row r="1928">
      <c r="A1928" s="9" t="s">
        <v>2940</v>
      </c>
      <c r="B1928" s="10" t="s">
        <v>84</v>
      </c>
      <c r="C1928" s="10" t="s">
        <v>2933</v>
      </c>
      <c r="D1928" s="14" t="s">
        <v>2941</v>
      </c>
      <c r="E1928" s="10"/>
      <c r="F1928" s="10" t="s">
        <v>2935</v>
      </c>
      <c r="G1928" s="111">
        <f>'Stavební rozpočet'!G1928</f>
      </c>
      <c r="H1928" s="111">
        <f>'Stavební rozpočet'!H1928</f>
      </c>
      <c r="I1928" s="111">
        <f>G1928*H1928</f>
      </c>
      <c r="J1928" s="153" t="s">
        <v>2936</v>
      </c>
      <c r="K1928" s="146"/>
      <c r="Z1928" s="111">
        <f>IF(AQ1928="5",BJ1928,0)</f>
      </c>
      <c r="AB1928" s="111">
        <f>IF(AQ1928="1",BH1928,0)</f>
      </c>
      <c r="AC1928" s="111">
        <f>IF(AQ1928="1",BI1928,0)</f>
      </c>
      <c r="AD1928" s="111">
        <f>IF(AQ1928="7",BH1928,0)</f>
      </c>
      <c r="AE1928" s="111">
        <f>IF(AQ1928="7",BI1928,0)</f>
      </c>
      <c r="AF1928" s="111">
        <f>IF(AQ1928="2",BH1928,0)</f>
      </c>
      <c r="AG1928" s="111">
        <f>IF(AQ1928="2",BI1928,0)</f>
      </c>
      <c r="AH1928" s="111">
        <f>IF(AQ1928="0",BJ1928,0)</f>
      </c>
      <c r="AI1928" s="132" t="s">
        <v>84</v>
      </c>
      <c r="AJ1928" s="111">
        <f>IF(AN1928=0,I1928,0)</f>
      </c>
      <c r="AK1928" s="111">
        <f>IF(AN1928=12,I1928,0)</f>
      </c>
      <c r="AL1928" s="111">
        <f>IF(AN1928=21,I1928,0)</f>
      </c>
      <c r="AN1928" s="111" t="n">
        <v>21</v>
      </c>
      <c r="AO1928" s="111">
        <f>H1928*0</f>
      </c>
      <c r="AP1928" s="111">
        <f>H1928*(1-0)</f>
      </c>
      <c r="AQ1928" s="153" t="s">
        <v>802</v>
      </c>
      <c r="AV1928" s="111">
        <f>AW1928+AX1928</f>
      </c>
      <c r="AW1928" s="111">
        <f>G1928*AO1928</f>
      </c>
      <c r="AX1928" s="111">
        <f>G1928*AP1928</f>
      </c>
      <c r="AY1928" s="153" t="s">
        <v>2937</v>
      </c>
      <c r="AZ1928" s="153" t="s">
        <v>2938</v>
      </c>
      <c r="BA1928" s="132" t="s">
        <v>137</v>
      </c>
      <c r="BC1928" s="111">
        <f>AW1928+AX1928</f>
      </c>
      <c r="BD1928" s="111">
        <f>H1928/(100-BE1928)*100</f>
      </c>
      <c r="BE1928" s="111" t="n">
        <v>0</v>
      </c>
      <c r="BF1928" s="111">
        <f>1928</f>
      </c>
      <c r="BH1928" s="111">
        <f>G1928*AO1928</f>
      </c>
      <c r="BI1928" s="111">
        <f>G1928*AP1928</f>
      </c>
      <c r="BJ1928" s="111">
        <f>G1928*H1928</f>
      </c>
      <c r="BK1928" s="111"/>
      <c r="BL1928" s="111"/>
      <c r="BM1928" s="111">
        <f>G1928*H1928</f>
      </c>
      <c r="BW1928" s="111" t="n">
        <v>21</v>
      </c>
      <c r="BX1928" s="14" t="s">
        <v>2941</v>
      </c>
    </row>
    <row r="1929" customHeight="true" ht="13.5">
      <c r="A1929" s="159"/>
      <c r="C1929" s="160" t="s">
        <v>146</v>
      </c>
      <c r="D1929" s="161" t="s">
        <v>2942</v>
      </c>
      <c r="E1929" s="156"/>
      <c r="F1929" s="156"/>
      <c r="G1929" s="156"/>
      <c r="H1929" s="156"/>
      <c r="I1929" s="156"/>
      <c r="J1929" s="156"/>
      <c r="K1929" s="163"/>
    </row>
    <row r="1930">
      <c r="A1930" s="9" t="s">
        <v>2943</v>
      </c>
      <c r="B1930" s="10" t="s">
        <v>84</v>
      </c>
      <c r="C1930" s="10" t="s">
        <v>2933</v>
      </c>
      <c r="D1930" s="14" t="s">
        <v>2944</v>
      </c>
      <c r="E1930" s="10"/>
      <c r="F1930" s="10" t="s">
        <v>2935</v>
      </c>
      <c r="G1930" s="111">
        <f>'Stavební rozpočet'!G1930</f>
      </c>
      <c r="H1930" s="111">
        <f>'Stavební rozpočet'!H1930</f>
      </c>
      <c r="I1930" s="111">
        <f>G1930*H1930</f>
      </c>
      <c r="J1930" s="153" t="s">
        <v>4</v>
      </c>
      <c r="K1930" s="146"/>
      <c r="Z1930" s="111">
        <f>IF(AQ1930="5",BJ1930,0)</f>
      </c>
      <c r="AB1930" s="111">
        <f>IF(AQ1930="1",BH1930,0)</f>
      </c>
      <c r="AC1930" s="111">
        <f>IF(AQ1930="1",BI1930,0)</f>
      </c>
      <c r="AD1930" s="111">
        <f>IF(AQ1930="7",BH1930,0)</f>
      </c>
      <c r="AE1930" s="111">
        <f>IF(AQ1930="7",BI1930,0)</f>
      </c>
      <c r="AF1930" s="111">
        <f>IF(AQ1930="2",BH1930,0)</f>
      </c>
      <c r="AG1930" s="111">
        <f>IF(AQ1930="2",BI1930,0)</f>
      </c>
      <c r="AH1930" s="111">
        <f>IF(AQ1930="0",BJ1930,0)</f>
      </c>
      <c r="AI1930" s="132" t="s">
        <v>84</v>
      </c>
      <c r="AJ1930" s="111">
        <f>IF(AN1930=0,I1930,0)</f>
      </c>
      <c r="AK1930" s="111">
        <f>IF(AN1930=12,I1930,0)</f>
      </c>
      <c r="AL1930" s="111">
        <f>IF(AN1930=21,I1930,0)</f>
      </c>
      <c r="AN1930" s="111" t="n">
        <v>21</v>
      </c>
      <c r="AO1930" s="111">
        <f>H1930*0</f>
      </c>
      <c r="AP1930" s="111">
        <f>H1930*(1-0)</f>
      </c>
      <c r="AQ1930" s="153" t="s">
        <v>802</v>
      </c>
      <c r="AV1930" s="111">
        <f>AW1930+AX1930</f>
      </c>
      <c r="AW1930" s="111">
        <f>G1930*AO1930</f>
      </c>
      <c r="AX1930" s="111">
        <f>G1930*AP1930</f>
      </c>
      <c r="AY1930" s="153" t="s">
        <v>2937</v>
      </c>
      <c r="AZ1930" s="153" t="s">
        <v>2938</v>
      </c>
      <c r="BA1930" s="132" t="s">
        <v>137</v>
      </c>
      <c r="BC1930" s="111">
        <f>AW1930+AX1930</f>
      </c>
      <c r="BD1930" s="111">
        <f>H1930/(100-BE1930)*100</f>
      </c>
      <c r="BE1930" s="111" t="n">
        <v>0</v>
      </c>
      <c r="BF1930" s="111">
        <f>1930</f>
      </c>
      <c r="BH1930" s="111">
        <f>G1930*AO1930</f>
      </c>
      <c r="BI1930" s="111">
        <f>G1930*AP1930</f>
      </c>
      <c r="BJ1930" s="111">
        <f>G1930*H1930</f>
      </c>
      <c r="BK1930" s="111"/>
      <c r="BL1930" s="111"/>
      <c r="BM1930" s="111">
        <f>G1930*H1930</f>
      </c>
      <c r="BW1930" s="111" t="n">
        <v>21</v>
      </c>
      <c r="BX1930" s="14" t="s">
        <v>2944</v>
      </c>
    </row>
    <row r="1931" customHeight="true" ht="13.5">
      <c r="A1931" s="159"/>
      <c r="C1931" s="160" t="s">
        <v>146</v>
      </c>
      <c r="D1931" s="161" t="s">
        <v>2945</v>
      </c>
      <c r="E1931" s="156"/>
      <c r="F1931" s="156"/>
      <c r="G1931" s="156"/>
      <c r="H1931" s="156"/>
      <c r="I1931" s="156"/>
      <c r="J1931" s="156"/>
      <c r="K1931" s="163"/>
    </row>
    <row r="1932">
      <c r="A1932" s="147" t="s">
        <v>4</v>
      </c>
      <c r="B1932" s="148" t="s">
        <v>84</v>
      </c>
      <c r="C1932" s="148" t="s">
        <v>2946</v>
      </c>
      <c r="D1932" s="149" t="s">
        <v>69</v>
      </c>
      <c r="E1932" s="148"/>
      <c r="F1932" s="150" t="s">
        <v>79</v>
      </c>
      <c r="G1932" s="150" t="s">
        <v>79</v>
      </c>
      <c r="H1932" s="150" t="s">
        <v>79</v>
      </c>
      <c r="I1932" s="117">
        <f>SUM(I1933:I1933)</f>
      </c>
      <c r="J1932" s="132" t="s">
        <v>4</v>
      </c>
      <c r="K1932" s="146"/>
      <c r="AI1932" s="132" t="s">
        <v>84</v>
      </c>
      <c r="AS1932" s="117">
        <f>SUM(AJ1933:AJ1933)</f>
      </c>
      <c r="AT1932" s="117">
        <f>SUM(AK1933:AK1933)</f>
      </c>
      <c r="AU1932" s="117">
        <f>SUM(AL1933:AL1933)</f>
      </c>
    </row>
    <row r="1933">
      <c r="A1933" s="9" t="s">
        <v>2947</v>
      </c>
      <c r="B1933" s="10" t="s">
        <v>84</v>
      </c>
      <c r="C1933" s="10" t="s">
        <v>2948</v>
      </c>
      <c r="D1933" s="14" t="s">
        <v>2949</v>
      </c>
      <c r="E1933" s="10"/>
      <c r="F1933" s="10" t="s">
        <v>2935</v>
      </c>
      <c r="G1933" s="111">
        <f>'Stavební rozpočet'!G1933</f>
      </c>
      <c r="H1933" s="111">
        <f>'Stavební rozpočet'!H1933</f>
      </c>
      <c r="I1933" s="111">
        <f>G1933*H1933</f>
      </c>
      <c r="J1933" s="153" t="s">
        <v>1608</v>
      </c>
      <c r="K1933" s="146"/>
      <c r="Z1933" s="111">
        <f>IF(AQ1933="5",BJ1933,0)</f>
      </c>
      <c r="AB1933" s="111">
        <f>IF(AQ1933="1",BH1933,0)</f>
      </c>
      <c r="AC1933" s="111">
        <f>IF(AQ1933="1",BI1933,0)</f>
      </c>
      <c r="AD1933" s="111">
        <f>IF(AQ1933="7",BH1933,0)</f>
      </c>
      <c r="AE1933" s="111">
        <f>IF(AQ1933="7",BI1933,0)</f>
      </c>
      <c r="AF1933" s="111">
        <f>IF(AQ1933="2",BH1933,0)</f>
      </c>
      <c r="AG1933" s="111">
        <f>IF(AQ1933="2",BI1933,0)</f>
      </c>
      <c r="AH1933" s="111">
        <f>IF(AQ1933="0",BJ1933,0)</f>
      </c>
      <c r="AI1933" s="132" t="s">
        <v>84</v>
      </c>
      <c r="AJ1933" s="111">
        <f>IF(AN1933=0,I1933,0)</f>
      </c>
      <c r="AK1933" s="111">
        <f>IF(AN1933=12,I1933,0)</f>
      </c>
      <c r="AL1933" s="111">
        <f>IF(AN1933=21,I1933,0)</f>
      </c>
      <c r="AN1933" s="111" t="n">
        <v>21</v>
      </c>
      <c r="AO1933" s="111">
        <f>H1933*0</f>
      </c>
      <c r="AP1933" s="111">
        <f>H1933*(1-0)</f>
      </c>
      <c r="AQ1933" s="153" t="s">
        <v>802</v>
      </c>
      <c r="AV1933" s="111">
        <f>AW1933+AX1933</f>
      </c>
      <c r="AW1933" s="111">
        <f>G1933*AO1933</f>
      </c>
      <c r="AX1933" s="111">
        <f>G1933*AP1933</f>
      </c>
      <c r="AY1933" s="153" t="s">
        <v>2950</v>
      </c>
      <c r="AZ1933" s="153" t="s">
        <v>2938</v>
      </c>
      <c r="BA1933" s="132" t="s">
        <v>137</v>
      </c>
      <c r="BC1933" s="111">
        <f>AW1933+AX1933</f>
      </c>
      <c r="BD1933" s="111">
        <f>H1933/(100-BE1933)*100</f>
      </c>
      <c r="BE1933" s="111" t="n">
        <v>0</v>
      </c>
      <c r="BF1933" s="111">
        <f>1933</f>
      </c>
      <c r="BH1933" s="111">
        <f>G1933*AO1933</f>
      </c>
      <c r="BI1933" s="111">
        <f>G1933*AP1933</f>
      </c>
      <c r="BJ1933" s="111">
        <f>G1933*H1933</f>
      </c>
      <c r="BK1933" s="111"/>
      <c r="BL1933" s="111"/>
      <c r="BN1933" s="111">
        <f>G1933*H1933</f>
      </c>
      <c r="BW1933" s="111" t="n">
        <v>21</v>
      </c>
      <c r="BX1933" s="14" t="s">
        <v>2949</v>
      </c>
    </row>
    <row r="1934">
      <c r="A1934" s="159"/>
      <c r="D1934" s="156" t="s">
        <v>130</v>
      </c>
      <c r="E1934" s="156" t="s">
        <v>4</v>
      </c>
      <c r="G1934" s="157" t="n">
        <v>1</v>
      </c>
      <c r="K1934" s="146"/>
    </row>
    <row r="1935">
      <c r="A1935" s="147" t="s">
        <v>4</v>
      </c>
      <c r="B1935" s="148" t="s">
        <v>84</v>
      </c>
      <c r="C1935" s="148" t="s">
        <v>2951</v>
      </c>
      <c r="D1935" s="149" t="s">
        <v>25</v>
      </c>
      <c r="E1935" s="148"/>
      <c r="F1935" s="150" t="s">
        <v>79</v>
      </c>
      <c r="G1935" s="150" t="s">
        <v>79</v>
      </c>
      <c r="H1935" s="150" t="s">
        <v>79</v>
      </c>
      <c r="I1935" s="117">
        <f>SUM(I1936:I1943)</f>
      </c>
      <c r="J1935" s="132" t="s">
        <v>4</v>
      </c>
      <c r="K1935" s="146"/>
      <c r="AI1935" s="132" t="s">
        <v>84</v>
      </c>
      <c r="AS1935" s="117">
        <f>SUM(AJ1936:AJ1943)</f>
      </c>
      <c r="AT1935" s="117">
        <f>SUM(AK1936:AK1943)</f>
      </c>
      <c r="AU1935" s="117">
        <f>SUM(AL1936:AL1943)</f>
      </c>
    </row>
    <row r="1936">
      <c r="A1936" s="9" t="s">
        <v>2952</v>
      </c>
      <c r="B1936" s="10" t="s">
        <v>84</v>
      </c>
      <c r="C1936" s="10" t="s">
        <v>2953</v>
      </c>
      <c r="D1936" s="14" t="s">
        <v>2954</v>
      </c>
      <c r="E1936" s="10"/>
      <c r="F1936" s="10" t="s">
        <v>2935</v>
      </c>
      <c r="G1936" s="111">
        <f>'Stavební rozpočet'!G1936</f>
      </c>
      <c r="H1936" s="111">
        <f>'Stavební rozpočet'!H1936</f>
      </c>
      <c r="I1936" s="111">
        <f>G1936*H1936</f>
      </c>
      <c r="J1936" s="153" t="s">
        <v>2936</v>
      </c>
      <c r="K1936" s="146"/>
      <c r="Z1936" s="111">
        <f>IF(AQ1936="5",BJ1936,0)</f>
      </c>
      <c r="AB1936" s="111">
        <f>IF(AQ1936="1",BH1936,0)</f>
      </c>
      <c r="AC1936" s="111">
        <f>IF(AQ1936="1",BI1936,0)</f>
      </c>
      <c r="AD1936" s="111">
        <f>IF(AQ1936="7",BH1936,0)</f>
      </c>
      <c r="AE1936" s="111">
        <f>IF(AQ1936="7",BI1936,0)</f>
      </c>
      <c r="AF1936" s="111">
        <f>IF(AQ1936="2",BH1936,0)</f>
      </c>
      <c r="AG1936" s="111">
        <f>IF(AQ1936="2",BI1936,0)</f>
      </c>
      <c r="AH1936" s="111">
        <f>IF(AQ1936="0",BJ1936,0)</f>
      </c>
      <c r="AI1936" s="132" t="s">
        <v>84</v>
      </c>
      <c r="AJ1936" s="111">
        <f>IF(AN1936=0,I1936,0)</f>
      </c>
      <c r="AK1936" s="111">
        <f>IF(AN1936=12,I1936,0)</f>
      </c>
      <c r="AL1936" s="111">
        <f>IF(AN1936=21,I1936,0)</f>
      </c>
      <c r="AN1936" s="111" t="n">
        <v>21</v>
      </c>
      <c r="AO1936" s="111">
        <f>H1936*0</f>
      </c>
      <c r="AP1936" s="111">
        <f>H1936*(1-0)</f>
      </c>
      <c r="AQ1936" s="153" t="s">
        <v>802</v>
      </c>
      <c r="AV1936" s="111">
        <f>AW1936+AX1936</f>
      </c>
      <c r="AW1936" s="111">
        <f>G1936*AO1936</f>
      </c>
      <c r="AX1936" s="111">
        <f>G1936*AP1936</f>
      </c>
      <c r="AY1936" s="153" t="s">
        <v>2955</v>
      </c>
      <c r="AZ1936" s="153" t="s">
        <v>2938</v>
      </c>
      <c r="BA1936" s="132" t="s">
        <v>137</v>
      </c>
      <c r="BC1936" s="111">
        <f>AW1936+AX1936</f>
      </c>
      <c r="BD1936" s="111">
        <f>H1936/(100-BE1936)*100</f>
      </c>
      <c r="BE1936" s="111" t="n">
        <v>0</v>
      </c>
      <c r="BF1936" s="111">
        <f>1936</f>
      </c>
      <c r="BH1936" s="111">
        <f>G1936*AO1936</f>
      </c>
      <c r="BI1936" s="111">
        <f>G1936*AP1936</f>
      </c>
      <c r="BJ1936" s="111">
        <f>G1936*H1936</f>
      </c>
      <c r="BK1936" s="111"/>
      <c r="BL1936" s="111"/>
      <c r="BO1936" s="111">
        <f>G1936*H1936</f>
      </c>
      <c r="BW1936" s="111" t="n">
        <v>21</v>
      </c>
      <c r="BX1936" s="14" t="s">
        <v>2954</v>
      </c>
    </row>
    <row r="1937" customHeight="true" ht="13.5">
      <c r="A1937" s="159"/>
      <c r="C1937" s="160" t="s">
        <v>146</v>
      </c>
      <c r="D1937" s="161" t="s">
        <v>2956</v>
      </c>
      <c r="E1937" s="156"/>
      <c r="F1937" s="156"/>
      <c r="G1937" s="156"/>
      <c r="H1937" s="156"/>
      <c r="I1937" s="156"/>
      <c r="J1937" s="156"/>
      <c r="K1937" s="163"/>
    </row>
    <row r="1938">
      <c r="A1938" s="154"/>
      <c r="B1938" s="155"/>
      <c r="C1938" s="155"/>
      <c r="D1938" s="156" t="s">
        <v>130</v>
      </c>
      <c r="E1938" s="156" t="s">
        <v>2957</v>
      </c>
      <c r="F1938" s="155"/>
      <c r="G1938" s="157" t="n">
        <v>1</v>
      </c>
      <c r="H1938" s="155"/>
      <c r="I1938" s="155"/>
      <c r="J1938" s="155"/>
      <c r="K1938" s="146"/>
    </row>
    <row r="1939">
      <c r="A1939" s="9" t="s">
        <v>2958</v>
      </c>
      <c r="B1939" s="10" t="s">
        <v>84</v>
      </c>
      <c r="C1939" s="10" t="s">
        <v>2959</v>
      </c>
      <c r="D1939" s="14" t="s">
        <v>2960</v>
      </c>
      <c r="E1939" s="10"/>
      <c r="F1939" s="10" t="s">
        <v>2935</v>
      </c>
      <c r="G1939" s="111">
        <f>'Stavební rozpočet'!G1939</f>
      </c>
      <c r="H1939" s="111">
        <f>'Stavební rozpočet'!H1939</f>
      </c>
      <c r="I1939" s="111">
        <f>G1939*H1939</f>
      </c>
      <c r="J1939" s="153" t="s">
        <v>4</v>
      </c>
      <c r="K1939" s="146"/>
      <c r="Z1939" s="111">
        <f>IF(AQ1939="5",BJ1939,0)</f>
      </c>
      <c r="AB1939" s="111">
        <f>IF(AQ1939="1",BH1939,0)</f>
      </c>
      <c r="AC1939" s="111">
        <f>IF(AQ1939="1",BI1939,0)</f>
      </c>
      <c r="AD1939" s="111">
        <f>IF(AQ1939="7",BH1939,0)</f>
      </c>
      <c r="AE1939" s="111">
        <f>IF(AQ1939="7",BI1939,0)</f>
      </c>
      <c r="AF1939" s="111">
        <f>IF(AQ1939="2",BH1939,0)</f>
      </c>
      <c r="AG1939" s="111">
        <f>IF(AQ1939="2",BI1939,0)</f>
      </c>
      <c r="AH1939" s="111">
        <f>IF(AQ1939="0",BJ1939,0)</f>
      </c>
      <c r="AI1939" s="132" t="s">
        <v>84</v>
      </c>
      <c r="AJ1939" s="111">
        <f>IF(AN1939=0,I1939,0)</f>
      </c>
      <c r="AK1939" s="111">
        <f>IF(AN1939=12,I1939,0)</f>
      </c>
      <c r="AL1939" s="111">
        <f>IF(AN1939=21,I1939,0)</f>
      </c>
      <c r="AN1939" s="111" t="n">
        <v>21</v>
      </c>
      <c r="AO1939" s="111">
        <f>H1939*0</f>
      </c>
      <c r="AP1939" s="111">
        <f>H1939*(1-0)</f>
      </c>
      <c r="AQ1939" s="153" t="s">
        <v>802</v>
      </c>
      <c r="AV1939" s="111">
        <f>AW1939+AX1939</f>
      </c>
      <c r="AW1939" s="111">
        <f>G1939*AO1939</f>
      </c>
      <c r="AX1939" s="111">
        <f>G1939*AP1939</f>
      </c>
      <c r="AY1939" s="153" t="s">
        <v>2955</v>
      </c>
      <c r="AZ1939" s="153" t="s">
        <v>2938</v>
      </c>
      <c r="BA1939" s="132" t="s">
        <v>137</v>
      </c>
      <c r="BC1939" s="111">
        <f>AW1939+AX1939</f>
      </c>
      <c r="BD1939" s="111">
        <f>H1939/(100-BE1939)*100</f>
      </c>
      <c r="BE1939" s="111" t="n">
        <v>0</v>
      </c>
      <c r="BF1939" s="111">
        <f>1939</f>
      </c>
      <c r="BH1939" s="111">
        <f>G1939*AO1939</f>
      </c>
      <c r="BI1939" s="111">
        <f>G1939*AP1939</f>
      </c>
      <c r="BJ1939" s="111">
        <f>G1939*H1939</f>
      </c>
      <c r="BK1939" s="111"/>
      <c r="BL1939" s="111"/>
      <c r="BO1939" s="111">
        <f>G1939*H1939</f>
      </c>
      <c r="BW1939" s="111" t="n">
        <v>21</v>
      </c>
      <c r="BX1939" s="14" t="s">
        <v>2960</v>
      </c>
    </row>
    <row r="1940" customHeight="true" ht="13.5">
      <c r="A1940" s="159"/>
      <c r="C1940" s="160" t="s">
        <v>146</v>
      </c>
      <c r="D1940" s="161" t="s">
        <v>2961</v>
      </c>
      <c r="E1940" s="156"/>
      <c r="F1940" s="156"/>
      <c r="G1940" s="156"/>
      <c r="H1940" s="156"/>
      <c r="I1940" s="156"/>
      <c r="J1940" s="156"/>
      <c r="K1940" s="163"/>
    </row>
    <row r="1941">
      <c r="A1941" s="9" t="s">
        <v>2962</v>
      </c>
      <c r="B1941" s="10" t="s">
        <v>84</v>
      </c>
      <c r="C1941" s="10" t="s">
        <v>2959</v>
      </c>
      <c r="D1941" s="14" t="s">
        <v>2960</v>
      </c>
      <c r="E1941" s="10"/>
      <c r="F1941" s="10" t="s">
        <v>2935</v>
      </c>
      <c r="G1941" s="111">
        <f>'Stavební rozpočet'!G1941</f>
      </c>
      <c r="H1941" s="111">
        <f>'Stavební rozpočet'!H1941</f>
      </c>
      <c r="I1941" s="111">
        <f>G1941*H1941</f>
      </c>
      <c r="J1941" s="153" t="s">
        <v>2936</v>
      </c>
      <c r="K1941" s="146"/>
      <c r="Z1941" s="111">
        <f>IF(AQ1941="5",BJ1941,0)</f>
      </c>
      <c r="AB1941" s="111">
        <f>IF(AQ1941="1",BH1941,0)</f>
      </c>
      <c r="AC1941" s="111">
        <f>IF(AQ1941="1",BI1941,0)</f>
      </c>
      <c r="AD1941" s="111">
        <f>IF(AQ1941="7",BH1941,0)</f>
      </c>
      <c r="AE1941" s="111">
        <f>IF(AQ1941="7",BI1941,0)</f>
      </c>
      <c r="AF1941" s="111">
        <f>IF(AQ1941="2",BH1941,0)</f>
      </c>
      <c r="AG1941" s="111">
        <f>IF(AQ1941="2",BI1941,0)</f>
      </c>
      <c r="AH1941" s="111">
        <f>IF(AQ1941="0",BJ1941,0)</f>
      </c>
      <c r="AI1941" s="132" t="s">
        <v>84</v>
      </c>
      <c r="AJ1941" s="111">
        <f>IF(AN1941=0,I1941,0)</f>
      </c>
      <c r="AK1941" s="111">
        <f>IF(AN1941=12,I1941,0)</f>
      </c>
      <c r="AL1941" s="111">
        <f>IF(AN1941=21,I1941,0)</f>
      </c>
      <c r="AN1941" s="111" t="n">
        <v>21</v>
      </c>
      <c r="AO1941" s="111">
        <f>H1941*0</f>
      </c>
      <c r="AP1941" s="111">
        <f>H1941*(1-0)</f>
      </c>
      <c r="AQ1941" s="153" t="s">
        <v>802</v>
      </c>
      <c r="AV1941" s="111">
        <f>AW1941+AX1941</f>
      </c>
      <c r="AW1941" s="111">
        <f>G1941*AO1941</f>
      </c>
      <c r="AX1941" s="111">
        <f>G1941*AP1941</f>
      </c>
      <c r="AY1941" s="153" t="s">
        <v>2955</v>
      </c>
      <c r="AZ1941" s="153" t="s">
        <v>2938</v>
      </c>
      <c r="BA1941" s="132" t="s">
        <v>137</v>
      </c>
      <c r="BC1941" s="111">
        <f>AW1941+AX1941</f>
      </c>
      <c r="BD1941" s="111">
        <f>H1941/(100-BE1941)*100</f>
      </c>
      <c r="BE1941" s="111" t="n">
        <v>0</v>
      </c>
      <c r="BF1941" s="111">
        <f>1941</f>
      </c>
      <c r="BH1941" s="111">
        <f>G1941*AO1941</f>
      </c>
      <c r="BI1941" s="111">
        <f>G1941*AP1941</f>
      </c>
      <c r="BJ1941" s="111">
        <f>G1941*H1941</f>
      </c>
      <c r="BK1941" s="111"/>
      <c r="BL1941" s="111"/>
      <c r="BO1941" s="111">
        <f>G1941*H1941</f>
      </c>
      <c r="BW1941" s="111" t="n">
        <v>21</v>
      </c>
      <c r="BX1941" s="14" t="s">
        <v>2960</v>
      </c>
    </row>
    <row r="1942" customHeight="true" ht="13.5">
      <c r="A1942" s="159"/>
      <c r="C1942" s="160" t="s">
        <v>146</v>
      </c>
      <c r="D1942" s="161" t="s">
        <v>2963</v>
      </c>
      <c r="E1942" s="156"/>
      <c r="F1942" s="156"/>
      <c r="G1942" s="156"/>
      <c r="H1942" s="156"/>
      <c r="I1942" s="156"/>
      <c r="J1942" s="156"/>
      <c r="K1942" s="163"/>
    </row>
    <row r="1943">
      <c r="A1943" s="9" t="s">
        <v>2964</v>
      </c>
      <c r="B1943" s="10" t="s">
        <v>84</v>
      </c>
      <c r="C1943" s="10" t="s">
        <v>2959</v>
      </c>
      <c r="D1943" s="14" t="s">
        <v>2965</v>
      </c>
      <c r="E1943" s="10"/>
      <c r="F1943" s="10" t="s">
        <v>2935</v>
      </c>
      <c r="G1943" s="111">
        <f>'Stavební rozpočet'!G1943</f>
      </c>
      <c r="H1943" s="111">
        <f>'Stavební rozpočet'!H1943</f>
      </c>
      <c r="I1943" s="111">
        <f>G1943*H1943</f>
      </c>
      <c r="J1943" s="153" t="s">
        <v>1608</v>
      </c>
      <c r="K1943" s="146"/>
      <c r="Z1943" s="111">
        <f>IF(AQ1943="5",BJ1943,0)</f>
      </c>
      <c r="AB1943" s="111">
        <f>IF(AQ1943="1",BH1943,0)</f>
      </c>
      <c r="AC1943" s="111">
        <f>IF(AQ1943="1",BI1943,0)</f>
      </c>
      <c r="AD1943" s="111">
        <f>IF(AQ1943="7",BH1943,0)</f>
      </c>
      <c r="AE1943" s="111">
        <f>IF(AQ1943="7",BI1943,0)</f>
      </c>
      <c r="AF1943" s="111">
        <f>IF(AQ1943="2",BH1943,0)</f>
      </c>
      <c r="AG1943" s="111">
        <f>IF(AQ1943="2",BI1943,0)</f>
      </c>
      <c r="AH1943" s="111">
        <f>IF(AQ1943="0",BJ1943,0)</f>
      </c>
      <c r="AI1943" s="132" t="s">
        <v>84</v>
      </c>
      <c r="AJ1943" s="111">
        <f>IF(AN1943=0,I1943,0)</f>
      </c>
      <c r="AK1943" s="111">
        <f>IF(AN1943=12,I1943,0)</f>
      </c>
      <c r="AL1943" s="111">
        <f>IF(AN1943=21,I1943,0)</f>
      </c>
      <c r="AN1943" s="111" t="n">
        <v>21</v>
      </c>
      <c r="AO1943" s="111">
        <f>H1943*0</f>
      </c>
      <c r="AP1943" s="111">
        <f>H1943*(1-0)</f>
      </c>
      <c r="AQ1943" s="153" t="s">
        <v>802</v>
      </c>
      <c r="AV1943" s="111">
        <f>AW1943+AX1943</f>
      </c>
      <c r="AW1943" s="111">
        <f>G1943*AO1943</f>
      </c>
      <c r="AX1943" s="111">
        <f>G1943*AP1943</f>
      </c>
      <c r="AY1943" s="153" t="s">
        <v>2955</v>
      </c>
      <c r="AZ1943" s="153" t="s">
        <v>2938</v>
      </c>
      <c r="BA1943" s="132" t="s">
        <v>137</v>
      </c>
      <c r="BC1943" s="111">
        <f>AW1943+AX1943</f>
      </c>
      <c r="BD1943" s="111">
        <f>H1943/(100-BE1943)*100</f>
      </c>
      <c r="BE1943" s="111" t="n">
        <v>0</v>
      </c>
      <c r="BF1943" s="111">
        <f>1943</f>
      </c>
      <c r="BH1943" s="111">
        <f>G1943*AO1943</f>
      </c>
      <c r="BI1943" s="111">
        <f>G1943*AP1943</f>
      </c>
      <c r="BJ1943" s="111">
        <f>G1943*H1943</f>
      </c>
      <c r="BK1943" s="111"/>
      <c r="BL1943" s="111"/>
      <c r="BO1943" s="111">
        <f>G1943*H1943</f>
      </c>
      <c r="BW1943" s="111" t="n">
        <v>21</v>
      </c>
      <c r="BX1943" s="14" t="s">
        <v>2965</v>
      </c>
    </row>
    <row r="1944" customHeight="true" ht="13.5">
      <c r="A1944" s="159"/>
      <c r="C1944" s="160" t="s">
        <v>146</v>
      </c>
      <c r="D1944" s="161" t="s">
        <v>2966</v>
      </c>
      <c r="E1944" s="156"/>
      <c r="F1944" s="156"/>
      <c r="G1944" s="156"/>
      <c r="H1944" s="156"/>
      <c r="I1944" s="156"/>
      <c r="J1944" s="156"/>
      <c r="K1944" s="163"/>
    </row>
    <row r="1945">
      <c r="A1945" s="159"/>
      <c r="D1945" s="156" t="s">
        <v>130</v>
      </c>
      <c r="E1945" s="156" t="s">
        <v>4</v>
      </c>
      <c r="G1945" s="157" t="n">
        <v>1</v>
      </c>
      <c r="K1945" s="146"/>
    </row>
    <row r="1946">
      <c r="A1946" s="147" t="s">
        <v>4</v>
      </c>
      <c r="B1946" s="148" t="s">
        <v>84</v>
      </c>
      <c r="C1946" s="148" t="s">
        <v>2967</v>
      </c>
      <c r="D1946" s="149" t="s">
        <v>71</v>
      </c>
      <c r="E1946" s="148"/>
      <c r="F1946" s="150" t="s">
        <v>79</v>
      </c>
      <c r="G1946" s="150" t="s">
        <v>79</v>
      </c>
      <c r="H1946" s="150" t="s">
        <v>79</v>
      </c>
      <c r="I1946" s="117">
        <f>SUM(I1947:I1947)</f>
      </c>
      <c r="J1946" s="132" t="s">
        <v>4</v>
      </c>
      <c r="K1946" s="146"/>
      <c r="AI1946" s="132" t="s">
        <v>84</v>
      </c>
      <c r="AS1946" s="117">
        <f>SUM(AJ1947:AJ1947)</f>
      </c>
      <c r="AT1946" s="117">
        <f>SUM(AK1947:AK1947)</f>
      </c>
      <c r="AU1946" s="117">
        <f>SUM(AL1947:AL1947)</f>
      </c>
    </row>
    <row r="1947">
      <c r="A1947" s="9" t="s">
        <v>2968</v>
      </c>
      <c r="B1947" s="10" t="s">
        <v>84</v>
      </c>
      <c r="C1947" s="10" t="s">
        <v>2969</v>
      </c>
      <c r="D1947" s="14" t="s">
        <v>2970</v>
      </c>
      <c r="E1947" s="10"/>
      <c r="F1947" s="10" t="s">
        <v>2935</v>
      </c>
      <c r="G1947" s="111">
        <f>'Stavební rozpočet'!G1947</f>
      </c>
      <c r="H1947" s="111">
        <f>'Stavební rozpočet'!H1947</f>
      </c>
      <c r="I1947" s="111">
        <f>G1947*H1947</f>
      </c>
      <c r="J1947" s="153" t="s">
        <v>2936</v>
      </c>
      <c r="K1947" s="146"/>
      <c r="Z1947" s="111">
        <f>IF(AQ1947="5",BJ1947,0)</f>
      </c>
      <c r="AB1947" s="111">
        <f>IF(AQ1947="1",BH1947,0)</f>
      </c>
      <c r="AC1947" s="111">
        <f>IF(AQ1947="1",BI1947,0)</f>
      </c>
      <c r="AD1947" s="111">
        <f>IF(AQ1947="7",BH1947,0)</f>
      </c>
      <c r="AE1947" s="111">
        <f>IF(AQ1947="7",BI1947,0)</f>
      </c>
      <c r="AF1947" s="111">
        <f>IF(AQ1947="2",BH1947,0)</f>
      </c>
      <c r="AG1947" s="111">
        <f>IF(AQ1947="2",BI1947,0)</f>
      </c>
      <c r="AH1947" s="111">
        <f>IF(AQ1947="0",BJ1947,0)</f>
      </c>
      <c r="AI1947" s="132" t="s">
        <v>84</v>
      </c>
      <c r="AJ1947" s="111">
        <f>IF(AN1947=0,I1947,0)</f>
      </c>
      <c r="AK1947" s="111">
        <f>IF(AN1947=12,I1947,0)</f>
      </c>
      <c r="AL1947" s="111">
        <f>IF(AN1947=21,I1947,0)</f>
      </c>
      <c r="AN1947" s="111" t="n">
        <v>21</v>
      </c>
      <c r="AO1947" s="111">
        <f>H1947*0</f>
      </c>
      <c r="AP1947" s="111">
        <f>H1947*(1-0)</f>
      </c>
      <c r="AQ1947" s="153" t="s">
        <v>802</v>
      </c>
      <c r="AV1947" s="111">
        <f>AW1947+AX1947</f>
      </c>
      <c r="AW1947" s="111">
        <f>G1947*AO1947</f>
      </c>
      <c r="AX1947" s="111">
        <f>G1947*AP1947</f>
      </c>
      <c r="AY1947" s="153" t="s">
        <v>2971</v>
      </c>
      <c r="AZ1947" s="153" t="s">
        <v>2938</v>
      </c>
      <c r="BA1947" s="132" t="s">
        <v>137</v>
      </c>
      <c r="BC1947" s="111">
        <f>AW1947+AX1947</f>
      </c>
      <c r="BD1947" s="111">
        <f>H1947/(100-BE1947)*100</f>
      </c>
      <c r="BE1947" s="111" t="n">
        <v>0</v>
      </c>
      <c r="BF1947" s="111">
        <f>1947</f>
      </c>
      <c r="BH1947" s="111">
        <f>G1947*AO1947</f>
      </c>
      <c r="BI1947" s="111">
        <f>G1947*AP1947</f>
      </c>
      <c r="BJ1947" s="111">
        <f>G1947*H1947</f>
      </c>
      <c r="BK1947" s="111"/>
      <c r="BL1947" s="111"/>
      <c r="BQ1947" s="111">
        <f>G1947*H1947</f>
      </c>
      <c r="BW1947" s="111" t="n">
        <v>21</v>
      </c>
      <c r="BX1947" s="14" t="s">
        <v>2970</v>
      </c>
    </row>
    <row r="1948">
      <c r="A1948" s="147" t="s">
        <v>4</v>
      </c>
      <c r="B1948" s="148" t="s">
        <v>84</v>
      </c>
      <c r="C1948" s="148" t="s">
        <v>2972</v>
      </c>
      <c r="D1948" s="149" t="s">
        <v>32</v>
      </c>
      <c r="E1948" s="148"/>
      <c r="F1948" s="150" t="s">
        <v>79</v>
      </c>
      <c r="G1948" s="150" t="s">
        <v>79</v>
      </c>
      <c r="H1948" s="150" t="s">
        <v>79</v>
      </c>
      <c r="I1948" s="117">
        <f>SUM(I1949:I1950)</f>
      </c>
      <c r="J1948" s="132" t="s">
        <v>4</v>
      </c>
      <c r="K1948" s="146"/>
      <c r="AI1948" s="132" t="s">
        <v>84</v>
      </c>
      <c r="AS1948" s="117">
        <f>SUM(AJ1949:AJ1950)</f>
      </c>
      <c r="AT1948" s="117">
        <f>SUM(AK1949:AK1950)</f>
      </c>
      <c r="AU1948" s="117">
        <f>SUM(AL1949:AL1950)</f>
      </c>
    </row>
    <row r="1949">
      <c r="A1949" s="9" t="s">
        <v>2973</v>
      </c>
      <c r="B1949" s="10" t="s">
        <v>84</v>
      </c>
      <c r="C1949" s="10" t="s">
        <v>2974</v>
      </c>
      <c r="D1949" s="14" t="s">
        <v>32</v>
      </c>
      <c r="E1949" s="10"/>
      <c r="F1949" s="10" t="s">
        <v>2935</v>
      </c>
      <c r="G1949" s="111">
        <f>'Stavební rozpočet'!G1949</f>
      </c>
      <c r="H1949" s="111">
        <f>'Stavební rozpočet'!H1949</f>
      </c>
      <c r="I1949" s="111">
        <f>G1949*H1949</f>
      </c>
      <c r="J1949" s="153" t="s">
        <v>2936</v>
      </c>
      <c r="K1949" s="146"/>
      <c r="Z1949" s="111">
        <f>IF(AQ1949="5",BJ1949,0)</f>
      </c>
      <c r="AB1949" s="111">
        <f>IF(AQ1949="1",BH1949,0)</f>
      </c>
      <c r="AC1949" s="111">
        <f>IF(AQ1949="1",BI1949,0)</f>
      </c>
      <c r="AD1949" s="111">
        <f>IF(AQ1949="7",BH1949,0)</f>
      </c>
      <c r="AE1949" s="111">
        <f>IF(AQ1949="7",BI1949,0)</f>
      </c>
      <c r="AF1949" s="111">
        <f>IF(AQ1949="2",BH1949,0)</f>
      </c>
      <c r="AG1949" s="111">
        <f>IF(AQ1949="2",BI1949,0)</f>
      </c>
      <c r="AH1949" s="111">
        <f>IF(AQ1949="0",BJ1949,0)</f>
      </c>
      <c r="AI1949" s="132" t="s">
        <v>84</v>
      </c>
      <c r="AJ1949" s="111">
        <f>IF(AN1949=0,I1949,0)</f>
      </c>
      <c r="AK1949" s="111">
        <f>IF(AN1949=12,I1949,0)</f>
      </c>
      <c r="AL1949" s="111">
        <f>IF(AN1949=21,I1949,0)</f>
      </c>
      <c r="AN1949" s="111" t="n">
        <v>21</v>
      </c>
      <c r="AO1949" s="111">
        <f>H1949*0</f>
      </c>
      <c r="AP1949" s="111">
        <f>H1949*(1-0)</f>
      </c>
      <c r="AQ1949" s="153" t="s">
        <v>802</v>
      </c>
      <c r="AV1949" s="111">
        <f>AW1949+AX1949</f>
      </c>
      <c r="AW1949" s="111">
        <f>G1949*AO1949</f>
      </c>
      <c r="AX1949" s="111">
        <f>G1949*AP1949</f>
      </c>
      <c r="AY1949" s="153" t="s">
        <v>2975</v>
      </c>
      <c r="AZ1949" s="153" t="s">
        <v>2938</v>
      </c>
      <c r="BA1949" s="132" t="s">
        <v>137</v>
      </c>
      <c r="BC1949" s="111">
        <f>AW1949+AX1949</f>
      </c>
      <c r="BD1949" s="111">
        <f>H1949/(100-BE1949)*100</f>
      </c>
      <c r="BE1949" s="111" t="n">
        <v>0</v>
      </c>
      <c r="BF1949" s="111">
        <f>1949</f>
      </c>
      <c r="BH1949" s="111">
        <f>G1949*AO1949</f>
      </c>
      <c r="BI1949" s="111">
        <f>G1949*AP1949</f>
      </c>
      <c r="BJ1949" s="111">
        <f>G1949*H1949</f>
      </c>
      <c r="BK1949" s="111"/>
      <c r="BL1949" s="111"/>
      <c r="BS1949" s="111">
        <f>G1949*H1949</f>
      </c>
      <c r="BW1949" s="111" t="n">
        <v>21</v>
      </c>
      <c r="BX1949" s="14" t="s">
        <v>32</v>
      </c>
    </row>
    <row r="1950">
      <c r="A1950" s="9" t="s">
        <v>2976</v>
      </c>
      <c r="B1950" s="10" t="s">
        <v>84</v>
      </c>
      <c r="C1950" s="10" t="s">
        <v>2977</v>
      </c>
      <c r="D1950" s="14" t="s">
        <v>2978</v>
      </c>
      <c r="E1950" s="10"/>
      <c r="F1950" s="10" t="s">
        <v>2935</v>
      </c>
      <c r="G1950" s="111">
        <f>'Stavební rozpočet'!G1950</f>
      </c>
      <c r="H1950" s="111">
        <f>'Stavební rozpočet'!H1950</f>
      </c>
      <c r="I1950" s="111">
        <f>G1950*H1950</f>
      </c>
      <c r="J1950" s="153" t="s">
        <v>1608</v>
      </c>
      <c r="K1950" s="146"/>
      <c r="Z1950" s="111">
        <f>IF(AQ1950="5",BJ1950,0)</f>
      </c>
      <c r="AB1950" s="111">
        <f>IF(AQ1950="1",BH1950,0)</f>
      </c>
      <c r="AC1950" s="111">
        <f>IF(AQ1950="1",BI1950,0)</f>
      </c>
      <c r="AD1950" s="111">
        <f>IF(AQ1950="7",BH1950,0)</f>
      </c>
      <c r="AE1950" s="111">
        <f>IF(AQ1950="7",BI1950,0)</f>
      </c>
      <c r="AF1950" s="111">
        <f>IF(AQ1950="2",BH1950,0)</f>
      </c>
      <c r="AG1950" s="111">
        <f>IF(AQ1950="2",BI1950,0)</f>
      </c>
      <c r="AH1950" s="111">
        <f>IF(AQ1950="0",BJ1950,0)</f>
      </c>
      <c r="AI1950" s="132" t="s">
        <v>84</v>
      </c>
      <c r="AJ1950" s="111">
        <f>IF(AN1950=0,I1950,0)</f>
      </c>
      <c r="AK1950" s="111">
        <f>IF(AN1950=12,I1950,0)</f>
      </c>
      <c r="AL1950" s="111">
        <f>IF(AN1950=21,I1950,0)</f>
      </c>
      <c r="AN1950" s="111" t="n">
        <v>21</v>
      </c>
      <c r="AO1950" s="111">
        <f>H1950*0</f>
      </c>
      <c r="AP1950" s="111">
        <f>H1950*(1-0)</f>
      </c>
      <c r="AQ1950" s="153" t="s">
        <v>802</v>
      </c>
      <c r="AV1950" s="111">
        <f>AW1950+AX1950</f>
      </c>
      <c r="AW1950" s="111">
        <f>G1950*AO1950</f>
      </c>
      <c r="AX1950" s="111">
        <f>G1950*AP1950</f>
      </c>
      <c r="AY1950" s="153" t="s">
        <v>2975</v>
      </c>
      <c r="AZ1950" s="153" t="s">
        <v>2938</v>
      </c>
      <c r="BA1950" s="132" t="s">
        <v>137</v>
      </c>
      <c r="BC1950" s="111">
        <f>AW1950+AX1950</f>
      </c>
      <c r="BD1950" s="111">
        <f>H1950/(100-BE1950)*100</f>
      </c>
      <c r="BE1950" s="111" t="n">
        <v>0</v>
      </c>
      <c r="BF1950" s="111">
        <f>1950</f>
      </c>
      <c r="BH1950" s="111">
        <f>G1950*AO1950</f>
      </c>
      <c r="BI1950" s="111">
        <f>G1950*AP1950</f>
      </c>
      <c r="BJ1950" s="111">
        <f>G1950*H1950</f>
      </c>
      <c r="BK1950" s="111"/>
      <c r="BL1950" s="111"/>
      <c r="BS1950" s="111">
        <f>G1950*H1950</f>
      </c>
      <c r="BW1950" s="111" t="n">
        <v>21</v>
      </c>
      <c r="BX1950" s="14" t="s">
        <v>2978</v>
      </c>
    </row>
    <row r="1951" customHeight="true" ht="13.5">
      <c r="A1951" s="159"/>
      <c r="C1951" s="160" t="s">
        <v>146</v>
      </c>
      <c r="D1951" s="161" t="s">
        <v>2979</v>
      </c>
      <c r="E1951" s="156"/>
      <c r="F1951" s="156"/>
      <c r="G1951" s="156"/>
      <c r="H1951" s="156"/>
      <c r="I1951" s="156"/>
      <c r="J1951" s="156"/>
      <c r="K1951" s="163"/>
    </row>
    <row r="1952">
      <c r="A1952" s="159"/>
      <c r="D1952" s="156" t="s">
        <v>130</v>
      </c>
      <c r="E1952" s="156" t="s">
        <v>4</v>
      </c>
      <c r="G1952" s="157" t="n">
        <v>1</v>
      </c>
      <c r="K1952" s="146"/>
    </row>
    <row r="1953">
      <c r="A1953" s="147" t="s">
        <v>4</v>
      </c>
      <c r="B1953" s="148" t="s">
        <v>84</v>
      </c>
      <c r="C1953" s="148" t="s">
        <v>2980</v>
      </c>
      <c r="D1953" s="149" t="s">
        <v>73</v>
      </c>
      <c r="E1953" s="148"/>
      <c r="F1953" s="150" t="s">
        <v>79</v>
      </c>
      <c r="G1953" s="150" t="s">
        <v>79</v>
      </c>
      <c r="H1953" s="150" t="s">
        <v>79</v>
      </c>
      <c r="I1953" s="117">
        <f>SUM(I1954:I1954)</f>
      </c>
      <c r="J1953" s="132" t="s">
        <v>4</v>
      </c>
      <c r="K1953" s="146"/>
      <c r="AI1953" s="132" t="s">
        <v>84</v>
      </c>
      <c r="AS1953" s="117">
        <f>SUM(AJ1954:AJ1954)</f>
      </c>
      <c r="AT1953" s="117">
        <f>SUM(AK1954:AK1954)</f>
      </c>
      <c r="AU1953" s="117">
        <f>SUM(AL1954:AL1954)</f>
      </c>
    </row>
    <row r="1954">
      <c r="A1954" s="9" t="s">
        <v>2981</v>
      </c>
      <c r="B1954" s="10" t="s">
        <v>84</v>
      </c>
      <c r="C1954" s="10" t="s">
        <v>2982</v>
      </c>
      <c r="D1954" s="14" t="s">
        <v>2983</v>
      </c>
      <c r="E1954" s="10"/>
      <c r="F1954" s="10" t="s">
        <v>2935</v>
      </c>
      <c r="G1954" s="111">
        <f>'Stavební rozpočet'!G1954</f>
      </c>
      <c r="H1954" s="111">
        <f>'Stavební rozpočet'!H1954</f>
      </c>
      <c r="I1954" s="111">
        <f>G1954*H1954</f>
      </c>
      <c r="J1954" s="153" t="s">
        <v>1608</v>
      </c>
      <c r="K1954" s="146"/>
      <c r="Z1954" s="111">
        <f>IF(AQ1954="5",BJ1954,0)</f>
      </c>
      <c r="AB1954" s="111">
        <f>IF(AQ1954="1",BH1954,0)</f>
      </c>
      <c r="AC1954" s="111">
        <f>IF(AQ1954="1",BI1954,0)</f>
      </c>
      <c r="AD1954" s="111">
        <f>IF(AQ1954="7",BH1954,0)</f>
      </c>
      <c r="AE1954" s="111">
        <f>IF(AQ1954="7",BI1954,0)</f>
      </c>
      <c r="AF1954" s="111">
        <f>IF(AQ1954="2",BH1954,0)</f>
      </c>
      <c r="AG1954" s="111">
        <f>IF(AQ1954="2",BI1954,0)</f>
      </c>
      <c r="AH1954" s="111">
        <f>IF(AQ1954="0",BJ1954,0)</f>
      </c>
      <c r="AI1954" s="132" t="s">
        <v>84</v>
      </c>
      <c r="AJ1954" s="111">
        <f>IF(AN1954=0,I1954,0)</f>
      </c>
      <c r="AK1954" s="111">
        <f>IF(AN1954=12,I1954,0)</f>
      </c>
      <c r="AL1954" s="111">
        <f>IF(AN1954=21,I1954,0)</f>
      </c>
      <c r="AN1954" s="111" t="n">
        <v>21</v>
      </c>
      <c r="AO1954" s="111">
        <f>H1954*0</f>
      </c>
      <c r="AP1954" s="111">
        <f>H1954*(1-0)</f>
      </c>
      <c r="AQ1954" s="153" t="s">
        <v>802</v>
      </c>
      <c r="AV1954" s="111">
        <f>AW1954+AX1954</f>
      </c>
      <c r="AW1954" s="111">
        <f>G1954*AO1954</f>
      </c>
      <c r="AX1954" s="111">
        <f>G1954*AP1954</f>
      </c>
      <c r="AY1954" s="153" t="s">
        <v>2984</v>
      </c>
      <c r="AZ1954" s="153" t="s">
        <v>2938</v>
      </c>
      <c r="BA1954" s="132" t="s">
        <v>137</v>
      </c>
      <c r="BC1954" s="111">
        <f>AW1954+AX1954</f>
      </c>
      <c r="BD1954" s="111">
        <f>H1954/(100-BE1954)*100</f>
      </c>
      <c r="BE1954" s="111" t="n">
        <v>0</v>
      </c>
      <c r="BF1954" s="111">
        <f>1954</f>
      </c>
      <c r="BH1954" s="111">
        <f>G1954*AO1954</f>
      </c>
      <c r="BI1954" s="111">
        <f>G1954*AP1954</f>
      </c>
      <c r="BJ1954" s="111">
        <f>G1954*H1954</f>
      </c>
      <c r="BK1954" s="111"/>
      <c r="BL1954" s="111"/>
      <c r="BU1954" s="111">
        <f>G1954*H1954</f>
      </c>
      <c r="BW1954" s="111" t="n">
        <v>21</v>
      </c>
      <c r="BX1954" s="14" t="s">
        <v>2983</v>
      </c>
    </row>
    <row r="1955" customHeight="true" ht="13.5">
      <c r="A1955" s="159"/>
      <c r="C1955" s="160" t="s">
        <v>146</v>
      </c>
      <c r="D1955" s="161" t="s">
        <v>2985</v>
      </c>
      <c r="E1955" s="156"/>
      <c r="F1955" s="156"/>
      <c r="G1955" s="156"/>
      <c r="H1955" s="156"/>
      <c r="I1955" s="156"/>
      <c r="J1955" s="156"/>
      <c r="K1955" s="163"/>
    </row>
    <row r="1956">
      <c r="A1956" s="171"/>
      <c r="B1956" s="172"/>
      <c r="C1956" s="172"/>
      <c r="D1956" s="173" t="s">
        <v>130</v>
      </c>
      <c r="E1956" s="173" t="s">
        <v>4</v>
      </c>
      <c r="F1956" s="172"/>
      <c r="G1956" s="174" t="n">
        <v>1</v>
      </c>
      <c r="H1956" s="172"/>
      <c r="I1956" s="172"/>
      <c r="J1956" s="172"/>
      <c r="K1956" s="168"/>
    </row>
    <row r="1957">
      <c r="I1957" s="115">
        <f>I13+I23+I26+I49+I69+I81+I93+I97+I170+I246+I262+I362+I518+I522+I551+I605+I705+I756+I771+I779+I788+I795+I834+I855+I885+I900+I908+I930+I972+I1111+I1188+I1198+I1213+I1221+I1242+I1307+I1388+I1523+I1608+I1663+I1756+I1885+I1911+I1925+I1932+I1935+I1946+I1948+I1953</f>
      </c>
    </row>
    <row r="1958">
      <c r="A1958" s="116" t="s">
        <v>56</v>
      </c>
    </row>
    <row r="1959" customHeight="true" ht="12.75">
      <c r="A1959" s="14" t="s">
        <v>4</v>
      </c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H8:H9"/>
    <mergeCell ref="J2:K3"/>
    <mergeCell ref="J4:K5"/>
    <mergeCell ref="J6:K7"/>
    <mergeCell ref="J8:K9"/>
    <mergeCell ref="D10:E10"/>
    <mergeCell ref="D11:E11"/>
    <mergeCell ref="D12:E12"/>
    <mergeCell ref="D13:E13"/>
    <mergeCell ref="D14:E14"/>
    <mergeCell ref="D16:E16"/>
    <mergeCell ref="D18:E18"/>
    <mergeCell ref="D19:K19"/>
    <mergeCell ref="D21:E21"/>
    <mergeCell ref="D23:E23"/>
    <mergeCell ref="D24:E24"/>
    <mergeCell ref="D26:E26"/>
    <mergeCell ref="D27:E27"/>
    <mergeCell ref="D30:E30"/>
    <mergeCell ref="D33:E33"/>
    <mergeCell ref="D36:E36"/>
    <mergeCell ref="D37:E37"/>
    <mergeCell ref="D38:K38"/>
    <mergeCell ref="D48:E48"/>
    <mergeCell ref="D49:E49"/>
    <mergeCell ref="D50:E50"/>
    <mergeCell ref="D52:E52"/>
    <mergeCell ref="D54:E54"/>
    <mergeCell ref="D60:E60"/>
    <mergeCell ref="D61:E61"/>
    <mergeCell ref="D63:E63"/>
    <mergeCell ref="D65:E65"/>
    <mergeCell ref="D69:E69"/>
    <mergeCell ref="D70:E70"/>
    <mergeCell ref="D71:K71"/>
    <mergeCell ref="D79:E79"/>
    <mergeCell ref="D81:E81"/>
    <mergeCell ref="D82:E82"/>
    <mergeCell ref="D83:K83"/>
    <mergeCell ref="D85:E85"/>
    <mergeCell ref="D86:K86"/>
    <mergeCell ref="D89:E89"/>
    <mergeCell ref="D90:K90"/>
    <mergeCell ref="D93:E93"/>
    <mergeCell ref="D94:E94"/>
    <mergeCell ref="D95:K95"/>
    <mergeCell ref="D97:E97"/>
    <mergeCell ref="D98:E98"/>
    <mergeCell ref="D99:K99"/>
    <mergeCell ref="D109:E109"/>
    <mergeCell ref="D118:E118"/>
    <mergeCell ref="D127:E127"/>
    <mergeCell ref="D136:E136"/>
    <mergeCell ref="D137:K137"/>
    <mergeCell ref="D141:E141"/>
    <mergeCell ref="D142:K142"/>
    <mergeCell ref="D144:E144"/>
    <mergeCell ref="D145:K145"/>
    <mergeCell ref="D147:E147"/>
    <mergeCell ref="D148:K148"/>
    <mergeCell ref="D150:E150"/>
    <mergeCell ref="D151:K151"/>
    <mergeCell ref="D153:E153"/>
    <mergeCell ref="D154:K154"/>
    <mergeCell ref="D157:E157"/>
    <mergeCell ref="D159:E159"/>
    <mergeCell ref="D161:E161"/>
    <mergeCell ref="D162:K162"/>
    <mergeCell ref="D164:E164"/>
    <mergeCell ref="D165:K165"/>
    <mergeCell ref="D167:E167"/>
    <mergeCell ref="D168:K168"/>
    <mergeCell ref="D170:E170"/>
    <mergeCell ref="D171:E171"/>
    <mergeCell ref="D172:K172"/>
    <mergeCell ref="D176:E176"/>
    <mergeCell ref="D177:K177"/>
    <mergeCell ref="D181:E181"/>
    <mergeCell ref="D182:K182"/>
    <mergeCell ref="D184:E184"/>
    <mergeCell ref="D185:K185"/>
    <mergeCell ref="D201:E201"/>
    <mergeCell ref="D202:K202"/>
    <mergeCell ref="D205:E205"/>
    <mergeCell ref="D208:E208"/>
    <mergeCell ref="D211:E211"/>
    <mergeCell ref="D214:E214"/>
    <mergeCell ref="D217:E217"/>
    <mergeCell ref="D219:E219"/>
    <mergeCell ref="D222:E222"/>
    <mergeCell ref="D224:E224"/>
    <mergeCell ref="D226:E226"/>
    <mergeCell ref="D227:K227"/>
    <mergeCell ref="D229:E229"/>
    <mergeCell ref="D231:E231"/>
    <mergeCell ref="D232:K232"/>
    <mergeCell ref="D235:E235"/>
    <mergeCell ref="D238:E238"/>
    <mergeCell ref="D239:K239"/>
    <mergeCell ref="D241:E241"/>
    <mergeCell ref="D242:K242"/>
    <mergeCell ref="D246:E246"/>
    <mergeCell ref="D247:E247"/>
    <mergeCell ref="D249:E249"/>
    <mergeCell ref="D251:E251"/>
    <mergeCell ref="D253:E253"/>
    <mergeCell ref="D255:E255"/>
    <mergeCell ref="D257:E257"/>
    <mergeCell ref="D259:E259"/>
    <mergeCell ref="D260:K260"/>
    <mergeCell ref="D262:E262"/>
    <mergeCell ref="D263:E263"/>
    <mergeCell ref="D264:K264"/>
    <mergeCell ref="D269:E269"/>
    <mergeCell ref="D273:E273"/>
    <mergeCell ref="D277:E277"/>
    <mergeCell ref="D278:K278"/>
    <mergeCell ref="D281:E281"/>
    <mergeCell ref="D282:K282"/>
    <mergeCell ref="D285:E285"/>
    <mergeCell ref="D286:K286"/>
    <mergeCell ref="D290:E290"/>
    <mergeCell ref="D291:K291"/>
    <mergeCell ref="D293:E293"/>
    <mergeCell ref="D294:K294"/>
    <mergeCell ref="D298:E298"/>
    <mergeCell ref="D299:K299"/>
    <mergeCell ref="D305:E305"/>
    <mergeCell ref="D306:K306"/>
    <mergeCell ref="D311:E311"/>
    <mergeCell ref="D312:K312"/>
    <mergeCell ref="D314:E314"/>
    <mergeCell ref="D316:E316"/>
    <mergeCell ref="D317:K317"/>
    <mergeCell ref="D319:E319"/>
    <mergeCell ref="D324:E324"/>
    <mergeCell ref="D325:K325"/>
    <mergeCell ref="D328:E328"/>
    <mergeCell ref="D329:K329"/>
    <mergeCell ref="D331:E331"/>
    <mergeCell ref="D338:E338"/>
    <mergeCell ref="D339:K339"/>
    <mergeCell ref="D345:E345"/>
    <mergeCell ref="D346:K346"/>
    <mergeCell ref="D353:E353"/>
    <mergeCell ref="D354:K354"/>
    <mergeCell ref="D356:E356"/>
    <mergeCell ref="D357:K357"/>
    <mergeCell ref="D359:E359"/>
    <mergeCell ref="D360:K360"/>
    <mergeCell ref="D362:E362"/>
    <mergeCell ref="D363:E363"/>
    <mergeCell ref="D368:E368"/>
    <mergeCell ref="D372:E372"/>
    <mergeCell ref="D377:E377"/>
    <mergeCell ref="D382:E382"/>
    <mergeCell ref="D383:K383"/>
    <mergeCell ref="D388:E388"/>
    <mergeCell ref="D393:E393"/>
    <mergeCell ref="D394:K394"/>
    <mergeCell ref="D396:E396"/>
    <mergeCell ref="D397:K397"/>
    <mergeCell ref="D399:E399"/>
    <mergeCell ref="D406:E406"/>
    <mergeCell ref="D411:E411"/>
    <mergeCell ref="D418:E418"/>
    <mergeCell ref="D425:E425"/>
    <mergeCell ref="D430:E430"/>
    <mergeCell ref="D435:E435"/>
    <mergeCell ref="D438:E438"/>
    <mergeCell ref="D441:E441"/>
    <mergeCell ref="D442:K442"/>
    <mergeCell ref="D445:E445"/>
    <mergeCell ref="D446:K446"/>
    <mergeCell ref="D448:E448"/>
    <mergeCell ref="D449:K449"/>
    <mergeCell ref="D452:E452"/>
    <mergeCell ref="D454:E454"/>
    <mergeCell ref="D457:E457"/>
    <mergeCell ref="D459:E459"/>
    <mergeCell ref="D461:E461"/>
    <mergeCell ref="D475:E475"/>
    <mergeCell ref="D482:E482"/>
    <mergeCell ref="D487:E487"/>
    <mergeCell ref="D491:E491"/>
    <mergeCell ref="D492:K492"/>
    <mergeCell ref="D495:E495"/>
    <mergeCell ref="D496:K496"/>
    <mergeCell ref="D498:E498"/>
    <mergeCell ref="D499:K499"/>
    <mergeCell ref="D506:E506"/>
    <mergeCell ref="D508:E508"/>
    <mergeCell ref="D509:K509"/>
    <mergeCell ref="D511:E511"/>
    <mergeCell ref="D513:E513"/>
    <mergeCell ref="D515:E515"/>
    <mergeCell ref="D516:K516"/>
    <mergeCell ref="D518:E518"/>
    <mergeCell ref="D519:E519"/>
    <mergeCell ref="D520:K520"/>
    <mergeCell ref="D522:E522"/>
    <mergeCell ref="D523:E523"/>
    <mergeCell ref="D524:K524"/>
    <mergeCell ref="D530:E530"/>
    <mergeCell ref="D536:E536"/>
    <mergeCell ref="D540:E540"/>
    <mergeCell ref="D547:E547"/>
    <mergeCell ref="D548:K548"/>
    <mergeCell ref="D550:E550"/>
    <mergeCell ref="D551:E551"/>
    <mergeCell ref="D552:E552"/>
    <mergeCell ref="D576:E576"/>
    <mergeCell ref="D577:K577"/>
    <mergeCell ref="D580:E580"/>
    <mergeCell ref="D581:K581"/>
    <mergeCell ref="D583:E583"/>
    <mergeCell ref="D584:K584"/>
    <mergeCell ref="D593:E593"/>
    <mergeCell ref="D594:K594"/>
    <mergeCell ref="D596:E596"/>
    <mergeCell ref="D597:K597"/>
    <mergeCell ref="D605:E605"/>
    <mergeCell ref="D606:E606"/>
    <mergeCell ref="D607:K607"/>
    <mergeCell ref="D609:E609"/>
    <mergeCell ref="D615:E615"/>
    <mergeCell ref="D616:K616"/>
    <mergeCell ref="D626:E626"/>
    <mergeCell ref="D627:K627"/>
    <mergeCell ref="D629:E629"/>
    <mergeCell ref="D630:K630"/>
    <mergeCell ref="D636:E636"/>
    <mergeCell ref="D637:K637"/>
    <mergeCell ref="D645:E645"/>
    <mergeCell ref="D646:K646"/>
    <mergeCell ref="D657:E657"/>
    <mergeCell ref="D659:E659"/>
    <mergeCell ref="D660:K660"/>
    <mergeCell ref="D662:E662"/>
    <mergeCell ref="D663:K663"/>
    <mergeCell ref="D672:E672"/>
    <mergeCell ref="D673:K673"/>
    <mergeCell ref="D680:E680"/>
    <mergeCell ref="D681:K681"/>
    <mergeCell ref="D687:E687"/>
    <mergeCell ref="D688:K688"/>
    <mergeCell ref="D690:E690"/>
    <mergeCell ref="D698:E698"/>
    <mergeCell ref="D705:E705"/>
    <mergeCell ref="D706:E706"/>
    <mergeCell ref="D707:K707"/>
    <mergeCell ref="D709:E709"/>
    <mergeCell ref="D711:E711"/>
    <mergeCell ref="D712:K712"/>
    <mergeCell ref="D714:E714"/>
    <mergeCell ref="D715:K715"/>
    <mergeCell ref="D720:E720"/>
    <mergeCell ref="D725:E725"/>
    <mergeCell ref="D730:E730"/>
    <mergeCell ref="D735:E735"/>
    <mergeCell ref="D736:K736"/>
    <mergeCell ref="D738:E738"/>
    <mergeCell ref="D739:K739"/>
    <mergeCell ref="D742:E742"/>
    <mergeCell ref="D743:K743"/>
    <mergeCell ref="D746:E746"/>
    <mergeCell ref="D747:K747"/>
    <mergeCell ref="D749:E749"/>
    <mergeCell ref="D756:E756"/>
    <mergeCell ref="D757:E757"/>
    <mergeCell ref="D759:E759"/>
    <mergeCell ref="D761:E761"/>
    <mergeCell ref="D763:E763"/>
    <mergeCell ref="D765:E765"/>
    <mergeCell ref="D767:E767"/>
    <mergeCell ref="D769:E769"/>
    <mergeCell ref="D771:E771"/>
    <mergeCell ref="D772:E772"/>
    <mergeCell ref="D775:E775"/>
    <mergeCell ref="D777:E777"/>
    <mergeCell ref="D779:E779"/>
    <mergeCell ref="D780:E780"/>
    <mergeCell ref="D781:K781"/>
    <mergeCell ref="D788:E788"/>
    <mergeCell ref="D789:E789"/>
    <mergeCell ref="D790:K790"/>
    <mergeCell ref="D792:E792"/>
    <mergeCell ref="D793:K793"/>
    <mergeCell ref="D795:E795"/>
    <mergeCell ref="D796:E796"/>
    <mergeCell ref="D802:E802"/>
    <mergeCell ref="D803:E803"/>
    <mergeCell ref="D804:E804"/>
    <mergeCell ref="D811:E811"/>
    <mergeCell ref="D813:E813"/>
    <mergeCell ref="D815:E815"/>
    <mergeCell ref="D817:E817"/>
    <mergeCell ref="D819:E819"/>
    <mergeCell ref="D821:E821"/>
    <mergeCell ref="D823:E823"/>
    <mergeCell ref="D825:E825"/>
    <mergeCell ref="D826:K826"/>
    <mergeCell ref="D828:E828"/>
    <mergeCell ref="D829:K829"/>
    <mergeCell ref="D831:E831"/>
    <mergeCell ref="D832:K832"/>
    <mergeCell ref="D834:E834"/>
    <mergeCell ref="D835:E835"/>
    <mergeCell ref="D836:K836"/>
    <mergeCell ref="D838:E838"/>
    <mergeCell ref="D840:E840"/>
    <mergeCell ref="D842:E842"/>
    <mergeCell ref="D844:E844"/>
    <mergeCell ref="D845:K845"/>
    <mergeCell ref="D847:E847"/>
    <mergeCell ref="D852:E852"/>
    <mergeCell ref="D854:E854"/>
    <mergeCell ref="D855:E855"/>
    <mergeCell ref="D856:E856"/>
    <mergeCell ref="D858:E858"/>
    <mergeCell ref="D859:K859"/>
    <mergeCell ref="D861:E861"/>
    <mergeCell ref="D862:K862"/>
    <mergeCell ref="D867:E867"/>
    <mergeCell ref="D868:K868"/>
    <mergeCell ref="D871:E871"/>
    <mergeCell ref="D873:E873"/>
    <mergeCell ref="D875:E875"/>
    <mergeCell ref="D877:E877"/>
    <mergeCell ref="D880:E880"/>
    <mergeCell ref="D882:E882"/>
    <mergeCell ref="D885:E885"/>
    <mergeCell ref="D886:E886"/>
    <mergeCell ref="D888:E888"/>
    <mergeCell ref="D890:E890"/>
    <mergeCell ref="D894:E894"/>
    <mergeCell ref="D897:E897"/>
    <mergeCell ref="D898:K898"/>
    <mergeCell ref="D900:E900"/>
    <mergeCell ref="D901:E901"/>
    <mergeCell ref="D902:K902"/>
    <mergeCell ref="D908:E908"/>
    <mergeCell ref="D909:E909"/>
    <mergeCell ref="D911:E911"/>
    <mergeCell ref="D913:E913"/>
    <mergeCell ref="D914:E914"/>
    <mergeCell ref="D916:E916"/>
    <mergeCell ref="D917:E917"/>
    <mergeCell ref="D918:E918"/>
    <mergeCell ref="D920:E920"/>
    <mergeCell ref="D922:E922"/>
    <mergeCell ref="D923:E923"/>
    <mergeCell ref="D925:E925"/>
    <mergeCell ref="D926:E926"/>
    <mergeCell ref="D928:E928"/>
    <mergeCell ref="D930:E930"/>
    <mergeCell ref="D931:E931"/>
    <mergeCell ref="D932:K932"/>
    <mergeCell ref="D934:E934"/>
    <mergeCell ref="D935:K935"/>
    <mergeCell ref="D937:E937"/>
    <mergeCell ref="D940:E940"/>
    <mergeCell ref="D941:K941"/>
    <mergeCell ref="D949:E949"/>
    <mergeCell ref="D950:K950"/>
    <mergeCell ref="D958:E958"/>
    <mergeCell ref="D961:E961"/>
    <mergeCell ref="D962:K962"/>
    <mergeCell ref="D970:E970"/>
    <mergeCell ref="D971:E971"/>
    <mergeCell ref="D972:E972"/>
    <mergeCell ref="D973:E973"/>
    <mergeCell ref="D974:K974"/>
    <mergeCell ref="D976:E976"/>
    <mergeCell ref="D977:K977"/>
    <mergeCell ref="D979:E979"/>
    <mergeCell ref="D982:E982"/>
    <mergeCell ref="D983:K983"/>
    <mergeCell ref="D992:E992"/>
    <mergeCell ref="D1002:E1002"/>
    <mergeCell ref="D1003:K1003"/>
    <mergeCell ref="D1005:E1005"/>
    <mergeCell ref="D1008:E1008"/>
    <mergeCell ref="D1009:K1009"/>
    <mergeCell ref="D1012:E1012"/>
    <mergeCell ref="D1016:E1016"/>
    <mergeCell ref="D1017:K1017"/>
    <mergeCell ref="D1019:E1019"/>
    <mergeCell ref="D1020:K1020"/>
    <mergeCell ref="D1022:E1022"/>
    <mergeCell ref="D1023:K1023"/>
    <mergeCell ref="D1025:E1025"/>
    <mergeCell ref="D1026:K1026"/>
    <mergeCell ref="D1029:E1029"/>
    <mergeCell ref="D1030:K1030"/>
    <mergeCell ref="D1032:E1032"/>
    <mergeCell ref="D1034:E1034"/>
    <mergeCell ref="D1035:K1035"/>
    <mergeCell ref="D1037:E1037"/>
    <mergeCell ref="D1038:K1038"/>
    <mergeCell ref="D1040:E1040"/>
    <mergeCell ref="D1041:K1041"/>
    <mergeCell ref="D1043:E1043"/>
    <mergeCell ref="D1044:K1044"/>
    <mergeCell ref="D1046:E1046"/>
    <mergeCell ref="D1047:K1047"/>
    <mergeCell ref="D1049:E1049"/>
    <mergeCell ref="D1050:K1050"/>
    <mergeCell ref="D1052:E1052"/>
    <mergeCell ref="D1053:K1053"/>
    <mergeCell ref="D1055:E1055"/>
    <mergeCell ref="D1056:K1056"/>
    <mergeCell ref="D1058:E1058"/>
    <mergeCell ref="D1059:K1059"/>
    <mergeCell ref="D1061:E1061"/>
    <mergeCell ref="D1062:K1062"/>
    <mergeCell ref="D1064:E1064"/>
    <mergeCell ref="D1065:K1065"/>
    <mergeCell ref="D1067:E1067"/>
    <mergeCell ref="D1068:K1068"/>
    <mergeCell ref="D1071:E1071"/>
    <mergeCell ref="D1072:K1072"/>
    <mergeCell ref="D1075:E1075"/>
    <mergeCell ref="D1076:K1076"/>
    <mergeCell ref="D1080:E1080"/>
    <mergeCell ref="D1081:K1081"/>
    <mergeCell ref="D1086:E1086"/>
    <mergeCell ref="D1087:K1087"/>
    <mergeCell ref="D1089:E1089"/>
    <mergeCell ref="D1090:K1090"/>
    <mergeCell ref="D1092:E1092"/>
    <mergeCell ref="D1093:K1093"/>
    <mergeCell ref="D1103:E1103"/>
    <mergeCell ref="D1104:K1104"/>
    <mergeCell ref="D1106:E1106"/>
    <mergeCell ref="D1109:E1109"/>
    <mergeCell ref="D1110:E1110"/>
    <mergeCell ref="D1111:E1111"/>
    <mergeCell ref="D1112:E1112"/>
    <mergeCell ref="D1113:K1113"/>
    <mergeCell ref="D1117:E1117"/>
    <mergeCell ref="D1124:E1124"/>
    <mergeCell ref="D1125:K1125"/>
    <mergeCell ref="D1132:E1132"/>
    <mergeCell ref="D1133:K1133"/>
    <mergeCell ref="D1161:E1161"/>
    <mergeCell ref="D1165:E1165"/>
    <mergeCell ref="D1166:K1166"/>
    <mergeCell ref="D1169:E1169"/>
    <mergeCell ref="D1173:E1173"/>
    <mergeCell ref="D1176:E1176"/>
    <mergeCell ref="D1177:K1177"/>
    <mergeCell ref="D1179:E1179"/>
    <mergeCell ref="D1180:K1180"/>
    <mergeCell ref="D1183:E1183"/>
    <mergeCell ref="D1184:K1184"/>
    <mergeCell ref="D1186:E1186"/>
    <mergeCell ref="D1187:E1187"/>
    <mergeCell ref="D1188:E1188"/>
    <mergeCell ref="D1189:E1189"/>
    <mergeCell ref="D1190:K1190"/>
    <mergeCell ref="D1192:E1192"/>
    <mergeCell ref="D1193:K1193"/>
    <mergeCell ref="D1195:E1195"/>
    <mergeCell ref="D1196:K1196"/>
    <mergeCell ref="D1198:E1198"/>
    <mergeCell ref="D1199:E1199"/>
    <mergeCell ref="D1200:K1200"/>
    <mergeCell ref="D1202:E1202"/>
    <mergeCell ref="D1203:K1203"/>
    <mergeCell ref="D1205:E1205"/>
    <mergeCell ref="D1206:K1206"/>
    <mergeCell ref="D1208:E1208"/>
    <mergeCell ref="D1209:K1209"/>
    <mergeCell ref="D1211:E1211"/>
    <mergeCell ref="D1212:E1212"/>
    <mergeCell ref="D1213:E1213"/>
    <mergeCell ref="D1214:E1214"/>
    <mergeCell ref="D1215:K1215"/>
    <mergeCell ref="D1220:E1220"/>
    <mergeCell ref="D1221:E1221"/>
    <mergeCell ref="D1222:E1222"/>
    <mergeCell ref="D1228:E1228"/>
    <mergeCell ref="D1236:E1236"/>
    <mergeCell ref="D1239:E1239"/>
    <mergeCell ref="D1240:K1240"/>
    <mergeCell ref="D1241:E1241"/>
    <mergeCell ref="D1242:E1242"/>
    <mergeCell ref="D1243:E1243"/>
    <mergeCell ref="D1244:K1244"/>
    <mergeCell ref="D1246:E1246"/>
    <mergeCell ref="D1247:K1247"/>
    <mergeCell ref="D1252:E1252"/>
    <mergeCell ref="D1253:K1253"/>
    <mergeCell ref="D1255:E1255"/>
    <mergeCell ref="D1256:K1256"/>
    <mergeCell ref="D1258:E1258"/>
    <mergeCell ref="D1259:K1259"/>
    <mergeCell ref="D1261:E1261"/>
    <mergeCell ref="D1262:K1262"/>
    <mergeCell ref="D1264:E1264"/>
    <mergeCell ref="D1265:K1265"/>
    <mergeCell ref="D1267:E1267"/>
    <mergeCell ref="D1269:E1269"/>
    <mergeCell ref="D1271:E1271"/>
    <mergeCell ref="D1273:E1273"/>
    <mergeCell ref="D1274:K1274"/>
    <mergeCell ref="D1276:E1276"/>
    <mergeCell ref="D1277:K1277"/>
    <mergeCell ref="D1279:E1279"/>
    <mergeCell ref="D1280:K1280"/>
    <mergeCell ref="D1285:E1285"/>
    <mergeCell ref="D1286:K1286"/>
    <mergeCell ref="D1289:E1289"/>
    <mergeCell ref="D1290:K1290"/>
    <mergeCell ref="D1292:E1292"/>
    <mergeCell ref="D1293:K1293"/>
    <mergeCell ref="D1295:E1295"/>
    <mergeCell ref="D1297:E1297"/>
    <mergeCell ref="D1299:E1299"/>
    <mergeCell ref="D1301:E1301"/>
    <mergeCell ref="D1303:E1303"/>
    <mergeCell ref="D1305:E1305"/>
    <mergeCell ref="D1306:E1306"/>
    <mergeCell ref="D1307:E1307"/>
    <mergeCell ref="D1308:E1308"/>
    <mergeCell ref="D1309:E1309"/>
    <mergeCell ref="D1311:E1311"/>
    <mergeCell ref="D1314:E1314"/>
    <mergeCell ref="D1316:E1316"/>
    <mergeCell ref="D1318:E1318"/>
    <mergeCell ref="D1321:E1321"/>
    <mergeCell ref="D1324:E1324"/>
    <mergeCell ref="D1327:E1327"/>
    <mergeCell ref="D1329:E1329"/>
    <mergeCell ref="D1332:E1332"/>
    <mergeCell ref="D1334:E1334"/>
    <mergeCell ref="D1337:E1337"/>
    <mergeCell ref="D1338:K1338"/>
    <mergeCell ref="D1340:E1340"/>
    <mergeCell ref="D1342:E1342"/>
    <mergeCell ref="D1343:K1343"/>
    <mergeCell ref="D1345:E1345"/>
    <mergeCell ref="D1346:K1346"/>
    <mergeCell ref="D1348:E1348"/>
    <mergeCell ref="D1349:K1349"/>
    <mergeCell ref="D1351:E1351"/>
    <mergeCell ref="D1352:K1352"/>
    <mergeCell ref="D1354:E1354"/>
    <mergeCell ref="D1355:K1355"/>
    <mergeCell ref="D1357:E1357"/>
    <mergeCell ref="D1358:K1358"/>
    <mergeCell ref="D1360:E1360"/>
    <mergeCell ref="D1361:K1361"/>
    <mergeCell ref="D1363:E1363"/>
    <mergeCell ref="D1366:E1366"/>
    <mergeCell ref="D1368:E1368"/>
    <mergeCell ref="D1369:K1369"/>
    <mergeCell ref="D1372:E1372"/>
    <mergeCell ref="D1373:K1373"/>
    <mergeCell ref="D1375:E1375"/>
    <mergeCell ref="D1376:K1376"/>
    <mergeCell ref="D1378:E1378"/>
    <mergeCell ref="D1380:E1380"/>
    <mergeCell ref="D1381:K1381"/>
    <mergeCell ref="D1383:E1383"/>
    <mergeCell ref="D1384:K1384"/>
    <mergeCell ref="D1386:E1386"/>
    <mergeCell ref="D1387:E1387"/>
    <mergeCell ref="D1388:E1388"/>
    <mergeCell ref="D1389:E1389"/>
    <mergeCell ref="D1390:K1390"/>
    <mergeCell ref="D1392:E1392"/>
    <mergeCell ref="D1393:K1393"/>
    <mergeCell ref="D1395:E1395"/>
    <mergeCell ref="D1396:K1396"/>
    <mergeCell ref="D1398:E1398"/>
    <mergeCell ref="D1399:K1399"/>
    <mergeCell ref="D1401:E1401"/>
    <mergeCell ref="D1402:K1402"/>
    <mergeCell ref="D1404:E1404"/>
    <mergeCell ref="D1405:K1405"/>
    <mergeCell ref="D1407:E1407"/>
    <mergeCell ref="D1408:K1408"/>
    <mergeCell ref="D1410:E1410"/>
    <mergeCell ref="D1411:K1411"/>
    <mergeCell ref="D1413:E1413"/>
    <mergeCell ref="D1414:K1414"/>
    <mergeCell ref="D1416:E1416"/>
    <mergeCell ref="D1417:K1417"/>
    <mergeCell ref="D1419:E1419"/>
    <mergeCell ref="D1420:K1420"/>
    <mergeCell ref="D1422:E1422"/>
    <mergeCell ref="D1423:K1423"/>
    <mergeCell ref="D1425:E1425"/>
    <mergeCell ref="D1426:K1426"/>
    <mergeCell ref="D1428:E1428"/>
    <mergeCell ref="D1429:K1429"/>
    <mergeCell ref="D1431:E1431"/>
    <mergeCell ref="D1432:K1432"/>
    <mergeCell ref="D1434:E1434"/>
    <mergeCell ref="D1435:K1435"/>
    <mergeCell ref="D1437:E1437"/>
    <mergeCell ref="D1438:K1438"/>
    <mergeCell ref="D1440:E1440"/>
    <mergeCell ref="D1441:K1441"/>
    <mergeCell ref="D1443:E1443"/>
    <mergeCell ref="D1444:K1444"/>
    <mergeCell ref="D1446:E1446"/>
    <mergeCell ref="D1447:K1447"/>
    <mergeCell ref="D1449:E1449"/>
    <mergeCell ref="D1450:K1450"/>
    <mergeCell ref="D1452:E1452"/>
    <mergeCell ref="D1453:K1453"/>
    <mergeCell ref="D1455:E1455"/>
    <mergeCell ref="D1456:K1456"/>
    <mergeCell ref="D1458:E1458"/>
    <mergeCell ref="D1462:E1462"/>
    <mergeCell ref="D1463:K1463"/>
    <mergeCell ref="D1465:E1465"/>
    <mergeCell ref="D1467:E1467"/>
    <mergeCell ref="D1469:E1469"/>
    <mergeCell ref="D1470:K1470"/>
    <mergeCell ref="D1472:E1472"/>
    <mergeCell ref="D1473:K1473"/>
    <mergeCell ref="D1475:E1475"/>
    <mergeCell ref="D1477:E1477"/>
    <mergeCell ref="D1479:E1479"/>
    <mergeCell ref="D1480:K1480"/>
    <mergeCell ref="D1482:E1482"/>
    <mergeCell ref="D1484:E1484"/>
    <mergeCell ref="D1486:E1486"/>
    <mergeCell ref="D1487:K1487"/>
    <mergeCell ref="D1489:E1489"/>
    <mergeCell ref="D1490:K1490"/>
    <mergeCell ref="D1494:E1494"/>
    <mergeCell ref="D1498:E1498"/>
    <mergeCell ref="D1499:K1499"/>
    <mergeCell ref="D1501:E1501"/>
    <mergeCell ref="D1503:E1503"/>
    <mergeCell ref="D1504:K1504"/>
    <mergeCell ref="D1506:E1506"/>
    <mergeCell ref="D1508:E1508"/>
    <mergeCell ref="D1509:K1509"/>
    <mergeCell ref="D1511:E1511"/>
    <mergeCell ref="D1512:K1512"/>
    <mergeCell ref="D1514:E1514"/>
    <mergeCell ref="D1515:K1515"/>
    <mergeCell ref="D1517:E1517"/>
    <mergeCell ref="D1518:K1518"/>
    <mergeCell ref="D1521:E1521"/>
    <mergeCell ref="D1522:E1522"/>
    <mergeCell ref="D1523:E1523"/>
    <mergeCell ref="D1524:E1524"/>
    <mergeCell ref="D1527:E1527"/>
    <mergeCell ref="D1528:K1528"/>
    <mergeCell ref="D1531:E1531"/>
    <mergeCell ref="D1532:K1532"/>
    <mergeCell ref="D1535:E1535"/>
    <mergeCell ref="D1540:E1540"/>
    <mergeCell ref="D1541:K1541"/>
    <mergeCell ref="D1544:E1544"/>
    <mergeCell ref="D1548:E1548"/>
    <mergeCell ref="D1549:K1549"/>
    <mergeCell ref="D1552:E1552"/>
    <mergeCell ref="D1555:E1555"/>
    <mergeCell ref="D1560:E1560"/>
    <mergeCell ref="D1562:E1562"/>
    <mergeCell ref="D1564:E1564"/>
    <mergeCell ref="D1574:E1574"/>
    <mergeCell ref="D1577:E1577"/>
    <mergeCell ref="D1578:K1578"/>
    <mergeCell ref="D1582:E1582"/>
    <mergeCell ref="D1583:K1583"/>
    <mergeCell ref="D1586:E1586"/>
    <mergeCell ref="D1589:E1589"/>
    <mergeCell ref="D1590:K1590"/>
    <mergeCell ref="D1600:E1600"/>
    <mergeCell ref="D1603:E1603"/>
    <mergeCell ref="D1604:K1604"/>
    <mergeCell ref="D1606:E1606"/>
    <mergeCell ref="D1607:E1607"/>
    <mergeCell ref="D1608:E1608"/>
    <mergeCell ref="D1609:E1609"/>
    <mergeCell ref="D1611:E1611"/>
    <mergeCell ref="D1612:K1612"/>
    <mergeCell ref="D1614:E1614"/>
    <mergeCell ref="D1615:K1615"/>
    <mergeCell ref="D1617:E1617"/>
    <mergeCell ref="D1618:K1618"/>
    <mergeCell ref="D1620:E1620"/>
    <mergeCell ref="D1624:E1624"/>
    <mergeCell ref="D1631:E1631"/>
    <mergeCell ref="D1632:K1632"/>
    <mergeCell ref="D1639:E1639"/>
    <mergeCell ref="D1640:K1640"/>
    <mergeCell ref="D1648:E1648"/>
    <mergeCell ref="D1649:K1649"/>
    <mergeCell ref="D1652:E1652"/>
    <mergeCell ref="D1653:K1653"/>
    <mergeCell ref="D1655:E1655"/>
    <mergeCell ref="D1656:K1656"/>
    <mergeCell ref="D1658:E1658"/>
    <mergeCell ref="D1660:E1660"/>
    <mergeCell ref="D1662:E1662"/>
    <mergeCell ref="D1663:E1663"/>
    <mergeCell ref="D1664:E1664"/>
    <mergeCell ref="D1668:E1668"/>
    <mergeCell ref="D1669:K1669"/>
    <mergeCell ref="D1673:E1673"/>
    <mergeCell ref="D1674:K1674"/>
    <mergeCell ref="D1678:E1678"/>
    <mergeCell ref="D1684:E1684"/>
    <mergeCell ref="D1685:K1685"/>
    <mergeCell ref="D1689:E1689"/>
    <mergeCell ref="D1693:E1693"/>
    <mergeCell ref="D1694:K1694"/>
    <mergeCell ref="D1697:E1697"/>
    <mergeCell ref="D1705:E1705"/>
    <mergeCell ref="D1717:E1717"/>
    <mergeCell ref="D1730:E1730"/>
    <mergeCell ref="D1731:K1731"/>
    <mergeCell ref="D1733:E1733"/>
    <mergeCell ref="D1734:K1734"/>
    <mergeCell ref="D1736:E1736"/>
    <mergeCell ref="D1737:K1737"/>
    <mergeCell ref="D1739:E1739"/>
    <mergeCell ref="D1740:K1740"/>
    <mergeCell ref="D1742:E1742"/>
    <mergeCell ref="D1745:E1745"/>
    <mergeCell ref="D1746:K1746"/>
    <mergeCell ref="D1748:E1748"/>
    <mergeCell ref="D1749:K1749"/>
    <mergeCell ref="D1754:E1754"/>
    <mergeCell ref="D1755:E1755"/>
    <mergeCell ref="D1756:E1756"/>
    <mergeCell ref="D1757:E1757"/>
    <mergeCell ref="D1758:K1758"/>
    <mergeCell ref="D1759:E1759"/>
    <mergeCell ref="D1768:E1768"/>
    <mergeCell ref="D1769:K1769"/>
    <mergeCell ref="D1772:E1772"/>
    <mergeCell ref="D1778:E1778"/>
    <mergeCell ref="D1784:E1784"/>
    <mergeCell ref="D1786:E1786"/>
    <mergeCell ref="D1792:E1792"/>
    <mergeCell ref="D1799:E1799"/>
    <mergeCell ref="D1801:E1801"/>
    <mergeCell ref="D1831:E1831"/>
    <mergeCell ref="D1832:K1832"/>
    <mergeCell ref="D1841:E1841"/>
    <mergeCell ref="D1850:E1850"/>
    <mergeCell ref="D1851:K1851"/>
    <mergeCell ref="D1860:E1860"/>
    <mergeCell ref="D1861:K1861"/>
    <mergeCell ref="D1864:E1864"/>
    <mergeCell ref="D1865:K1865"/>
    <mergeCell ref="D1873:E1873"/>
    <mergeCell ref="D1874:K1874"/>
    <mergeCell ref="D1883:E1883"/>
    <mergeCell ref="D1884:E1884"/>
    <mergeCell ref="D1885:E1885"/>
    <mergeCell ref="D1886:E1886"/>
    <mergeCell ref="D1904:E1904"/>
    <mergeCell ref="D1905:K1905"/>
    <mergeCell ref="D1908:E1908"/>
    <mergeCell ref="D1909:K1909"/>
    <mergeCell ref="D1911:E1911"/>
    <mergeCell ref="D1912:E1912"/>
    <mergeCell ref="D1917:E1917"/>
    <mergeCell ref="D1918:K1918"/>
    <mergeCell ref="D1924:E1924"/>
    <mergeCell ref="D1925:E1925"/>
    <mergeCell ref="D1926:E1926"/>
    <mergeCell ref="D1927:K1927"/>
    <mergeCell ref="D1928:E1928"/>
    <mergeCell ref="D1929:K1929"/>
    <mergeCell ref="D1930:E1930"/>
    <mergeCell ref="D1931:K1931"/>
    <mergeCell ref="D1932:E1932"/>
    <mergeCell ref="D1933:E1933"/>
    <mergeCell ref="D1935:E1935"/>
    <mergeCell ref="D1936:E1936"/>
    <mergeCell ref="D1937:K1937"/>
    <mergeCell ref="D1939:E1939"/>
    <mergeCell ref="D1940:K1940"/>
    <mergeCell ref="D1941:E1941"/>
    <mergeCell ref="D1942:K1942"/>
    <mergeCell ref="D1943:E1943"/>
    <mergeCell ref="D1944:K1944"/>
    <mergeCell ref="D1946:E1946"/>
    <mergeCell ref="D1947:E1947"/>
    <mergeCell ref="D1948:E1948"/>
    <mergeCell ref="D1949:E1949"/>
    <mergeCell ref="D1950:E1950"/>
    <mergeCell ref="D1951:K1951"/>
    <mergeCell ref="D1953:E1953"/>
    <mergeCell ref="D1954:E1954"/>
    <mergeCell ref="D1955:K1955"/>
    <mergeCell ref="A1959:K1959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594"/>
  <sheetViews>
    <sheetView workbookViewId="0" showZeros="true" showFormulas="false" showGridLines="true" showRowColHeaders="true">
      <pane topLeftCell="A12" state="frozen" activePane="bottomLeft" ySplit="11"/>
      <selection pane="bottomLeft" sqref="A594:K594" activeCell="A594"/>
    </sheetView>
  </sheetViews>
  <sheetFormatPr defaultColWidth="12.140625" customHeight="true" defaultRowHeight="15"/>
  <cols>
    <col max="1" min="1" style="0" width="3.140625" customWidth="true"/>
    <col max="2" min="2" style="0" width="7.5703125" customWidth="true"/>
    <col max="3" min="3" style="0" width="17.85546875" customWidth="true"/>
    <col max="4" min="4" style="0" width="32.85546875" customWidth="true"/>
    <col max="5" min="5" style="0" width="35.7109375" customWidth="true"/>
    <col max="6" min="6" style="0" width="7.42578125" customWidth="true"/>
    <col max="7" min="7" style="0" width="12.85546875" customWidth="true"/>
    <col max="8" min="8" style="0" width="12" customWidth="true"/>
    <col max="9" min="9" style="0" width="15.7109375" customWidth="true"/>
    <col max="10" min="10" style="0" width="13.42578125" customWidth="true"/>
    <col max="11" min="11" style="0" width="12.140625"/>
    <col max="75" min="25" style="0" width="12.140625" hidden="true"/>
    <col max="76" min="76" style="0" width="68.5703125" customWidth="true" hidden="true"/>
    <col max="78" min="77" style="0" width="12.140625" hidden="true"/>
  </cols>
  <sheetData>
    <row r="1" customHeight="true" ht="54.75">
      <c r="A1" s="2" t="s">
        <v>5089</v>
      </c>
      <c r="B1" s="2"/>
      <c r="C1" s="2"/>
      <c r="D1" s="2"/>
      <c r="E1" s="2"/>
      <c r="F1" s="2"/>
      <c r="G1" s="2"/>
      <c r="H1" s="2"/>
      <c r="I1" s="2"/>
      <c r="J1" s="2"/>
      <c r="K1" s="2"/>
      <c r="AS1" s="117">
        <f>SUM(AJ1:AJ2)</f>
      </c>
      <c r="AT1" s="117">
        <f>SUM(AK1:AK2)</f>
      </c>
      <c r="AU1" s="117">
        <f>SUM(AL1:AL2)</f>
      </c>
    </row>
    <row r="2">
      <c r="A2" s="3" t="s">
        <v>1</v>
      </c>
      <c r="B2" s="4"/>
      <c r="C2" s="4"/>
      <c r="D2" s="5">
        <f>'Stavební rozpočet'!D2</f>
      </c>
      <c r="E2" s="6"/>
      <c r="F2" s="4" t="s">
        <v>77</v>
      </c>
      <c r="G2" s="4"/>
      <c r="H2" s="7">
        <f>'Stavební rozpočet'!H2</f>
      </c>
      <c r="I2" s="7" t="s">
        <v>2</v>
      </c>
      <c r="J2" s="7">
        <f>'Stavební rozpočet'!J2</f>
      </c>
      <c r="K2" s="8"/>
    </row>
    <row r="3">
      <c r="A3" s="9"/>
      <c r="B3" s="10"/>
      <c r="C3" s="10"/>
      <c r="D3" s="11"/>
      <c r="E3" s="11"/>
      <c r="F3" s="10"/>
      <c r="G3" s="10"/>
      <c r="H3" s="10"/>
      <c r="I3" s="10"/>
      <c r="J3" s="10"/>
      <c r="K3" s="12"/>
    </row>
    <row r="4">
      <c r="A4" s="13" t="s">
        <v>5</v>
      </c>
      <c r="B4" s="10"/>
      <c r="C4" s="10"/>
      <c r="D4" s="14">
        <f>'Stavební rozpočet'!D4</f>
      </c>
      <c r="E4" s="10"/>
      <c r="F4" s="10" t="s">
        <v>9</v>
      </c>
      <c r="G4" s="10"/>
      <c r="H4" s="14">
        <f>'Stavební rozpočet'!H4</f>
      </c>
      <c r="I4" s="14" t="s">
        <v>6</v>
      </c>
      <c r="J4" s="14">
        <f>'Stavební rozpočet'!J4</f>
      </c>
      <c r="K4" s="12"/>
    </row>
    <row r="5">
      <c r="A5" s="9"/>
      <c r="B5" s="10"/>
      <c r="C5" s="10"/>
      <c r="D5" s="10"/>
      <c r="E5" s="10"/>
      <c r="F5" s="10"/>
      <c r="G5" s="10"/>
      <c r="H5" s="10"/>
      <c r="I5" s="10"/>
      <c r="J5" s="10"/>
      <c r="K5" s="12"/>
    </row>
    <row r="6">
      <c r="A6" s="13" t="s">
        <v>7</v>
      </c>
      <c r="B6" s="10"/>
      <c r="C6" s="10"/>
      <c r="D6" s="14">
        <f>'Stavební rozpočet'!D6</f>
      </c>
      <c r="E6" s="10"/>
      <c r="F6" s="10" t="s">
        <v>10</v>
      </c>
      <c r="G6" s="10"/>
      <c r="H6" s="14">
        <f>'Stavební rozpočet'!H6</f>
      </c>
      <c r="I6" s="14" t="s">
        <v>8</v>
      </c>
      <c r="J6" s="14">
        <f>'Stavební rozpočet'!J6</f>
      </c>
      <c r="K6" s="12"/>
    </row>
    <row r="7">
      <c r="A7" s="9"/>
      <c r="B7" s="10"/>
      <c r="C7" s="10"/>
      <c r="D7" s="10"/>
      <c r="E7" s="10"/>
      <c r="F7" s="10"/>
      <c r="G7" s="10"/>
      <c r="H7" s="10"/>
      <c r="I7" s="10"/>
      <c r="J7" s="10"/>
      <c r="K7" s="12"/>
    </row>
    <row r="8">
      <c r="A8" s="13" t="s">
        <v>12</v>
      </c>
      <c r="B8" s="10"/>
      <c r="C8" s="10"/>
      <c r="D8" s="14">
        <f>'Stavební rozpočet'!D8</f>
      </c>
      <c r="E8" s="10"/>
      <c r="F8" s="10" t="s">
        <v>78</v>
      </c>
      <c r="G8" s="10"/>
      <c r="H8" s="14">
        <f>'Stavební rozpočet'!H8</f>
      </c>
      <c r="I8" s="14" t="s">
        <v>13</v>
      </c>
      <c r="J8" s="14">
        <f>'Stavební rozpočet'!J8</f>
      </c>
      <c r="K8" s="12"/>
    </row>
    <row r="9">
      <c r="A9" s="94"/>
      <c r="B9" s="95"/>
      <c r="C9" s="95"/>
      <c r="D9" s="95"/>
      <c r="E9" s="95"/>
      <c r="F9" s="95"/>
      <c r="G9" s="95"/>
      <c r="H9" s="95"/>
      <c r="I9" s="95"/>
      <c r="J9" s="95"/>
      <c r="K9" s="19"/>
    </row>
    <row r="10">
      <c r="A10" s="124" t="s">
        <v>103</v>
      </c>
      <c r="B10" s="125" t="s">
        <v>81</v>
      </c>
      <c r="C10" s="125" t="s">
        <v>104</v>
      </c>
      <c r="D10" s="126" t="s">
        <v>105</v>
      </c>
      <c r="E10" s="127"/>
      <c r="F10" s="125" t="s">
        <v>106</v>
      </c>
      <c r="G10" s="128" t="s">
        <v>107</v>
      </c>
      <c r="H10" s="169" t="s">
        <v>108</v>
      </c>
      <c r="I10" s="101" t="s">
        <v>80</v>
      </c>
      <c r="J10" s="130" t="s">
        <v>109</v>
      </c>
      <c r="K10" s="131"/>
      <c r="BK10" s="132" t="s">
        <v>110</v>
      </c>
      <c r="BL10" s="133" t="s">
        <v>111</v>
      </c>
      <c r="BW10" s="133" t="s">
        <v>112</v>
      </c>
    </row>
    <row r="11">
      <c r="A11" s="134" t="s">
        <v>79</v>
      </c>
      <c r="B11" s="135" t="s">
        <v>79</v>
      </c>
      <c r="C11" s="135" t="s">
        <v>79</v>
      </c>
      <c r="D11" s="103" t="s">
        <v>113</v>
      </c>
      <c r="E11" s="105"/>
      <c r="F11" s="135" t="s">
        <v>79</v>
      </c>
      <c r="G11" s="135" t="s">
        <v>79</v>
      </c>
      <c r="H11" s="170" t="s">
        <v>114</v>
      </c>
      <c r="I11" s="106" t="s">
        <v>83</v>
      </c>
      <c r="J11" s="137" t="s">
        <v>115</v>
      </c>
      <c r="K11" s="138"/>
      <c r="Z11" s="132" t="s">
        <v>116</v>
      </c>
      <c r="AA11" s="132" t="s">
        <v>117</v>
      </c>
      <c r="AB11" s="132" t="s">
        <v>118</v>
      </c>
      <c r="AC11" s="132" t="s">
        <v>119</v>
      </c>
      <c r="AD11" s="132" t="s">
        <v>120</v>
      </c>
      <c r="AE11" s="132" t="s">
        <v>121</v>
      </c>
      <c r="AF11" s="132" t="s">
        <v>122</v>
      </c>
      <c r="AG11" s="132" t="s">
        <v>123</v>
      </c>
      <c r="AH11" s="132" t="s">
        <v>124</v>
      </c>
      <c r="BH11" s="132" t="s">
        <v>125</v>
      </c>
      <c r="BI11" s="132" t="s">
        <v>126</v>
      </c>
      <c r="BJ11" s="132" t="s">
        <v>127</v>
      </c>
    </row>
    <row r="12">
      <c r="A12" s="139" t="s">
        <v>4</v>
      </c>
      <c r="B12" s="140" t="s">
        <v>87</v>
      </c>
      <c r="C12" s="140" t="s">
        <v>4</v>
      </c>
      <c r="D12" s="141" t="s">
        <v>88</v>
      </c>
      <c r="E12" s="140"/>
      <c r="F12" s="142" t="s">
        <v>79</v>
      </c>
      <c r="G12" s="142" t="s">
        <v>79</v>
      </c>
      <c r="H12" s="142" t="s">
        <v>79</v>
      </c>
      <c r="I12" s="144">
        <f>I13+I21+I25+I29+I43+I79+I91+I103+I106+I111+I116+I123+I147+I150+I165+I205+I208+I211+I218+I221+I230+I235+I312+I477+I480+I509+I512+I515+I518+I521+I524+I589</f>
      </c>
      <c r="J12" s="145" t="s">
        <v>4</v>
      </c>
      <c r="K12" s="146"/>
    </row>
    <row r="13">
      <c r="A13" s="147" t="s">
        <v>4</v>
      </c>
      <c r="B13" s="148" t="s">
        <v>87</v>
      </c>
      <c r="C13" s="148" t="s">
        <v>128</v>
      </c>
      <c r="D13" s="149" t="s">
        <v>129</v>
      </c>
      <c r="E13" s="148"/>
      <c r="F13" s="150" t="s">
        <v>79</v>
      </c>
      <c r="G13" s="150" t="s">
        <v>79</v>
      </c>
      <c r="H13" s="150" t="s">
        <v>79</v>
      </c>
      <c r="I13" s="117">
        <f>SUM(I14:I19)</f>
      </c>
      <c r="J13" s="132" t="s">
        <v>4</v>
      </c>
      <c r="K13" s="146"/>
      <c r="AI13" s="132" t="s">
        <v>87</v>
      </c>
      <c r="AS13" s="117">
        <f>SUM(AJ14:AJ19)</f>
      </c>
      <c r="AT13" s="117">
        <f>SUM(AK14:AK19)</f>
      </c>
      <c r="AU13" s="117">
        <f>SUM(AL14:AL19)</f>
      </c>
    </row>
    <row r="14">
      <c r="A14" s="9" t="s">
        <v>130</v>
      </c>
      <c r="B14" s="10" t="s">
        <v>87</v>
      </c>
      <c r="C14" s="10" t="s">
        <v>2987</v>
      </c>
      <c r="D14" s="14" t="s">
        <v>2988</v>
      </c>
      <c r="E14" s="10"/>
      <c r="F14" s="10" t="s">
        <v>1324</v>
      </c>
      <c r="G14" s="111">
        <f>'Stavební rozpočet'!G1959</f>
      </c>
      <c r="H14" s="111">
        <f>'Stavební rozpočet'!H1959</f>
      </c>
      <c r="I14" s="111">
        <f>G14*H14</f>
      </c>
      <c r="J14" s="153" t="s">
        <v>134</v>
      </c>
      <c r="K14" s="146"/>
      <c r="Z14" s="111">
        <f>IF(AQ14="5",BJ14,0)</f>
      </c>
      <c r="AB14" s="111">
        <f>IF(AQ14="1",BH14,0)</f>
      </c>
      <c r="AC14" s="111">
        <f>IF(AQ14="1",BI14,0)</f>
      </c>
      <c r="AD14" s="111">
        <f>IF(AQ14="7",BH14,0)</f>
      </c>
      <c r="AE14" s="111">
        <f>IF(AQ14="7",BI14,0)</f>
      </c>
      <c r="AF14" s="111">
        <f>IF(AQ14="2",BH14,0)</f>
      </c>
      <c r="AG14" s="111">
        <f>IF(AQ14="2",BI14,0)</f>
      </c>
      <c r="AH14" s="111">
        <f>IF(AQ14="0",BJ14,0)</f>
      </c>
      <c r="AI14" s="132" t="s">
        <v>87</v>
      </c>
      <c r="AJ14" s="111">
        <f>IF(AN14=0,I14,0)</f>
      </c>
      <c r="AK14" s="111">
        <f>IF(AN14=12,I14,0)</f>
      </c>
      <c r="AL14" s="111">
        <f>IF(AN14=21,I14,0)</f>
      </c>
      <c r="AN14" s="111" t="n">
        <v>21</v>
      </c>
      <c r="AO14" s="111">
        <f>H14*0</f>
      </c>
      <c r="AP14" s="111">
        <f>H14*(1-0)</f>
      </c>
      <c r="AQ14" s="153" t="s">
        <v>130</v>
      </c>
      <c r="AV14" s="111">
        <f>AW14+AX14</f>
      </c>
      <c r="AW14" s="111">
        <f>G14*AO14</f>
      </c>
      <c r="AX14" s="111">
        <f>G14*AP14</f>
      </c>
      <c r="AY14" s="153" t="s">
        <v>135</v>
      </c>
      <c r="AZ14" s="153" t="s">
        <v>2989</v>
      </c>
      <c r="BA14" s="132" t="s">
        <v>2990</v>
      </c>
      <c r="BC14" s="111">
        <f>AW14+AX14</f>
      </c>
      <c r="BD14" s="111">
        <f>H14/(100-BE14)*100</f>
      </c>
      <c r="BE14" s="111" t="n">
        <v>0</v>
      </c>
      <c r="BF14" s="111">
        <f>14</f>
      </c>
      <c r="BH14" s="111">
        <f>G14*AO14</f>
      </c>
      <c r="BI14" s="111">
        <f>G14*AP14</f>
      </c>
      <c r="BJ14" s="111">
        <f>G14*H14</f>
      </c>
      <c r="BK14" s="111"/>
      <c r="BL14" s="111" t="n">
        <v>11</v>
      </c>
      <c r="BW14" s="111" t="n">
        <v>21</v>
      </c>
      <c r="BX14" s="14" t="s">
        <v>2988</v>
      </c>
    </row>
    <row r="15" customHeight="true" ht="13.5">
      <c r="A15" s="159"/>
      <c r="C15" s="160" t="s">
        <v>146</v>
      </c>
      <c r="D15" s="161" t="s">
        <v>2991</v>
      </c>
      <c r="E15" s="156"/>
      <c r="F15" s="156"/>
      <c r="G15" s="156"/>
      <c r="H15" s="156"/>
      <c r="I15" s="156"/>
      <c r="J15" s="156"/>
      <c r="K15" s="163"/>
    </row>
    <row r="16">
      <c r="A16" s="154"/>
      <c r="B16" s="155"/>
      <c r="C16" s="155"/>
      <c r="D16" s="156" t="s">
        <v>342</v>
      </c>
      <c r="E16" s="156" t="s">
        <v>4</v>
      </c>
      <c r="F16" s="155"/>
      <c r="G16" s="157" t="n">
        <v>30</v>
      </c>
      <c r="H16" s="155"/>
      <c r="I16" s="155"/>
      <c r="J16" s="155"/>
      <c r="K16" s="146"/>
    </row>
    <row r="17">
      <c r="A17" s="9" t="s">
        <v>140</v>
      </c>
      <c r="B17" s="10" t="s">
        <v>87</v>
      </c>
      <c r="C17" s="10" t="s">
        <v>2993</v>
      </c>
      <c r="D17" s="14" t="s">
        <v>2994</v>
      </c>
      <c r="E17" s="10"/>
      <c r="F17" s="10" t="s">
        <v>282</v>
      </c>
      <c r="G17" s="111">
        <f>'Stavební rozpočet'!G1962</f>
      </c>
      <c r="H17" s="111">
        <f>'Stavební rozpočet'!H1962</f>
      </c>
      <c r="I17" s="111">
        <f>G17*H17</f>
      </c>
      <c r="J17" s="153" t="s">
        <v>134</v>
      </c>
      <c r="K17" s="146"/>
      <c r="Z17" s="111">
        <f>IF(AQ17="5",BJ17,0)</f>
      </c>
      <c r="AB17" s="111">
        <f>IF(AQ17="1",BH17,0)</f>
      </c>
      <c r="AC17" s="111">
        <f>IF(AQ17="1",BI17,0)</f>
      </c>
      <c r="AD17" s="111">
        <f>IF(AQ17="7",BH17,0)</f>
      </c>
      <c r="AE17" s="111">
        <f>IF(AQ17="7",BI17,0)</f>
      </c>
      <c r="AF17" s="111">
        <f>IF(AQ17="2",BH17,0)</f>
      </c>
      <c r="AG17" s="111">
        <f>IF(AQ17="2",BI17,0)</f>
      </c>
      <c r="AH17" s="111">
        <f>IF(AQ17="0",BJ17,0)</f>
      </c>
      <c r="AI17" s="132" t="s">
        <v>87</v>
      </c>
      <c r="AJ17" s="111">
        <f>IF(AN17=0,I17,0)</f>
      </c>
      <c r="AK17" s="111">
        <f>IF(AN17=12,I17,0)</f>
      </c>
      <c r="AL17" s="111">
        <f>IF(AN17=21,I17,0)</f>
      </c>
      <c r="AN17" s="111" t="n">
        <v>21</v>
      </c>
      <c r="AO17" s="111">
        <f>H17*0.315450161</f>
      </c>
      <c r="AP17" s="111">
        <f>H17*(1-0.315450161)</f>
      </c>
      <c r="AQ17" s="153" t="s">
        <v>130</v>
      </c>
      <c r="AV17" s="111">
        <f>AW17+AX17</f>
      </c>
      <c r="AW17" s="111">
        <f>G17*AO17</f>
      </c>
      <c r="AX17" s="111">
        <f>G17*AP17</f>
      </c>
      <c r="AY17" s="153" t="s">
        <v>135</v>
      </c>
      <c r="AZ17" s="153" t="s">
        <v>2989</v>
      </c>
      <c r="BA17" s="132" t="s">
        <v>2990</v>
      </c>
      <c r="BC17" s="111">
        <f>AW17+AX17</f>
      </c>
      <c r="BD17" s="111">
        <f>H17/(100-BE17)*100</f>
      </c>
      <c r="BE17" s="111" t="n">
        <v>0</v>
      </c>
      <c r="BF17" s="111">
        <f>17</f>
      </c>
      <c r="BH17" s="111">
        <f>G17*AO17</f>
      </c>
      <c r="BI17" s="111">
        <f>G17*AP17</f>
      </c>
      <c r="BJ17" s="111">
        <f>G17*H17</f>
      </c>
      <c r="BK17" s="111"/>
      <c r="BL17" s="111" t="n">
        <v>11</v>
      </c>
      <c r="BW17" s="111" t="n">
        <v>21</v>
      </c>
      <c r="BX17" s="14" t="s">
        <v>2994</v>
      </c>
    </row>
    <row r="18">
      <c r="A18" s="154"/>
      <c r="B18" s="155"/>
      <c r="C18" s="155"/>
      <c r="D18" s="156" t="s">
        <v>2995</v>
      </c>
      <c r="E18" s="156" t="s">
        <v>4</v>
      </c>
      <c r="F18" s="155"/>
      <c r="G18" s="157" t="n">
        <v>4.05</v>
      </c>
      <c r="H18" s="155"/>
      <c r="I18" s="155"/>
      <c r="J18" s="155"/>
      <c r="K18" s="146"/>
    </row>
    <row r="19">
      <c r="A19" s="9" t="s">
        <v>138</v>
      </c>
      <c r="B19" s="10" t="s">
        <v>87</v>
      </c>
      <c r="C19" s="10" t="s">
        <v>2997</v>
      </c>
      <c r="D19" s="14" t="s">
        <v>2998</v>
      </c>
      <c r="E19" s="10"/>
      <c r="F19" s="10" t="s">
        <v>282</v>
      </c>
      <c r="G19" s="111">
        <f>'Stavební rozpočet'!G1964</f>
      </c>
      <c r="H19" s="111">
        <f>'Stavební rozpočet'!H1964</f>
      </c>
      <c r="I19" s="111">
        <f>G19*H19</f>
      </c>
      <c r="J19" s="153" t="s">
        <v>134</v>
      </c>
      <c r="K19" s="146"/>
      <c r="Z19" s="111">
        <f>IF(AQ19="5",BJ19,0)</f>
      </c>
      <c r="AB19" s="111">
        <f>IF(AQ19="1",BH19,0)</f>
      </c>
      <c r="AC19" s="111">
        <f>IF(AQ19="1",BI19,0)</f>
      </c>
      <c r="AD19" s="111">
        <f>IF(AQ19="7",BH19,0)</f>
      </c>
      <c r="AE19" s="111">
        <f>IF(AQ19="7",BI19,0)</f>
      </c>
      <c r="AF19" s="111">
        <f>IF(AQ19="2",BH19,0)</f>
      </c>
      <c r="AG19" s="111">
        <f>IF(AQ19="2",BI19,0)</f>
      </c>
      <c r="AH19" s="111">
        <f>IF(AQ19="0",BJ19,0)</f>
      </c>
      <c r="AI19" s="132" t="s">
        <v>87</v>
      </c>
      <c r="AJ19" s="111">
        <f>IF(AN19=0,I19,0)</f>
      </c>
      <c r="AK19" s="111">
        <f>IF(AN19=12,I19,0)</f>
      </c>
      <c r="AL19" s="111">
        <f>IF(AN19=21,I19,0)</f>
      </c>
      <c r="AN19" s="111" t="n">
        <v>21</v>
      </c>
      <c r="AO19" s="111">
        <f>H19*0.34200207</f>
      </c>
      <c r="AP19" s="111">
        <f>H19*(1-0.34200207)</f>
      </c>
      <c r="AQ19" s="153" t="s">
        <v>130</v>
      </c>
      <c r="AV19" s="111">
        <f>AW19+AX19</f>
      </c>
      <c r="AW19" s="111">
        <f>G19*AO19</f>
      </c>
      <c r="AX19" s="111">
        <f>G19*AP19</f>
      </c>
      <c r="AY19" s="153" t="s">
        <v>135</v>
      </c>
      <c r="AZ19" s="153" t="s">
        <v>2989</v>
      </c>
      <c r="BA19" s="132" t="s">
        <v>2990</v>
      </c>
      <c r="BC19" s="111">
        <f>AW19+AX19</f>
      </c>
      <c r="BD19" s="111">
        <f>H19/(100-BE19)*100</f>
      </c>
      <c r="BE19" s="111" t="n">
        <v>0</v>
      </c>
      <c r="BF19" s="111">
        <f>19</f>
      </c>
      <c r="BH19" s="111">
        <f>G19*AO19</f>
      </c>
      <c r="BI19" s="111">
        <f>G19*AP19</f>
      </c>
      <c r="BJ19" s="111">
        <f>G19*H19</f>
      </c>
      <c r="BK19" s="111"/>
      <c r="BL19" s="111" t="n">
        <v>11</v>
      </c>
      <c r="BW19" s="111" t="n">
        <v>21</v>
      </c>
      <c r="BX19" s="14" t="s">
        <v>2998</v>
      </c>
    </row>
    <row r="20">
      <c r="A20" s="154"/>
      <c r="B20" s="155"/>
      <c r="C20" s="155"/>
      <c r="D20" s="156" t="s">
        <v>2999</v>
      </c>
      <c r="E20" s="156" t="s">
        <v>4</v>
      </c>
      <c r="F20" s="155"/>
      <c r="G20" s="157" t="n">
        <v>2.7</v>
      </c>
      <c r="H20" s="155"/>
      <c r="I20" s="155"/>
      <c r="J20" s="155"/>
      <c r="K20" s="146"/>
    </row>
    <row r="21">
      <c r="A21" s="147" t="s">
        <v>4</v>
      </c>
      <c r="B21" s="148" t="s">
        <v>87</v>
      </c>
      <c r="C21" s="148" t="s">
        <v>908</v>
      </c>
      <c r="D21" s="149" t="s">
        <v>34</v>
      </c>
      <c r="E21" s="148"/>
      <c r="F21" s="150" t="s">
        <v>79</v>
      </c>
      <c r="G21" s="150" t="s">
        <v>79</v>
      </c>
      <c r="H21" s="150" t="s">
        <v>79</v>
      </c>
      <c r="I21" s="117">
        <f>SUM(I22:I22)</f>
      </c>
      <c r="J21" s="132" t="s">
        <v>4</v>
      </c>
      <c r="K21" s="146"/>
      <c r="AI21" s="132" t="s">
        <v>87</v>
      </c>
      <c r="AS21" s="117">
        <f>SUM(AJ22:AJ22)</f>
      </c>
      <c r="AT21" s="117">
        <f>SUM(AK22:AK22)</f>
      </c>
      <c r="AU21" s="117">
        <f>SUM(AL22:AL22)</f>
      </c>
    </row>
    <row r="22">
      <c r="A22" s="9" t="s">
        <v>149</v>
      </c>
      <c r="B22" s="10" t="s">
        <v>87</v>
      </c>
      <c r="C22" s="10" t="s">
        <v>3001</v>
      </c>
      <c r="D22" s="14" t="s">
        <v>3002</v>
      </c>
      <c r="E22" s="10"/>
      <c r="F22" s="10" t="s">
        <v>282</v>
      </c>
      <c r="G22" s="111">
        <f>'Stavební rozpočet'!G1967</f>
      </c>
      <c r="H22" s="111">
        <f>'Stavební rozpočet'!H1967</f>
      </c>
      <c r="I22" s="111">
        <f>G22*H22</f>
      </c>
      <c r="J22" s="153" t="s">
        <v>3003</v>
      </c>
      <c r="K22" s="146"/>
      <c r="Z22" s="111">
        <f>IF(AQ22="5",BJ22,0)</f>
      </c>
      <c r="AB22" s="111">
        <f>IF(AQ22="1",BH22,0)</f>
      </c>
      <c r="AC22" s="111">
        <f>IF(AQ22="1",BI22,0)</f>
      </c>
      <c r="AD22" s="111">
        <f>IF(AQ22="7",BH22,0)</f>
      </c>
      <c r="AE22" s="111">
        <f>IF(AQ22="7",BI22,0)</f>
      </c>
      <c r="AF22" s="111">
        <f>IF(AQ22="2",BH22,0)</f>
      </c>
      <c r="AG22" s="111">
        <f>IF(AQ22="2",BI22,0)</f>
      </c>
      <c r="AH22" s="111">
        <f>IF(AQ22="0",BJ22,0)</f>
      </c>
      <c r="AI22" s="132" t="s">
        <v>87</v>
      </c>
      <c r="AJ22" s="111">
        <f>IF(AN22=0,I22,0)</f>
      </c>
      <c r="AK22" s="111">
        <f>IF(AN22=12,I22,0)</f>
      </c>
      <c r="AL22" s="111">
        <f>IF(AN22=21,I22,0)</f>
      </c>
      <c r="AN22" s="111" t="n">
        <v>21</v>
      </c>
      <c r="AO22" s="111">
        <f>H22*1</f>
      </c>
      <c r="AP22" s="111">
        <f>H22*(1-1)</f>
      </c>
      <c r="AQ22" s="153" t="s">
        <v>130</v>
      </c>
      <c r="AV22" s="111">
        <f>AW22+AX22</f>
      </c>
      <c r="AW22" s="111">
        <f>G22*AO22</f>
      </c>
      <c r="AX22" s="111">
        <f>G22*AP22</f>
      </c>
      <c r="AY22" s="153" t="s">
        <v>3004</v>
      </c>
      <c r="AZ22" s="153" t="s">
        <v>2989</v>
      </c>
      <c r="BA22" s="132" t="s">
        <v>2990</v>
      </c>
      <c r="BC22" s="111">
        <f>AW22+AX22</f>
      </c>
      <c r="BD22" s="111">
        <f>H22/(100-BE22)*100</f>
      </c>
      <c r="BE22" s="111" t="n">
        <v>0</v>
      </c>
      <c r="BF22" s="111">
        <f>22</f>
      </c>
      <c r="BH22" s="111">
        <f>G22*AO22</f>
      </c>
      <c r="BI22" s="111">
        <f>G22*AP22</f>
      </c>
      <c r="BJ22" s="111">
        <f>G22*H22</f>
      </c>
      <c r="BK22" s="111"/>
      <c r="BL22" s="111" t="n">
        <v>119</v>
      </c>
      <c r="BW22" s="111" t="n">
        <v>21</v>
      </c>
      <c r="BX22" s="14" t="s">
        <v>3002</v>
      </c>
    </row>
    <row r="23" customHeight="true" ht="13.5">
      <c r="A23" s="159"/>
      <c r="C23" s="160" t="s">
        <v>146</v>
      </c>
      <c r="D23" s="161" t="s">
        <v>3005</v>
      </c>
      <c r="E23" s="156"/>
      <c r="F23" s="156"/>
      <c r="G23" s="156"/>
      <c r="H23" s="156"/>
      <c r="I23" s="156"/>
      <c r="J23" s="156"/>
      <c r="K23" s="163"/>
    </row>
    <row r="24">
      <c r="A24" s="154"/>
      <c r="B24" s="155"/>
      <c r="C24" s="155"/>
      <c r="D24" s="156" t="s">
        <v>2999</v>
      </c>
      <c r="E24" s="156" t="s">
        <v>4</v>
      </c>
      <c r="F24" s="155"/>
      <c r="G24" s="157" t="n">
        <v>2.7</v>
      </c>
      <c r="H24" s="155"/>
      <c r="I24" s="155"/>
      <c r="J24" s="155"/>
      <c r="K24" s="146"/>
    </row>
    <row r="25">
      <c r="A25" s="147" t="s">
        <v>4</v>
      </c>
      <c r="B25" s="148" t="s">
        <v>87</v>
      </c>
      <c r="C25" s="148" t="s">
        <v>154</v>
      </c>
      <c r="D25" s="149" t="s">
        <v>155</v>
      </c>
      <c r="E25" s="148"/>
      <c r="F25" s="150" t="s">
        <v>79</v>
      </c>
      <c r="G25" s="150" t="s">
        <v>79</v>
      </c>
      <c r="H25" s="150" t="s">
        <v>79</v>
      </c>
      <c r="I25" s="117">
        <f>SUM(I26:I26)</f>
      </c>
      <c r="J25" s="132" t="s">
        <v>4</v>
      </c>
      <c r="K25" s="146"/>
      <c r="AI25" s="132" t="s">
        <v>87</v>
      </c>
      <c r="AS25" s="117">
        <f>SUM(AJ26:AJ26)</f>
      </c>
      <c r="AT25" s="117">
        <f>SUM(AK26:AK26)</f>
      </c>
      <c r="AU25" s="117">
        <f>SUM(AL26:AL26)</f>
      </c>
    </row>
    <row r="26">
      <c r="A26" s="9" t="s">
        <v>156</v>
      </c>
      <c r="B26" s="10" t="s">
        <v>87</v>
      </c>
      <c r="C26" s="10" t="s">
        <v>3007</v>
      </c>
      <c r="D26" s="14" t="s">
        <v>3008</v>
      </c>
      <c r="E26" s="10"/>
      <c r="F26" s="10" t="s">
        <v>159</v>
      </c>
      <c r="G26" s="111">
        <f>'Stavební rozpočet'!G1971</f>
      </c>
      <c r="H26" s="111">
        <f>'Stavební rozpočet'!H1971</f>
      </c>
      <c r="I26" s="111">
        <f>G26*H26</f>
      </c>
      <c r="J26" s="153" t="s">
        <v>134</v>
      </c>
      <c r="K26" s="146"/>
      <c r="Z26" s="111">
        <f>IF(AQ26="5",BJ26,0)</f>
      </c>
      <c r="AB26" s="111">
        <f>IF(AQ26="1",BH26,0)</f>
      </c>
      <c r="AC26" s="111">
        <f>IF(AQ26="1",BI26,0)</f>
      </c>
      <c r="AD26" s="111">
        <f>IF(AQ26="7",BH26,0)</f>
      </c>
      <c r="AE26" s="111">
        <f>IF(AQ26="7",BI26,0)</f>
      </c>
      <c r="AF26" s="111">
        <f>IF(AQ26="2",BH26,0)</f>
      </c>
      <c r="AG26" s="111">
        <f>IF(AQ26="2",BI26,0)</f>
      </c>
      <c r="AH26" s="111">
        <f>IF(AQ26="0",BJ26,0)</f>
      </c>
      <c r="AI26" s="132" t="s">
        <v>87</v>
      </c>
      <c r="AJ26" s="111">
        <f>IF(AN26=0,I26,0)</f>
      </c>
      <c r="AK26" s="111">
        <f>IF(AN26=12,I26,0)</f>
      </c>
      <c r="AL26" s="111">
        <f>IF(AN26=21,I26,0)</f>
      </c>
      <c r="AN26" s="111" t="n">
        <v>21</v>
      </c>
      <c r="AO26" s="111">
        <f>H26*0</f>
      </c>
      <c r="AP26" s="111">
        <f>H26*(1-0)</f>
      </c>
      <c r="AQ26" s="153" t="s">
        <v>130</v>
      </c>
      <c r="AV26" s="111">
        <f>AW26+AX26</f>
      </c>
      <c r="AW26" s="111">
        <f>G26*AO26</f>
      </c>
      <c r="AX26" s="111">
        <f>G26*AP26</f>
      </c>
      <c r="AY26" s="153" t="s">
        <v>160</v>
      </c>
      <c r="AZ26" s="153" t="s">
        <v>2989</v>
      </c>
      <c r="BA26" s="132" t="s">
        <v>2990</v>
      </c>
      <c r="BC26" s="111">
        <f>AW26+AX26</f>
      </c>
      <c r="BD26" s="111">
        <f>H26/(100-BE26)*100</f>
      </c>
      <c r="BE26" s="111" t="n">
        <v>0</v>
      </c>
      <c r="BF26" s="111">
        <f>26</f>
      </c>
      <c r="BH26" s="111">
        <f>G26*AO26</f>
      </c>
      <c r="BI26" s="111">
        <f>G26*AP26</f>
      </c>
      <c r="BJ26" s="111">
        <f>G26*H26</f>
      </c>
      <c r="BK26" s="111"/>
      <c r="BL26" s="111" t="n">
        <v>12</v>
      </c>
      <c r="BW26" s="111" t="n">
        <v>21</v>
      </c>
      <c r="BX26" s="14" t="s">
        <v>3008</v>
      </c>
    </row>
    <row r="27">
      <c r="A27" s="154"/>
      <c r="B27" s="155"/>
      <c r="C27" s="155"/>
      <c r="D27" s="156" t="s">
        <v>3009</v>
      </c>
      <c r="E27" s="156" t="s">
        <v>4</v>
      </c>
      <c r="F27" s="155"/>
      <c r="G27" s="157" t="n">
        <v>4.6575</v>
      </c>
      <c r="H27" s="155"/>
      <c r="I27" s="155"/>
      <c r="J27" s="155"/>
      <c r="K27" s="146"/>
    </row>
    <row r="28">
      <c r="A28" s="154"/>
      <c r="B28" s="155"/>
      <c r="C28" s="155"/>
      <c r="D28" s="156" t="s">
        <v>3010</v>
      </c>
      <c r="E28" s="156" t="s">
        <v>4</v>
      </c>
      <c r="F28" s="155"/>
      <c r="G28" s="157" t="n">
        <v>3.105</v>
      </c>
      <c r="H28" s="155"/>
      <c r="I28" s="155"/>
      <c r="J28" s="155"/>
      <c r="K28" s="146"/>
    </row>
    <row r="29">
      <c r="A29" s="147" t="s">
        <v>4</v>
      </c>
      <c r="B29" s="148" t="s">
        <v>87</v>
      </c>
      <c r="C29" s="148" t="s">
        <v>163</v>
      </c>
      <c r="D29" s="149" t="s">
        <v>164</v>
      </c>
      <c r="E29" s="148"/>
      <c r="F29" s="150" t="s">
        <v>79</v>
      </c>
      <c r="G29" s="150" t="s">
        <v>79</v>
      </c>
      <c r="H29" s="150" t="s">
        <v>79</v>
      </c>
      <c r="I29" s="117">
        <f>SUM(I30:I41)</f>
      </c>
      <c r="J29" s="132" t="s">
        <v>4</v>
      </c>
      <c r="K29" s="146"/>
      <c r="AI29" s="132" t="s">
        <v>87</v>
      </c>
      <c r="AS29" s="117">
        <f>SUM(AJ30:AJ41)</f>
      </c>
      <c r="AT29" s="117">
        <f>SUM(AK30:AK41)</f>
      </c>
      <c r="AU29" s="117">
        <f>SUM(AL30:AL41)</f>
      </c>
    </row>
    <row r="30">
      <c r="A30" s="9" t="s">
        <v>165</v>
      </c>
      <c r="B30" s="10" t="s">
        <v>87</v>
      </c>
      <c r="C30" s="10" t="s">
        <v>3012</v>
      </c>
      <c r="D30" s="14" t="s">
        <v>3013</v>
      </c>
      <c r="E30" s="10"/>
      <c r="F30" s="10" t="s">
        <v>159</v>
      </c>
      <c r="G30" s="111">
        <f>'Stavební rozpočet'!G1975</f>
      </c>
      <c r="H30" s="111">
        <f>'Stavební rozpočet'!H1975</f>
      </c>
      <c r="I30" s="111">
        <f>G30*H30</f>
      </c>
      <c r="J30" s="153" t="s">
        <v>134</v>
      </c>
      <c r="K30" s="146"/>
      <c r="Z30" s="111">
        <f>IF(AQ30="5",BJ30,0)</f>
      </c>
      <c r="AB30" s="111">
        <f>IF(AQ30="1",BH30,0)</f>
      </c>
      <c r="AC30" s="111">
        <f>IF(AQ30="1",BI30,0)</f>
      </c>
      <c r="AD30" s="111">
        <f>IF(AQ30="7",BH30,0)</f>
      </c>
      <c r="AE30" s="111">
        <f>IF(AQ30="7",BI30,0)</f>
      </c>
      <c r="AF30" s="111">
        <f>IF(AQ30="2",BH30,0)</f>
      </c>
      <c r="AG30" s="111">
        <f>IF(AQ30="2",BI30,0)</f>
      </c>
      <c r="AH30" s="111">
        <f>IF(AQ30="0",BJ30,0)</f>
      </c>
      <c r="AI30" s="132" t="s">
        <v>87</v>
      </c>
      <c r="AJ30" s="111">
        <f>IF(AN30=0,I30,0)</f>
      </c>
      <c r="AK30" s="111">
        <f>IF(AN30=12,I30,0)</f>
      </c>
      <c r="AL30" s="111">
        <f>IF(AN30=21,I30,0)</f>
      </c>
      <c r="AN30" s="111" t="n">
        <v>21</v>
      </c>
      <c r="AO30" s="111">
        <f>H30*0</f>
      </c>
      <c r="AP30" s="111">
        <f>H30*(1-0)</f>
      </c>
      <c r="AQ30" s="153" t="s">
        <v>130</v>
      </c>
      <c r="AV30" s="111">
        <f>AW30+AX30</f>
      </c>
      <c r="AW30" s="111">
        <f>G30*AO30</f>
      </c>
      <c r="AX30" s="111">
        <f>G30*AP30</f>
      </c>
      <c r="AY30" s="153" t="s">
        <v>168</v>
      </c>
      <c r="AZ30" s="153" t="s">
        <v>2989</v>
      </c>
      <c r="BA30" s="132" t="s">
        <v>2990</v>
      </c>
      <c r="BC30" s="111">
        <f>AW30+AX30</f>
      </c>
      <c r="BD30" s="111">
        <f>H30/(100-BE30)*100</f>
      </c>
      <c r="BE30" s="111" t="n">
        <v>0</v>
      </c>
      <c r="BF30" s="111">
        <f>30</f>
      </c>
      <c r="BH30" s="111">
        <f>G30*AO30</f>
      </c>
      <c r="BI30" s="111">
        <f>G30*AP30</f>
      </c>
      <c r="BJ30" s="111">
        <f>G30*H30</f>
      </c>
      <c r="BK30" s="111"/>
      <c r="BL30" s="111" t="n">
        <v>13</v>
      </c>
      <c r="BW30" s="111" t="n">
        <v>21</v>
      </c>
      <c r="BX30" s="14" t="s">
        <v>3013</v>
      </c>
    </row>
    <row r="31">
      <c r="A31" s="154"/>
      <c r="B31" s="155"/>
      <c r="C31" s="155"/>
      <c r="D31" s="156" t="s">
        <v>3014</v>
      </c>
      <c r="E31" s="156" t="s">
        <v>3015</v>
      </c>
      <c r="F31" s="155"/>
      <c r="G31" s="157" t="n">
        <v>10.752</v>
      </c>
      <c r="H31" s="155"/>
      <c r="I31" s="155"/>
      <c r="J31" s="155"/>
      <c r="K31" s="146"/>
    </row>
    <row r="32">
      <c r="A32" s="9" t="s">
        <v>173</v>
      </c>
      <c r="B32" s="10" t="s">
        <v>87</v>
      </c>
      <c r="C32" s="10" t="s">
        <v>3017</v>
      </c>
      <c r="D32" s="14" t="s">
        <v>3018</v>
      </c>
      <c r="E32" s="10"/>
      <c r="F32" s="10" t="s">
        <v>159</v>
      </c>
      <c r="G32" s="111">
        <f>'Stavební rozpočet'!G1977</f>
      </c>
      <c r="H32" s="111">
        <f>'Stavební rozpočet'!H1977</f>
      </c>
      <c r="I32" s="111">
        <f>G32*H32</f>
      </c>
      <c r="J32" s="153" t="s">
        <v>134</v>
      </c>
      <c r="K32" s="146"/>
      <c r="Z32" s="111">
        <f>IF(AQ32="5",BJ32,0)</f>
      </c>
      <c r="AB32" s="111">
        <f>IF(AQ32="1",BH32,0)</f>
      </c>
      <c r="AC32" s="111">
        <f>IF(AQ32="1",BI32,0)</f>
      </c>
      <c r="AD32" s="111">
        <f>IF(AQ32="7",BH32,0)</f>
      </c>
      <c r="AE32" s="111">
        <f>IF(AQ32="7",BI32,0)</f>
      </c>
      <c r="AF32" s="111">
        <f>IF(AQ32="2",BH32,0)</f>
      </c>
      <c r="AG32" s="111">
        <f>IF(AQ32="2",BI32,0)</f>
      </c>
      <c r="AH32" s="111">
        <f>IF(AQ32="0",BJ32,0)</f>
      </c>
      <c r="AI32" s="132" t="s">
        <v>87</v>
      </c>
      <c r="AJ32" s="111">
        <f>IF(AN32=0,I32,0)</f>
      </c>
      <c r="AK32" s="111">
        <f>IF(AN32=12,I32,0)</f>
      </c>
      <c r="AL32" s="111">
        <f>IF(AN32=21,I32,0)</f>
      </c>
      <c r="AN32" s="111" t="n">
        <v>21</v>
      </c>
      <c r="AO32" s="111">
        <f>H32*0</f>
      </c>
      <c r="AP32" s="111">
        <f>H32*(1-0)</f>
      </c>
      <c r="AQ32" s="153" t="s">
        <v>130</v>
      </c>
      <c r="AV32" s="111">
        <f>AW32+AX32</f>
      </c>
      <c r="AW32" s="111">
        <f>G32*AO32</f>
      </c>
      <c r="AX32" s="111">
        <f>G32*AP32</f>
      </c>
      <c r="AY32" s="153" t="s">
        <v>168</v>
      </c>
      <c r="AZ32" s="153" t="s">
        <v>2989</v>
      </c>
      <c r="BA32" s="132" t="s">
        <v>2990</v>
      </c>
      <c r="BC32" s="111">
        <f>AW32+AX32</f>
      </c>
      <c r="BD32" s="111">
        <f>H32/(100-BE32)*100</f>
      </c>
      <c r="BE32" s="111" t="n">
        <v>0</v>
      </c>
      <c r="BF32" s="111">
        <f>32</f>
      </c>
      <c r="BH32" s="111">
        <f>G32*AO32</f>
      </c>
      <c r="BI32" s="111">
        <f>G32*AP32</f>
      </c>
      <c r="BJ32" s="111">
        <f>G32*H32</f>
      </c>
      <c r="BK32" s="111"/>
      <c r="BL32" s="111" t="n">
        <v>13</v>
      </c>
      <c r="BW32" s="111" t="n">
        <v>21</v>
      </c>
      <c r="BX32" s="14" t="s">
        <v>3018</v>
      </c>
    </row>
    <row r="33">
      <c r="A33" s="154"/>
      <c r="B33" s="155"/>
      <c r="C33" s="155"/>
      <c r="D33" s="156" t="s">
        <v>3019</v>
      </c>
      <c r="E33" s="156" t="s">
        <v>3020</v>
      </c>
      <c r="F33" s="155"/>
      <c r="G33" s="157" t="n">
        <v>559.0145</v>
      </c>
      <c r="H33" s="155"/>
      <c r="I33" s="155"/>
      <c r="J33" s="155"/>
      <c r="K33" s="146"/>
    </row>
    <row r="34">
      <c r="A34" s="9" t="s">
        <v>176</v>
      </c>
      <c r="B34" s="10" t="s">
        <v>87</v>
      </c>
      <c r="C34" s="10" t="s">
        <v>3022</v>
      </c>
      <c r="D34" s="14" t="s">
        <v>3023</v>
      </c>
      <c r="E34" s="10"/>
      <c r="F34" s="10" t="s">
        <v>159</v>
      </c>
      <c r="G34" s="111">
        <f>'Stavební rozpočet'!G1979</f>
      </c>
      <c r="H34" s="111">
        <f>'Stavební rozpočet'!H1979</f>
      </c>
      <c r="I34" s="111">
        <f>G34*H34</f>
      </c>
      <c r="J34" s="153" t="s">
        <v>134</v>
      </c>
      <c r="K34" s="146"/>
      <c r="Z34" s="111">
        <f>IF(AQ34="5",BJ34,0)</f>
      </c>
      <c r="AB34" s="111">
        <f>IF(AQ34="1",BH34,0)</f>
      </c>
      <c r="AC34" s="111">
        <f>IF(AQ34="1",BI34,0)</f>
      </c>
      <c r="AD34" s="111">
        <f>IF(AQ34="7",BH34,0)</f>
      </c>
      <c r="AE34" s="111">
        <f>IF(AQ34="7",BI34,0)</f>
      </c>
      <c r="AF34" s="111">
        <f>IF(AQ34="2",BH34,0)</f>
      </c>
      <c r="AG34" s="111">
        <f>IF(AQ34="2",BI34,0)</f>
      </c>
      <c r="AH34" s="111">
        <f>IF(AQ34="0",BJ34,0)</f>
      </c>
      <c r="AI34" s="132" t="s">
        <v>87</v>
      </c>
      <c r="AJ34" s="111">
        <f>IF(AN34=0,I34,0)</f>
      </c>
      <c r="AK34" s="111">
        <f>IF(AN34=12,I34,0)</f>
      </c>
      <c r="AL34" s="111">
        <f>IF(AN34=21,I34,0)</f>
      </c>
      <c r="AN34" s="111" t="n">
        <v>21</v>
      </c>
      <c r="AO34" s="111">
        <f>H34*0</f>
      </c>
      <c r="AP34" s="111">
        <f>H34*(1-0)</f>
      </c>
      <c r="AQ34" s="153" t="s">
        <v>130</v>
      </c>
      <c r="AV34" s="111">
        <f>AW34+AX34</f>
      </c>
      <c r="AW34" s="111">
        <f>G34*AO34</f>
      </c>
      <c r="AX34" s="111">
        <f>G34*AP34</f>
      </c>
      <c r="AY34" s="153" t="s">
        <v>168</v>
      </c>
      <c r="AZ34" s="153" t="s">
        <v>2989</v>
      </c>
      <c r="BA34" s="132" t="s">
        <v>2990</v>
      </c>
      <c r="BC34" s="111">
        <f>AW34+AX34</f>
      </c>
      <c r="BD34" s="111">
        <f>H34/(100-BE34)*100</f>
      </c>
      <c r="BE34" s="111" t="n">
        <v>0</v>
      </c>
      <c r="BF34" s="111">
        <f>34</f>
      </c>
      <c r="BH34" s="111">
        <f>G34*AO34</f>
      </c>
      <c r="BI34" s="111">
        <f>G34*AP34</f>
      </c>
      <c r="BJ34" s="111">
        <f>G34*H34</f>
      </c>
      <c r="BK34" s="111"/>
      <c r="BL34" s="111" t="n">
        <v>13</v>
      </c>
      <c r="BW34" s="111" t="n">
        <v>21</v>
      </c>
      <c r="BX34" s="14" t="s">
        <v>3023</v>
      </c>
    </row>
    <row r="35">
      <c r="A35" s="154"/>
      <c r="B35" s="155"/>
      <c r="C35" s="155"/>
      <c r="D35" s="156" t="s">
        <v>3024</v>
      </c>
      <c r="E35" s="156" t="s">
        <v>3025</v>
      </c>
      <c r="F35" s="155"/>
      <c r="G35" s="157" t="n">
        <v>170.92995</v>
      </c>
      <c r="H35" s="155"/>
      <c r="I35" s="155"/>
      <c r="J35" s="155"/>
      <c r="K35" s="146"/>
    </row>
    <row r="36">
      <c r="A36" s="9" t="s">
        <v>183</v>
      </c>
      <c r="B36" s="10" t="s">
        <v>87</v>
      </c>
      <c r="C36" s="10" t="s">
        <v>3027</v>
      </c>
      <c r="D36" s="14" t="s">
        <v>3028</v>
      </c>
      <c r="E36" s="10"/>
      <c r="F36" s="10" t="s">
        <v>159</v>
      </c>
      <c r="G36" s="111">
        <f>'Stavební rozpočet'!G1981</f>
      </c>
      <c r="H36" s="111">
        <f>'Stavební rozpočet'!H1981</f>
      </c>
      <c r="I36" s="111">
        <f>G36*H36</f>
      </c>
      <c r="J36" s="153" t="s">
        <v>134</v>
      </c>
      <c r="K36" s="146"/>
      <c r="Z36" s="111">
        <f>IF(AQ36="5",BJ36,0)</f>
      </c>
      <c r="AB36" s="111">
        <f>IF(AQ36="1",BH36,0)</f>
      </c>
      <c r="AC36" s="111">
        <f>IF(AQ36="1",BI36,0)</f>
      </c>
      <c r="AD36" s="111">
        <f>IF(AQ36="7",BH36,0)</f>
      </c>
      <c r="AE36" s="111">
        <f>IF(AQ36="7",BI36,0)</f>
      </c>
      <c r="AF36" s="111">
        <f>IF(AQ36="2",BH36,0)</f>
      </c>
      <c r="AG36" s="111">
        <f>IF(AQ36="2",BI36,0)</f>
      </c>
      <c r="AH36" s="111">
        <f>IF(AQ36="0",BJ36,0)</f>
      </c>
      <c r="AI36" s="132" t="s">
        <v>87</v>
      </c>
      <c r="AJ36" s="111">
        <f>IF(AN36=0,I36,0)</f>
      </c>
      <c r="AK36" s="111">
        <f>IF(AN36=12,I36,0)</f>
      </c>
      <c r="AL36" s="111">
        <f>IF(AN36=21,I36,0)</f>
      </c>
      <c r="AN36" s="111" t="n">
        <v>21</v>
      </c>
      <c r="AO36" s="111">
        <f>H36*0</f>
      </c>
      <c r="AP36" s="111">
        <f>H36*(1-0)</f>
      </c>
      <c r="AQ36" s="153" t="s">
        <v>130</v>
      </c>
      <c r="AV36" s="111">
        <f>AW36+AX36</f>
      </c>
      <c r="AW36" s="111">
        <f>G36*AO36</f>
      </c>
      <c r="AX36" s="111">
        <f>G36*AP36</f>
      </c>
      <c r="AY36" s="153" t="s">
        <v>168</v>
      </c>
      <c r="AZ36" s="153" t="s">
        <v>2989</v>
      </c>
      <c r="BA36" s="132" t="s">
        <v>2990</v>
      </c>
      <c r="BC36" s="111">
        <f>AW36+AX36</f>
      </c>
      <c r="BD36" s="111">
        <f>H36/(100-BE36)*100</f>
      </c>
      <c r="BE36" s="111" t="n">
        <v>0</v>
      </c>
      <c r="BF36" s="111">
        <f>36</f>
      </c>
      <c r="BH36" s="111">
        <f>G36*AO36</f>
      </c>
      <c r="BI36" s="111">
        <f>G36*AP36</f>
      </c>
      <c r="BJ36" s="111">
        <f>G36*H36</f>
      </c>
      <c r="BK36" s="111"/>
      <c r="BL36" s="111" t="n">
        <v>13</v>
      </c>
      <c r="BW36" s="111" t="n">
        <v>21</v>
      </c>
      <c r="BX36" s="14" t="s">
        <v>3028</v>
      </c>
    </row>
    <row r="37">
      <c r="A37" s="154"/>
      <c r="B37" s="155"/>
      <c r="C37" s="155"/>
      <c r="D37" s="156" t="s">
        <v>3029</v>
      </c>
      <c r="E37" s="156" t="s">
        <v>3030</v>
      </c>
      <c r="F37" s="155"/>
      <c r="G37" s="157" t="n">
        <v>23.2875</v>
      </c>
      <c r="H37" s="155"/>
      <c r="I37" s="155"/>
      <c r="J37" s="155"/>
      <c r="K37" s="146"/>
    </row>
    <row r="38">
      <c r="A38" s="154"/>
      <c r="B38" s="155"/>
      <c r="C38" s="155"/>
      <c r="D38" s="156" t="s">
        <v>3031</v>
      </c>
      <c r="E38" s="156" t="s">
        <v>3032</v>
      </c>
      <c r="F38" s="155"/>
      <c r="G38" s="157" t="n">
        <v>52.8</v>
      </c>
      <c r="H38" s="155"/>
      <c r="I38" s="155"/>
      <c r="J38" s="155"/>
      <c r="K38" s="146"/>
    </row>
    <row r="39">
      <c r="A39" s="154"/>
      <c r="B39" s="155"/>
      <c r="C39" s="155"/>
      <c r="D39" s="156" t="s">
        <v>3033</v>
      </c>
      <c r="E39" s="156" t="s">
        <v>3034</v>
      </c>
      <c r="F39" s="155"/>
      <c r="G39" s="157" t="n">
        <v>86.756</v>
      </c>
      <c r="H39" s="155"/>
      <c r="I39" s="155"/>
      <c r="J39" s="155"/>
      <c r="K39" s="146"/>
    </row>
    <row r="40">
      <c r="A40" s="154"/>
      <c r="B40" s="155"/>
      <c r="C40" s="155"/>
      <c r="D40" s="156" t="s">
        <v>3035</v>
      </c>
      <c r="E40" s="156" t="s">
        <v>3036</v>
      </c>
      <c r="F40" s="155"/>
      <c r="G40" s="157" t="n">
        <v>234.576</v>
      </c>
      <c r="H40" s="155"/>
      <c r="I40" s="155"/>
      <c r="J40" s="155"/>
      <c r="K40" s="146"/>
    </row>
    <row r="41">
      <c r="A41" s="9" t="s">
        <v>186</v>
      </c>
      <c r="B41" s="10" t="s">
        <v>87</v>
      </c>
      <c r="C41" s="10" t="s">
        <v>200</v>
      </c>
      <c r="D41" s="14" t="s">
        <v>201</v>
      </c>
      <c r="E41" s="10"/>
      <c r="F41" s="10" t="s">
        <v>159</v>
      </c>
      <c r="G41" s="111">
        <f>'Stavební rozpočet'!G1986</f>
      </c>
      <c r="H41" s="111">
        <f>'Stavební rozpočet'!H1986</f>
      </c>
      <c r="I41" s="111">
        <f>G41*H41</f>
      </c>
      <c r="J41" s="153" t="s">
        <v>134</v>
      </c>
      <c r="K41" s="146"/>
      <c r="Z41" s="111">
        <f>IF(AQ41="5",BJ41,0)</f>
      </c>
      <c r="AB41" s="111">
        <f>IF(AQ41="1",BH41,0)</f>
      </c>
      <c r="AC41" s="111">
        <f>IF(AQ41="1",BI41,0)</f>
      </c>
      <c r="AD41" s="111">
        <f>IF(AQ41="7",BH41,0)</f>
      </c>
      <c r="AE41" s="111">
        <f>IF(AQ41="7",BI41,0)</f>
      </c>
      <c r="AF41" s="111">
        <f>IF(AQ41="2",BH41,0)</f>
      </c>
      <c r="AG41" s="111">
        <f>IF(AQ41="2",BI41,0)</f>
      </c>
      <c r="AH41" s="111">
        <f>IF(AQ41="0",BJ41,0)</f>
      </c>
      <c r="AI41" s="132" t="s">
        <v>87</v>
      </c>
      <c r="AJ41" s="111">
        <f>IF(AN41=0,I41,0)</f>
      </c>
      <c r="AK41" s="111">
        <f>IF(AN41=12,I41,0)</f>
      </c>
      <c r="AL41" s="111">
        <f>IF(AN41=21,I41,0)</f>
      </c>
      <c r="AN41" s="111" t="n">
        <v>21</v>
      </c>
      <c r="AO41" s="111">
        <f>H41*0</f>
      </c>
      <c r="AP41" s="111">
        <f>H41*(1-0)</f>
      </c>
      <c r="AQ41" s="153" t="s">
        <v>130</v>
      </c>
      <c r="AV41" s="111">
        <f>AW41+AX41</f>
      </c>
      <c r="AW41" s="111">
        <f>G41*AO41</f>
      </c>
      <c r="AX41" s="111">
        <f>G41*AP41</f>
      </c>
      <c r="AY41" s="153" t="s">
        <v>168</v>
      </c>
      <c r="AZ41" s="153" t="s">
        <v>2989</v>
      </c>
      <c r="BA41" s="132" t="s">
        <v>2990</v>
      </c>
      <c r="BC41" s="111">
        <f>AW41+AX41</f>
      </c>
      <c r="BD41" s="111">
        <f>H41/(100-BE41)*100</f>
      </c>
      <c r="BE41" s="111" t="n">
        <v>0</v>
      </c>
      <c r="BF41" s="111">
        <f>41</f>
      </c>
      <c r="BH41" s="111">
        <f>G41*AO41</f>
      </c>
      <c r="BI41" s="111">
        <f>G41*AP41</f>
      </c>
      <c r="BJ41" s="111">
        <f>G41*H41</f>
      </c>
      <c r="BK41" s="111"/>
      <c r="BL41" s="111" t="n">
        <v>13</v>
      </c>
      <c r="BW41" s="111" t="n">
        <v>21</v>
      </c>
      <c r="BX41" s="14" t="s">
        <v>201</v>
      </c>
    </row>
    <row r="42">
      <c r="A42" s="154"/>
      <c r="B42" s="155"/>
      <c r="C42" s="155"/>
      <c r="D42" s="156" t="s">
        <v>3038</v>
      </c>
      <c r="E42" s="156" t="s">
        <v>3025</v>
      </c>
      <c r="F42" s="155"/>
      <c r="G42" s="157" t="n">
        <v>119.22585</v>
      </c>
      <c r="H42" s="155"/>
      <c r="I42" s="155"/>
      <c r="J42" s="155"/>
      <c r="K42" s="146"/>
    </row>
    <row r="43">
      <c r="A43" s="147" t="s">
        <v>4</v>
      </c>
      <c r="B43" s="148" t="s">
        <v>87</v>
      </c>
      <c r="C43" s="148" t="s">
        <v>224</v>
      </c>
      <c r="D43" s="149" t="s">
        <v>3039</v>
      </c>
      <c r="E43" s="148"/>
      <c r="F43" s="150" t="s">
        <v>79</v>
      </c>
      <c r="G43" s="150" t="s">
        <v>79</v>
      </c>
      <c r="H43" s="150" t="s">
        <v>79</v>
      </c>
      <c r="I43" s="117">
        <f>SUM(I44:I77)</f>
      </c>
      <c r="J43" s="132" t="s">
        <v>4</v>
      </c>
      <c r="K43" s="146"/>
      <c r="AI43" s="132" t="s">
        <v>87</v>
      </c>
      <c r="AS43" s="117">
        <f>SUM(AJ44:AJ77)</f>
      </c>
      <c r="AT43" s="117">
        <f>SUM(AK44:AK77)</f>
      </c>
      <c r="AU43" s="117">
        <f>SUM(AL44:AL77)</f>
      </c>
    </row>
    <row r="44">
      <c r="A44" s="9" t="s">
        <v>128</v>
      </c>
      <c r="B44" s="10" t="s">
        <v>87</v>
      </c>
      <c r="C44" s="10" t="s">
        <v>3041</v>
      </c>
      <c r="D44" s="14" t="s">
        <v>3042</v>
      </c>
      <c r="E44" s="10"/>
      <c r="F44" s="10" t="s">
        <v>145</v>
      </c>
      <c r="G44" s="111">
        <f>'Stavební rozpočet'!G1989</f>
      </c>
      <c r="H44" s="111">
        <f>'Stavební rozpočet'!H1989</f>
      </c>
      <c r="I44" s="111">
        <f>G44*H44</f>
      </c>
      <c r="J44" s="153" t="s">
        <v>134</v>
      </c>
      <c r="K44" s="146"/>
      <c r="Z44" s="111">
        <f>IF(AQ44="5",BJ44,0)</f>
      </c>
      <c r="AB44" s="111">
        <f>IF(AQ44="1",BH44,0)</f>
      </c>
      <c r="AC44" s="111">
        <f>IF(AQ44="1",BI44,0)</f>
      </c>
      <c r="AD44" s="111">
        <f>IF(AQ44="7",BH44,0)</f>
      </c>
      <c r="AE44" s="111">
        <f>IF(AQ44="7",BI44,0)</f>
      </c>
      <c r="AF44" s="111">
        <f>IF(AQ44="2",BH44,0)</f>
      </c>
      <c r="AG44" s="111">
        <f>IF(AQ44="2",BI44,0)</f>
      </c>
      <c r="AH44" s="111">
        <f>IF(AQ44="0",BJ44,0)</f>
      </c>
      <c r="AI44" s="132" t="s">
        <v>87</v>
      </c>
      <c r="AJ44" s="111">
        <f>IF(AN44=0,I44,0)</f>
      </c>
      <c r="AK44" s="111">
        <f>IF(AN44=12,I44,0)</f>
      </c>
      <c r="AL44" s="111">
        <f>IF(AN44=21,I44,0)</f>
      </c>
      <c r="AN44" s="111" t="n">
        <v>21</v>
      </c>
      <c r="AO44" s="111">
        <f>H44*0.085202975</f>
      </c>
      <c r="AP44" s="111">
        <f>H44*(1-0.085202975)</f>
      </c>
      <c r="AQ44" s="153" t="s">
        <v>130</v>
      </c>
      <c r="AV44" s="111">
        <f>AW44+AX44</f>
      </c>
      <c r="AW44" s="111">
        <f>G44*AO44</f>
      </c>
      <c r="AX44" s="111">
        <f>G44*AP44</f>
      </c>
      <c r="AY44" s="153" t="s">
        <v>3043</v>
      </c>
      <c r="AZ44" s="153" t="s">
        <v>2989</v>
      </c>
      <c r="BA44" s="132" t="s">
        <v>2990</v>
      </c>
      <c r="BC44" s="111">
        <f>AW44+AX44</f>
      </c>
      <c r="BD44" s="111">
        <f>H44/(100-BE44)*100</f>
      </c>
      <c r="BE44" s="111" t="n">
        <v>0</v>
      </c>
      <c r="BF44" s="111">
        <f>44</f>
      </c>
      <c r="BH44" s="111">
        <f>G44*AO44</f>
      </c>
      <c r="BI44" s="111">
        <f>G44*AP44</f>
      </c>
      <c r="BJ44" s="111">
        <f>G44*H44</f>
      </c>
      <c r="BK44" s="111"/>
      <c r="BL44" s="111" t="n">
        <v>15</v>
      </c>
      <c r="BW44" s="111" t="n">
        <v>21</v>
      </c>
      <c r="BX44" s="14" t="s">
        <v>3042</v>
      </c>
    </row>
    <row r="45">
      <c r="A45" s="154"/>
      <c r="B45" s="155"/>
      <c r="C45" s="155"/>
      <c r="D45" s="156" t="s">
        <v>3044</v>
      </c>
      <c r="E45" s="156" t="s">
        <v>3030</v>
      </c>
      <c r="F45" s="155"/>
      <c r="G45" s="157" t="n">
        <v>32.2</v>
      </c>
      <c r="H45" s="155"/>
      <c r="I45" s="155"/>
      <c r="J45" s="155"/>
      <c r="K45" s="146"/>
    </row>
    <row r="46">
      <c r="A46" s="154"/>
      <c r="B46" s="155"/>
      <c r="C46" s="155"/>
      <c r="D46" s="156" t="s">
        <v>3045</v>
      </c>
      <c r="E46" s="156" t="s">
        <v>3036</v>
      </c>
      <c r="F46" s="155"/>
      <c r="G46" s="157" t="n">
        <v>221.76</v>
      </c>
      <c r="H46" s="155"/>
      <c r="I46" s="155"/>
      <c r="J46" s="155"/>
      <c r="K46" s="146"/>
    </row>
    <row r="47">
      <c r="A47" s="154"/>
      <c r="B47" s="155"/>
      <c r="C47" s="155"/>
      <c r="D47" s="156" t="s">
        <v>3046</v>
      </c>
      <c r="E47" s="156" t="s">
        <v>3032</v>
      </c>
      <c r="F47" s="155"/>
      <c r="G47" s="157" t="n">
        <v>96</v>
      </c>
      <c r="H47" s="155"/>
      <c r="I47" s="155"/>
      <c r="J47" s="155"/>
      <c r="K47" s="146"/>
    </row>
    <row r="48">
      <c r="A48" s="9" t="s">
        <v>154</v>
      </c>
      <c r="B48" s="10" t="s">
        <v>87</v>
      </c>
      <c r="C48" s="10" t="s">
        <v>3048</v>
      </c>
      <c r="D48" s="14" t="s">
        <v>3049</v>
      </c>
      <c r="E48" s="10"/>
      <c r="F48" s="10" t="s">
        <v>145</v>
      </c>
      <c r="G48" s="111">
        <f>'Stavební rozpočet'!G1993</f>
      </c>
      <c r="H48" s="111">
        <f>'Stavební rozpočet'!H1993</f>
      </c>
      <c r="I48" s="111">
        <f>G48*H48</f>
      </c>
      <c r="J48" s="153" t="s">
        <v>134</v>
      </c>
      <c r="K48" s="146"/>
      <c r="Z48" s="111">
        <f>IF(AQ48="5",BJ48,0)</f>
      </c>
      <c r="AB48" s="111">
        <f>IF(AQ48="1",BH48,0)</f>
      </c>
      <c r="AC48" s="111">
        <f>IF(AQ48="1",BI48,0)</f>
      </c>
      <c r="AD48" s="111">
        <f>IF(AQ48="7",BH48,0)</f>
      </c>
      <c r="AE48" s="111">
        <f>IF(AQ48="7",BI48,0)</f>
      </c>
      <c r="AF48" s="111">
        <f>IF(AQ48="2",BH48,0)</f>
      </c>
      <c r="AG48" s="111">
        <f>IF(AQ48="2",BI48,0)</f>
      </c>
      <c r="AH48" s="111">
        <f>IF(AQ48="0",BJ48,0)</f>
      </c>
      <c r="AI48" s="132" t="s">
        <v>87</v>
      </c>
      <c r="AJ48" s="111">
        <f>IF(AN48=0,I48,0)</f>
      </c>
      <c r="AK48" s="111">
        <f>IF(AN48=12,I48,0)</f>
      </c>
      <c r="AL48" s="111">
        <f>IF(AN48=21,I48,0)</f>
      </c>
      <c r="AN48" s="111" t="n">
        <v>21</v>
      </c>
      <c r="AO48" s="111">
        <f>H48*0.083527397</f>
      </c>
      <c r="AP48" s="111">
        <f>H48*(1-0.083527397)</f>
      </c>
      <c r="AQ48" s="153" t="s">
        <v>130</v>
      </c>
      <c r="AV48" s="111">
        <f>AW48+AX48</f>
      </c>
      <c r="AW48" s="111">
        <f>G48*AO48</f>
      </c>
      <c r="AX48" s="111">
        <f>G48*AP48</f>
      </c>
      <c r="AY48" s="153" t="s">
        <v>3043</v>
      </c>
      <c r="AZ48" s="153" t="s">
        <v>2989</v>
      </c>
      <c r="BA48" s="132" t="s">
        <v>2990</v>
      </c>
      <c r="BC48" s="111">
        <f>AW48+AX48</f>
      </c>
      <c r="BD48" s="111">
        <f>H48/(100-BE48)*100</f>
      </c>
      <c r="BE48" s="111" t="n">
        <v>0</v>
      </c>
      <c r="BF48" s="111">
        <f>48</f>
      </c>
      <c r="BH48" s="111">
        <f>G48*AO48</f>
      </c>
      <c r="BI48" s="111">
        <f>G48*AP48</f>
      </c>
      <c r="BJ48" s="111">
        <f>G48*H48</f>
      </c>
      <c r="BK48" s="111"/>
      <c r="BL48" s="111" t="n">
        <v>15</v>
      </c>
      <c r="BW48" s="111" t="n">
        <v>21</v>
      </c>
      <c r="BX48" s="14" t="s">
        <v>3049</v>
      </c>
    </row>
    <row r="49">
      <c r="A49" s="154"/>
      <c r="B49" s="155"/>
      <c r="C49" s="155"/>
      <c r="D49" s="156" t="s">
        <v>3050</v>
      </c>
      <c r="E49" s="156" t="s">
        <v>3030</v>
      </c>
      <c r="F49" s="155"/>
      <c r="G49" s="157" t="n">
        <v>4.4</v>
      </c>
      <c r="H49" s="155"/>
      <c r="I49" s="155"/>
      <c r="J49" s="155"/>
      <c r="K49" s="146"/>
    </row>
    <row r="50">
      <c r="A50" s="154"/>
      <c r="B50" s="155"/>
      <c r="C50" s="155"/>
      <c r="D50" s="156" t="s">
        <v>3051</v>
      </c>
      <c r="E50" s="156" t="s">
        <v>3036</v>
      </c>
      <c r="F50" s="155"/>
      <c r="G50" s="157" t="n">
        <v>125.76</v>
      </c>
      <c r="H50" s="155"/>
      <c r="I50" s="155"/>
      <c r="J50" s="155"/>
      <c r="K50" s="146"/>
    </row>
    <row r="51">
      <c r="A51" s="9" t="s">
        <v>163</v>
      </c>
      <c r="B51" s="10" t="s">
        <v>87</v>
      </c>
      <c r="C51" s="10" t="s">
        <v>3053</v>
      </c>
      <c r="D51" s="14" t="s">
        <v>3054</v>
      </c>
      <c r="E51" s="10"/>
      <c r="F51" s="10" t="s">
        <v>145</v>
      </c>
      <c r="G51" s="111">
        <f>'Stavební rozpočet'!G1996</f>
      </c>
      <c r="H51" s="111">
        <f>'Stavební rozpočet'!H1996</f>
      </c>
      <c r="I51" s="111">
        <f>G51*H51</f>
      </c>
      <c r="J51" s="153" t="s">
        <v>134</v>
      </c>
      <c r="K51" s="146"/>
      <c r="Z51" s="111">
        <f>IF(AQ51="5",BJ51,0)</f>
      </c>
      <c r="AB51" s="111">
        <f>IF(AQ51="1",BH51,0)</f>
      </c>
      <c r="AC51" s="111">
        <f>IF(AQ51="1",BI51,0)</f>
      </c>
      <c r="AD51" s="111">
        <f>IF(AQ51="7",BH51,0)</f>
      </c>
      <c r="AE51" s="111">
        <f>IF(AQ51="7",BI51,0)</f>
      </c>
      <c r="AF51" s="111">
        <f>IF(AQ51="2",BH51,0)</f>
      </c>
      <c r="AG51" s="111">
        <f>IF(AQ51="2",BI51,0)</f>
      </c>
      <c r="AH51" s="111">
        <f>IF(AQ51="0",BJ51,0)</f>
      </c>
      <c r="AI51" s="132" t="s">
        <v>87</v>
      </c>
      <c r="AJ51" s="111">
        <f>IF(AN51=0,I51,0)</f>
      </c>
      <c r="AK51" s="111">
        <f>IF(AN51=12,I51,0)</f>
      </c>
      <c r="AL51" s="111">
        <f>IF(AN51=21,I51,0)</f>
      </c>
      <c r="AN51" s="111" t="n">
        <v>21</v>
      </c>
      <c r="AO51" s="111">
        <f>H51*0</f>
      </c>
      <c r="AP51" s="111">
        <f>H51*(1-0)</f>
      </c>
      <c r="AQ51" s="153" t="s">
        <v>130</v>
      </c>
      <c r="AV51" s="111">
        <f>AW51+AX51</f>
      </c>
      <c r="AW51" s="111">
        <f>G51*AO51</f>
      </c>
      <c r="AX51" s="111">
        <f>G51*AP51</f>
      </c>
      <c r="AY51" s="153" t="s">
        <v>3043</v>
      </c>
      <c r="AZ51" s="153" t="s">
        <v>2989</v>
      </c>
      <c r="BA51" s="132" t="s">
        <v>2990</v>
      </c>
      <c r="BC51" s="111">
        <f>AW51+AX51</f>
      </c>
      <c r="BD51" s="111">
        <f>H51/(100-BE51)*100</f>
      </c>
      <c r="BE51" s="111" t="n">
        <v>0</v>
      </c>
      <c r="BF51" s="111">
        <f>51</f>
      </c>
      <c r="BH51" s="111">
        <f>G51*AO51</f>
      </c>
      <c r="BI51" s="111">
        <f>G51*AP51</f>
      </c>
      <c r="BJ51" s="111">
        <f>G51*H51</f>
      </c>
      <c r="BK51" s="111"/>
      <c r="BL51" s="111" t="n">
        <v>15</v>
      </c>
      <c r="BW51" s="111" t="n">
        <v>21</v>
      </c>
      <c r="BX51" s="14" t="s">
        <v>3054</v>
      </c>
    </row>
    <row r="52">
      <c r="A52" s="154"/>
      <c r="B52" s="155"/>
      <c r="C52" s="155"/>
      <c r="D52" s="156" t="s">
        <v>3055</v>
      </c>
      <c r="E52" s="156" t="s">
        <v>4</v>
      </c>
      <c r="F52" s="155"/>
      <c r="G52" s="157" t="n">
        <v>349.96</v>
      </c>
      <c r="H52" s="155"/>
      <c r="I52" s="155"/>
      <c r="J52" s="155"/>
      <c r="K52" s="146"/>
    </row>
    <row r="53">
      <c r="A53" s="9" t="s">
        <v>212</v>
      </c>
      <c r="B53" s="10" t="s">
        <v>87</v>
      </c>
      <c r="C53" s="10" t="s">
        <v>3057</v>
      </c>
      <c r="D53" s="14" t="s">
        <v>3058</v>
      </c>
      <c r="E53" s="10"/>
      <c r="F53" s="10" t="s">
        <v>145</v>
      </c>
      <c r="G53" s="111">
        <f>'Stavební rozpočet'!G1998</f>
      </c>
      <c r="H53" s="111">
        <f>'Stavební rozpočet'!H1998</f>
      </c>
      <c r="I53" s="111">
        <f>G53*H53</f>
      </c>
      <c r="J53" s="153" t="s">
        <v>134</v>
      </c>
      <c r="K53" s="146"/>
      <c r="Z53" s="111">
        <f>IF(AQ53="5",BJ53,0)</f>
      </c>
      <c r="AB53" s="111">
        <f>IF(AQ53="1",BH53,0)</f>
      </c>
      <c r="AC53" s="111">
        <f>IF(AQ53="1",BI53,0)</f>
      </c>
      <c r="AD53" s="111">
        <f>IF(AQ53="7",BH53,0)</f>
      </c>
      <c r="AE53" s="111">
        <f>IF(AQ53="7",BI53,0)</f>
      </c>
      <c r="AF53" s="111">
        <f>IF(AQ53="2",BH53,0)</f>
      </c>
      <c r="AG53" s="111">
        <f>IF(AQ53="2",BI53,0)</f>
      </c>
      <c r="AH53" s="111">
        <f>IF(AQ53="0",BJ53,0)</f>
      </c>
      <c r="AI53" s="132" t="s">
        <v>87</v>
      </c>
      <c r="AJ53" s="111">
        <f>IF(AN53=0,I53,0)</f>
      </c>
      <c r="AK53" s="111">
        <f>IF(AN53=12,I53,0)</f>
      </c>
      <c r="AL53" s="111">
        <f>IF(AN53=21,I53,0)</f>
      </c>
      <c r="AN53" s="111" t="n">
        <v>21</v>
      </c>
      <c r="AO53" s="111">
        <f>H53*0</f>
      </c>
      <c r="AP53" s="111">
        <f>H53*(1-0)</f>
      </c>
      <c r="AQ53" s="153" t="s">
        <v>130</v>
      </c>
      <c r="AV53" s="111">
        <f>AW53+AX53</f>
      </c>
      <c r="AW53" s="111">
        <f>G53*AO53</f>
      </c>
      <c r="AX53" s="111">
        <f>G53*AP53</f>
      </c>
      <c r="AY53" s="153" t="s">
        <v>3043</v>
      </c>
      <c r="AZ53" s="153" t="s">
        <v>2989</v>
      </c>
      <c r="BA53" s="132" t="s">
        <v>2990</v>
      </c>
      <c r="BC53" s="111">
        <f>AW53+AX53</f>
      </c>
      <c r="BD53" s="111">
        <f>H53/(100-BE53)*100</f>
      </c>
      <c r="BE53" s="111" t="n">
        <v>0</v>
      </c>
      <c r="BF53" s="111">
        <f>53</f>
      </c>
      <c r="BH53" s="111">
        <f>G53*AO53</f>
      </c>
      <c r="BI53" s="111">
        <f>G53*AP53</f>
      </c>
      <c r="BJ53" s="111">
        <f>G53*H53</f>
      </c>
      <c r="BK53" s="111"/>
      <c r="BL53" s="111" t="n">
        <v>15</v>
      </c>
      <c r="BW53" s="111" t="n">
        <v>21</v>
      </c>
      <c r="BX53" s="14" t="s">
        <v>3058</v>
      </c>
    </row>
    <row r="54">
      <c r="A54" s="154"/>
      <c r="B54" s="155"/>
      <c r="C54" s="155"/>
      <c r="D54" s="156" t="s">
        <v>3059</v>
      </c>
      <c r="E54" s="156" t="s">
        <v>4</v>
      </c>
      <c r="F54" s="155"/>
      <c r="G54" s="157" t="n">
        <v>130.16</v>
      </c>
      <c r="H54" s="155"/>
      <c r="I54" s="155"/>
      <c r="J54" s="155"/>
      <c r="K54" s="146"/>
    </row>
    <row r="55">
      <c r="A55" s="9" t="s">
        <v>224</v>
      </c>
      <c r="B55" s="10" t="s">
        <v>87</v>
      </c>
      <c r="C55" s="10" t="s">
        <v>3061</v>
      </c>
      <c r="D55" s="14" t="s">
        <v>3062</v>
      </c>
      <c r="E55" s="10"/>
      <c r="F55" s="10" t="s">
        <v>145</v>
      </c>
      <c r="G55" s="111">
        <f>'Stavební rozpočet'!G2000</f>
      </c>
      <c r="H55" s="111">
        <f>'Stavební rozpočet'!H2000</f>
      </c>
      <c r="I55" s="111">
        <f>G55*H55</f>
      </c>
      <c r="J55" s="153" t="s">
        <v>134</v>
      </c>
      <c r="K55" s="146"/>
      <c r="Z55" s="111">
        <f>IF(AQ55="5",BJ55,0)</f>
      </c>
      <c r="AB55" s="111">
        <f>IF(AQ55="1",BH55,0)</f>
      </c>
      <c r="AC55" s="111">
        <f>IF(AQ55="1",BI55,0)</f>
      </c>
      <c r="AD55" s="111">
        <f>IF(AQ55="7",BH55,0)</f>
      </c>
      <c r="AE55" s="111">
        <f>IF(AQ55="7",BI55,0)</f>
      </c>
      <c r="AF55" s="111">
        <f>IF(AQ55="2",BH55,0)</f>
      </c>
      <c r="AG55" s="111">
        <f>IF(AQ55="2",BI55,0)</f>
      </c>
      <c r="AH55" s="111">
        <f>IF(AQ55="0",BJ55,0)</f>
      </c>
      <c r="AI55" s="132" t="s">
        <v>87</v>
      </c>
      <c r="AJ55" s="111">
        <f>IF(AN55=0,I55,0)</f>
      </c>
      <c r="AK55" s="111">
        <f>IF(AN55=12,I55,0)</f>
      </c>
      <c r="AL55" s="111">
        <f>IF(AN55=21,I55,0)</f>
      </c>
      <c r="AN55" s="111" t="n">
        <v>21</v>
      </c>
      <c r="AO55" s="111">
        <f>H55*0.170256018</f>
      </c>
      <c r="AP55" s="111">
        <f>H55*(1-0.170256018)</f>
      </c>
      <c r="AQ55" s="153" t="s">
        <v>130</v>
      </c>
      <c r="AV55" s="111">
        <f>AW55+AX55</f>
      </c>
      <c r="AW55" s="111">
        <f>G55*AO55</f>
      </c>
      <c r="AX55" s="111">
        <f>G55*AP55</f>
      </c>
      <c r="AY55" s="153" t="s">
        <v>3043</v>
      </c>
      <c r="AZ55" s="153" t="s">
        <v>2989</v>
      </c>
      <c r="BA55" s="132" t="s">
        <v>2990</v>
      </c>
      <c r="BC55" s="111">
        <f>AW55+AX55</f>
      </c>
      <c r="BD55" s="111">
        <f>H55/(100-BE55)*100</f>
      </c>
      <c r="BE55" s="111" t="n">
        <v>0</v>
      </c>
      <c r="BF55" s="111">
        <f>55</f>
      </c>
      <c r="BH55" s="111">
        <f>G55*AO55</f>
      </c>
      <c r="BI55" s="111">
        <f>G55*AP55</f>
      </c>
      <c r="BJ55" s="111">
        <f>G55*H55</f>
      </c>
      <c r="BK55" s="111"/>
      <c r="BL55" s="111" t="n">
        <v>15</v>
      </c>
      <c r="BW55" s="111" t="n">
        <v>21</v>
      </c>
      <c r="BX55" s="14" t="s">
        <v>3062</v>
      </c>
    </row>
    <row r="56">
      <c r="A56" s="154"/>
      <c r="B56" s="155"/>
      <c r="C56" s="155"/>
      <c r="D56" s="156" t="s">
        <v>3063</v>
      </c>
      <c r="E56" s="156" t="s">
        <v>3015</v>
      </c>
      <c r="F56" s="155"/>
      <c r="G56" s="157" t="n">
        <v>14.848</v>
      </c>
      <c r="H56" s="155"/>
      <c r="I56" s="155"/>
      <c r="J56" s="155"/>
      <c r="K56" s="146"/>
    </row>
    <row r="57">
      <c r="A57" s="9" t="s">
        <v>202</v>
      </c>
      <c r="B57" s="10" t="s">
        <v>87</v>
      </c>
      <c r="C57" s="10" t="s">
        <v>3065</v>
      </c>
      <c r="D57" s="14" t="s">
        <v>3066</v>
      </c>
      <c r="E57" s="10"/>
      <c r="F57" s="10" t="s">
        <v>145</v>
      </c>
      <c r="G57" s="111">
        <f>'Stavební rozpočet'!G2002</f>
      </c>
      <c r="H57" s="111">
        <f>'Stavební rozpočet'!H2002</f>
      </c>
      <c r="I57" s="111">
        <f>G57*H57</f>
      </c>
      <c r="J57" s="153" t="s">
        <v>134</v>
      </c>
      <c r="K57" s="146"/>
      <c r="Z57" s="111">
        <f>IF(AQ57="5",BJ57,0)</f>
      </c>
      <c r="AB57" s="111">
        <f>IF(AQ57="1",BH57,0)</f>
      </c>
      <c r="AC57" s="111">
        <f>IF(AQ57="1",BI57,0)</f>
      </c>
      <c r="AD57" s="111">
        <f>IF(AQ57="7",BH57,0)</f>
      </c>
      <c r="AE57" s="111">
        <f>IF(AQ57="7",BI57,0)</f>
      </c>
      <c r="AF57" s="111">
        <f>IF(AQ57="2",BH57,0)</f>
      </c>
      <c r="AG57" s="111">
        <f>IF(AQ57="2",BI57,0)</f>
      </c>
      <c r="AH57" s="111">
        <f>IF(AQ57="0",BJ57,0)</f>
      </c>
      <c r="AI57" s="132" t="s">
        <v>87</v>
      </c>
      <c r="AJ57" s="111">
        <f>IF(AN57=0,I57,0)</f>
      </c>
      <c r="AK57" s="111">
        <f>IF(AN57=12,I57,0)</f>
      </c>
      <c r="AL57" s="111">
        <f>IF(AN57=21,I57,0)</f>
      </c>
      <c r="AN57" s="111" t="n">
        <v>21</v>
      </c>
      <c r="AO57" s="111">
        <f>H57*0</f>
      </c>
      <c r="AP57" s="111">
        <f>H57*(1-0)</f>
      </c>
      <c r="AQ57" s="153" t="s">
        <v>130</v>
      </c>
      <c r="AV57" s="111">
        <f>AW57+AX57</f>
      </c>
      <c r="AW57" s="111">
        <f>G57*AO57</f>
      </c>
      <c r="AX57" s="111">
        <f>G57*AP57</f>
      </c>
      <c r="AY57" s="153" t="s">
        <v>3043</v>
      </c>
      <c r="AZ57" s="153" t="s">
        <v>2989</v>
      </c>
      <c r="BA57" s="132" t="s">
        <v>2990</v>
      </c>
      <c r="BC57" s="111">
        <f>AW57+AX57</f>
      </c>
      <c r="BD57" s="111">
        <f>H57/(100-BE57)*100</f>
      </c>
      <c r="BE57" s="111" t="n">
        <v>0</v>
      </c>
      <c r="BF57" s="111">
        <f>57</f>
      </c>
      <c r="BH57" s="111">
        <f>G57*AO57</f>
      </c>
      <c r="BI57" s="111">
        <f>G57*AP57</f>
      </c>
      <c r="BJ57" s="111">
        <f>G57*H57</f>
      </c>
      <c r="BK57" s="111"/>
      <c r="BL57" s="111" t="n">
        <v>15</v>
      </c>
      <c r="BW57" s="111" t="n">
        <v>21</v>
      </c>
      <c r="BX57" s="14" t="s">
        <v>3066</v>
      </c>
    </row>
    <row r="58">
      <c r="A58" s="154"/>
      <c r="B58" s="155"/>
      <c r="C58" s="155"/>
      <c r="D58" s="156" t="s">
        <v>3067</v>
      </c>
      <c r="E58" s="156" t="s">
        <v>4</v>
      </c>
      <c r="F58" s="155"/>
      <c r="G58" s="157" t="n">
        <v>14.848</v>
      </c>
      <c r="H58" s="155"/>
      <c r="I58" s="155"/>
      <c r="J58" s="155"/>
      <c r="K58" s="146"/>
    </row>
    <row r="59">
      <c r="A59" s="9" t="s">
        <v>232</v>
      </c>
      <c r="B59" s="10" t="s">
        <v>87</v>
      </c>
      <c r="C59" s="10" t="s">
        <v>3069</v>
      </c>
      <c r="D59" s="14" t="s">
        <v>3070</v>
      </c>
      <c r="E59" s="10"/>
      <c r="F59" s="10" t="s">
        <v>159</v>
      </c>
      <c r="G59" s="111">
        <f>'Stavební rozpočet'!G2004</f>
      </c>
      <c r="H59" s="111">
        <f>'Stavební rozpočet'!H2004</f>
      </c>
      <c r="I59" s="111">
        <f>G59*H59</f>
      </c>
      <c r="J59" s="153" t="s">
        <v>134</v>
      </c>
      <c r="K59" s="146"/>
      <c r="Z59" s="111">
        <f>IF(AQ59="5",BJ59,0)</f>
      </c>
      <c r="AB59" s="111">
        <f>IF(AQ59="1",BH59,0)</f>
      </c>
      <c r="AC59" s="111">
        <f>IF(AQ59="1",BI59,0)</f>
      </c>
      <c r="AD59" s="111">
        <f>IF(AQ59="7",BH59,0)</f>
      </c>
      <c r="AE59" s="111">
        <f>IF(AQ59="7",BI59,0)</f>
      </c>
      <c r="AF59" s="111">
        <f>IF(AQ59="2",BH59,0)</f>
      </c>
      <c r="AG59" s="111">
        <f>IF(AQ59="2",BI59,0)</f>
      </c>
      <c r="AH59" s="111">
        <f>IF(AQ59="0",BJ59,0)</f>
      </c>
      <c r="AI59" s="132" t="s">
        <v>87</v>
      </c>
      <c r="AJ59" s="111">
        <f>IF(AN59=0,I59,0)</f>
      </c>
      <c r="AK59" s="111">
        <f>IF(AN59=12,I59,0)</f>
      </c>
      <c r="AL59" s="111">
        <f>IF(AN59=21,I59,0)</f>
      </c>
      <c r="AN59" s="111" t="n">
        <v>21</v>
      </c>
      <c r="AO59" s="111">
        <f>H59*0.038926369</f>
      </c>
      <c r="AP59" s="111">
        <f>H59*(1-0.038926369)</f>
      </c>
      <c r="AQ59" s="153" t="s">
        <v>130</v>
      </c>
      <c r="AV59" s="111">
        <f>AW59+AX59</f>
      </c>
      <c r="AW59" s="111">
        <f>G59*AO59</f>
      </c>
      <c r="AX59" s="111">
        <f>G59*AP59</f>
      </c>
      <c r="AY59" s="153" t="s">
        <v>3043</v>
      </c>
      <c r="AZ59" s="153" t="s">
        <v>2989</v>
      </c>
      <c r="BA59" s="132" t="s">
        <v>2990</v>
      </c>
      <c r="BC59" s="111">
        <f>AW59+AX59</f>
      </c>
      <c r="BD59" s="111">
        <f>H59/(100-BE59)*100</f>
      </c>
      <c r="BE59" s="111" t="n">
        <v>0</v>
      </c>
      <c r="BF59" s="111">
        <f>59</f>
      </c>
      <c r="BH59" s="111">
        <f>G59*AO59</f>
      </c>
      <c r="BI59" s="111">
        <f>G59*AP59</f>
      </c>
      <c r="BJ59" s="111">
        <f>G59*H59</f>
      </c>
      <c r="BK59" s="111"/>
      <c r="BL59" s="111" t="n">
        <v>15</v>
      </c>
      <c r="BW59" s="111" t="n">
        <v>21</v>
      </c>
      <c r="BX59" s="14" t="s">
        <v>3070</v>
      </c>
    </row>
    <row r="60">
      <c r="A60" s="154"/>
      <c r="B60" s="155"/>
      <c r="C60" s="155"/>
      <c r="D60" s="156" t="s">
        <v>3071</v>
      </c>
      <c r="E60" s="156" t="s">
        <v>4</v>
      </c>
      <c r="F60" s="155"/>
      <c r="G60" s="157" t="n">
        <v>10.752</v>
      </c>
      <c r="H60" s="155"/>
      <c r="I60" s="155"/>
      <c r="J60" s="155"/>
      <c r="K60" s="146"/>
    </row>
    <row r="61">
      <c r="A61" s="9" t="s">
        <v>235</v>
      </c>
      <c r="B61" s="10" t="s">
        <v>87</v>
      </c>
      <c r="C61" s="10" t="s">
        <v>3073</v>
      </c>
      <c r="D61" s="14" t="s">
        <v>3074</v>
      </c>
      <c r="E61" s="10"/>
      <c r="F61" s="10" t="s">
        <v>159</v>
      </c>
      <c r="G61" s="111">
        <f>'Stavební rozpočet'!G2006</f>
      </c>
      <c r="H61" s="111">
        <f>'Stavební rozpočet'!H2006</f>
      </c>
      <c r="I61" s="111">
        <f>G61*H61</f>
      </c>
      <c r="J61" s="153" t="s">
        <v>134</v>
      </c>
      <c r="K61" s="146"/>
      <c r="Z61" s="111">
        <f>IF(AQ61="5",BJ61,0)</f>
      </c>
      <c r="AB61" s="111">
        <f>IF(AQ61="1",BH61,0)</f>
      </c>
      <c r="AC61" s="111">
        <f>IF(AQ61="1",BI61,0)</f>
      </c>
      <c r="AD61" s="111">
        <f>IF(AQ61="7",BH61,0)</f>
      </c>
      <c r="AE61" s="111">
        <f>IF(AQ61="7",BI61,0)</f>
      </c>
      <c r="AF61" s="111">
        <f>IF(AQ61="2",BH61,0)</f>
      </c>
      <c r="AG61" s="111">
        <f>IF(AQ61="2",BI61,0)</f>
      </c>
      <c r="AH61" s="111">
        <f>IF(AQ61="0",BJ61,0)</f>
      </c>
      <c r="AI61" s="132" t="s">
        <v>87</v>
      </c>
      <c r="AJ61" s="111">
        <f>IF(AN61=0,I61,0)</f>
      </c>
      <c r="AK61" s="111">
        <f>IF(AN61=12,I61,0)</f>
      </c>
      <c r="AL61" s="111">
        <f>IF(AN61=21,I61,0)</f>
      </c>
      <c r="AN61" s="111" t="n">
        <v>21</v>
      </c>
      <c r="AO61" s="111">
        <f>H61*0</f>
      </c>
      <c r="AP61" s="111">
        <f>H61*(1-0)</f>
      </c>
      <c r="AQ61" s="153" t="s">
        <v>130</v>
      </c>
      <c r="AV61" s="111">
        <f>AW61+AX61</f>
      </c>
      <c r="AW61" s="111">
        <f>G61*AO61</f>
      </c>
      <c r="AX61" s="111">
        <f>G61*AP61</f>
      </c>
      <c r="AY61" s="153" t="s">
        <v>3043</v>
      </c>
      <c r="AZ61" s="153" t="s">
        <v>2989</v>
      </c>
      <c r="BA61" s="132" t="s">
        <v>2990</v>
      </c>
      <c r="BC61" s="111">
        <f>AW61+AX61</f>
      </c>
      <c r="BD61" s="111">
        <f>H61/(100-BE61)*100</f>
      </c>
      <c r="BE61" s="111" t="n">
        <v>0</v>
      </c>
      <c r="BF61" s="111">
        <f>61</f>
      </c>
      <c r="BH61" s="111">
        <f>G61*AO61</f>
      </c>
      <c r="BI61" s="111">
        <f>G61*AP61</f>
      </c>
      <c r="BJ61" s="111">
        <f>G61*H61</f>
      </c>
      <c r="BK61" s="111"/>
      <c r="BL61" s="111" t="n">
        <v>15</v>
      </c>
      <c r="BW61" s="111" t="n">
        <v>21</v>
      </c>
      <c r="BX61" s="14" t="s">
        <v>3074</v>
      </c>
    </row>
    <row r="62">
      <c r="A62" s="154"/>
      <c r="B62" s="155"/>
      <c r="C62" s="155"/>
      <c r="D62" s="156" t="s">
        <v>3071</v>
      </c>
      <c r="E62" s="156" t="s">
        <v>4</v>
      </c>
      <c r="F62" s="155"/>
      <c r="G62" s="157" t="n">
        <v>10.752</v>
      </c>
      <c r="H62" s="155"/>
      <c r="I62" s="155"/>
      <c r="J62" s="155"/>
      <c r="K62" s="146"/>
    </row>
    <row r="63">
      <c r="A63" s="9" t="s">
        <v>239</v>
      </c>
      <c r="B63" s="10" t="s">
        <v>87</v>
      </c>
      <c r="C63" s="10" t="s">
        <v>3076</v>
      </c>
      <c r="D63" s="14" t="s">
        <v>3077</v>
      </c>
      <c r="E63" s="10"/>
      <c r="F63" s="10" t="s">
        <v>145</v>
      </c>
      <c r="G63" s="111">
        <f>'Stavební rozpočet'!G2008</f>
      </c>
      <c r="H63" s="111">
        <f>'Stavební rozpočet'!H2008</f>
      </c>
      <c r="I63" s="111">
        <f>G63*H63</f>
      </c>
      <c r="J63" s="153" t="s">
        <v>134</v>
      </c>
      <c r="K63" s="146"/>
      <c r="Z63" s="111">
        <f>IF(AQ63="5",BJ63,0)</f>
      </c>
      <c r="AB63" s="111">
        <f>IF(AQ63="1",BH63,0)</f>
      </c>
      <c r="AC63" s="111">
        <f>IF(AQ63="1",BI63,0)</f>
      </c>
      <c r="AD63" s="111">
        <f>IF(AQ63="7",BH63,0)</f>
      </c>
      <c r="AE63" s="111">
        <f>IF(AQ63="7",BI63,0)</f>
      </c>
      <c r="AF63" s="111">
        <f>IF(AQ63="2",BH63,0)</f>
      </c>
      <c r="AG63" s="111">
        <f>IF(AQ63="2",BI63,0)</f>
      </c>
      <c r="AH63" s="111">
        <f>IF(AQ63="0",BJ63,0)</f>
      </c>
      <c r="AI63" s="132" t="s">
        <v>87</v>
      </c>
      <c r="AJ63" s="111">
        <f>IF(AN63=0,I63,0)</f>
      </c>
      <c r="AK63" s="111">
        <f>IF(AN63=12,I63,0)</f>
      </c>
      <c r="AL63" s="111">
        <f>IF(AN63=21,I63,0)</f>
      </c>
      <c r="AN63" s="111" t="n">
        <v>21</v>
      </c>
      <c r="AO63" s="111">
        <f>H63*0.030458691</f>
      </c>
      <c r="AP63" s="111">
        <f>H63*(1-0.030458691)</f>
      </c>
      <c r="AQ63" s="153" t="s">
        <v>130</v>
      </c>
      <c r="AV63" s="111">
        <f>AW63+AX63</f>
      </c>
      <c r="AW63" s="111">
        <f>G63*AO63</f>
      </c>
      <c r="AX63" s="111">
        <f>G63*AP63</f>
      </c>
      <c r="AY63" s="153" t="s">
        <v>3043</v>
      </c>
      <c r="AZ63" s="153" t="s">
        <v>2989</v>
      </c>
      <c r="BA63" s="132" t="s">
        <v>2990</v>
      </c>
      <c r="BC63" s="111">
        <f>AW63+AX63</f>
      </c>
      <c r="BD63" s="111">
        <f>H63/(100-BE63)*100</f>
      </c>
      <c r="BE63" s="111" t="n">
        <v>0</v>
      </c>
      <c r="BF63" s="111">
        <f>63</f>
      </c>
      <c r="BH63" s="111">
        <f>G63*AO63</f>
      </c>
      <c r="BI63" s="111">
        <f>G63*AP63</f>
      </c>
      <c r="BJ63" s="111">
        <f>G63*H63</f>
      </c>
      <c r="BK63" s="111"/>
      <c r="BL63" s="111" t="n">
        <v>15</v>
      </c>
      <c r="BW63" s="111" t="n">
        <v>21</v>
      </c>
      <c r="BX63" s="14" t="s">
        <v>3077</v>
      </c>
    </row>
    <row r="64">
      <c r="A64" s="154"/>
      <c r="B64" s="155"/>
      <c r="C64" s="155"/>
      <c r="D64" s="156" t="s">
        <v>3067</v>
      </c>
      <c r="E64" s="156" t="s">
        <v>4</v>
      </c>
      <c r="F64" s="155"/>
      <c r="G64" s="157" t="n">
        <v>14.848</v>
      </c>
      <c r="H64" s="155"/>
      <c r="I64" s="155"/>
      <c r="J64" s="155"/>
      <c r="K64" s="146"/>
    </row>
    <row r="65">
      <c r="A65" s="9" t="s">
        <v>255</v>
      </c>
      <c r="B65" s="10" t="s">
        <v>87</v>
      </c>
      <c r="C65" s="10" t="s">
        <v>3079</v>
      </c>
      <c r="D65" s="14" t="s">
        <v>3080</v>
      </c>
      <c r="E65" s="10"/>
      <c r="F65" s="10" t="s">
        <v>145</v>
      </c>
      <c r="G65" s="111">
        <f>'Stavební rozpočet'!G2010</f>
      </c>
      <c r="H65" s="111">
        <f>'Stavební rozpočet'!H2010</f>
      </c>
      <c r="I65" s="111">
        <f>G65*H65</f>
      </c>
      <c r="J65" s="153" t="s">
        <v>134</v>
      </c>
      <c r="K65" s="146"/>
      <c r="Z65" s="111">
        <f>IF(AQ65="5",BJ65,0)</f>
      </c>
      <c r="AB65" s="111">
        <f>IF(AQ65="1",BH65,0)</f>
      </c>
      <c r="AC65" s="111">
        <f>IF(AQ65="1",BI65,0)</f>
      </c>
      <c r="AD65" s="111">
        <f>IF(AQ65="7",BH65,0)</f>
      </c>
      <c r="AE65" s="111">
        <f>IF(AQ65="7",BI65,0)</f>
      </c>
      <c r="AF65" s="111">
        <f>IF(AQ65="2",BH65,0)</f>
      </c>
      <c r="AG65" s="111">
        <f>IF(AQ65="2",BI65,0)</f>
      </c>
      <c r="AH65" s="111">
        <f>IF(AQ65="0",BJ65,0)</f>
      </c>
      <c r="AI65" s="132" t="s">
        <v>87</v>
      </c>
      <c r="AJ65" s="111">
        <f>IF(AN65=0,I65,0)</f>
      </c>
      <c r="AK65" s="111">
        <f>IF(AN65=12,I65,0)</f>
      </c>
      <c r="AL65" s="111">
        <f>IF(AN65=21,I65,0)</f>
      </c>
      <c r="AN65" s="111" t="n">
        <v>21</v>
      </c>
      <c r="AO65" s="111">
        <f>H65*0</f>
      </c>
      <c r="AP65" s="111">
        <f>H65*(1-0)</f>
      </c>
      <c r="AQ65" s="153" t="s">
        <v>130</v>
      </c>
      <c r="AV65" s="111">
        <f>AW65+AX65</f>
      </c>
      <c r="AW65" s="111">
        <f>G65*AO65</f>
      </c>
      <c r="AX65" s="111">
        <f>G65*AP65</f>
      </c>
      <c r="AY65" s="153" t="s">
        <v>3043</v>
      </c>
      <c r="AZ65" s="153" t="s">
        <v>2989</v>
      </c>
      <c r="BA65" s="132" t="s">
        <v>2990</v>
      </c>
      <c r="BC65" s="111">
        <f>AW65+AX65</f>
      </c>
      <c r="BD65" s="111">
        <f>H65/(100-BE65)*100</f>
      </c>
      <c r="BE65" s="111" t="n">
        <v>0</v>
      </c>
      <c r="BF65" s="111">
        <f>65</f>
      </c>
      <c r="BH65" s="111">
        <f>G65*AO65</f>
      </c>
      <c r="BI65" s="111">
        <f>G65*AP65</f>
      </c>
      <c r="BJ65" s="111">
        <f>G65*H65</f>
      </c>
      <c r="BK65" s="111"/>
      <c r="BL65" s="111" t="n">
        <v>15</v>
      </c>
      <c r="BW65" s="111" t="n">
        <v>21</v>
      </c>
      <c r="BX65" s="14" t="s">
        <v>3080</v>
      </c>
    </row>
    <row r="66">
      <c r="A66" s="154"/>
      <c r="B66" s="155"/>
      <c r="C66" s="155"/>
      <c r="D66" s="156" t="s">
        <v>3067</v>
      </c>
      <c r="E66" s="156" t="s">
        <v>4</v>
      </c>
      <c r="F66" s="155"/>
      <c r="G66" s="157" t="n">
        <v>14.848</v>
      </c>
      <c r="H66" s="155"/>
      <c r="I66" s="155"/>
      <c r="J66" s="155"/>
      <c r="K66" s="146"/>
    </row>
    <row r="67">
      <c r="A67" s="9" t="s">
        <v>261</v>
      </c>
      <c r="B67" s="10" t="s">
        <v>87</v>
      </c>
      <c r="C67" s="10" t="s">
        <v>3082</v>
      </c>
      <c r="D67" s="14" t="s">
        <v>3083</v>
      </c>
      <c r="E67" s="10"/>
      <c r="F67" s="10" t="s">
        <v>145</v>
      </c>
      <c r="G67" s="111">
        <f>'Stavební rozpočet'!G2012</f>
      </c>
      <c r="H67" s="111">
        <f>'Stavební rozpočet'!H2012</f>
      </c>
      <c r="I67" s="111">
        <f>G67*H67</f>
      </c>
      <c r="J67" s="153" t="s">
        <v>134</v>
      </c>
      <c r="K67" s="146"/>
      <c r="Z67" s="111">
        <f>IF(AQ67="5",BJ67,0)</f>
      </c>
      <c r="AB67" s="111">
        <f>IF(AQ67="1",BH67,0)</f>
      </c>
      <c r="AC67" s="111">
        <f>IF(AQ67="1",BI67,0)</f>
      </c>
      <c r="AD67" s="111">
        <f>IF(AQ67="7",BH67,0)</f>
      </c>
      <c r="AE67" s="111">
        <f>IF(AQ67="7",BI67,0)</f>
      </c>
      <c r="AF67" s="111">
        <f>IF(AQ67="2",BH67,0)</f>
      </c>
      <c r="AG67" s="111">
        <f>IF(AQ67="2",BI67,0)</f>
      </c>
      <c r="AH67" s="111">
        <f>IF(AQ67="0",BJ67,0)</f>
      </c>
      <c r="AI67" s="132" t="s">
        <v>87</v>
      </c>
      <c r="AJ67" s="111">
        <f>IF(AN67=0,I67,0)</f>
      </c>
      <c r="AK67" s="111">
        <f>IF(AN67=12,I67,0)</f>
      </c>
      <c r="AL67" s="111">
        <f>IF(AN67=21,I67,0)</f>
      </c>
      <c r="AN67" s="111" t="n">
        <v>21</v>
      </c>
      <c r="AO67" s="111">
        <f>H67*0.176760563</f>
      </c>
      <c r="AP67" s="111">
        <f>H67*(1-0.176760563)</f>
      </c>
      <c r="AQ67" s="153" t="s">
        <v>130</v>
      </c>
      <c r="AV67" s="111">
        <f>AW67+AX67</f>
      </c>
      <c r="AW67" s="111">
        <f>G67*AO67</f>
      </c>
      <c r="AX67" s="111">
        <f>G67*AP67</f>
      </c>
      <c r="AY67" s="153" t="s">
        <v>3043</v>
      </c>
      <c r="AZ67" s="153" t="s">
        <v>2989</v>
      </c>
      <c r="BA67" s="132" t="s">
        <v>2990</v>
      </c>
      <c r="BC67" s="111">
        <f>AW67+AX67</f>
      </c>
      <c r="BD67" s="111">
        <f>H67/(100-BE67)*100</f>
      </c>
      <c r="BE67" s="111" t="n">
        <v>0</v>
      </c>
      <c r="BF67" s="111">
        <f>67</f>
      </c>
      <c r="BH67" s="111">
        <f>G67*AO67</f>
      </c>
      <c r="BI67" s="111">
        <f>G67*AP67</f>
      </c>
      <c r="BJ67" s="111">
        <f>G67*H67</f>
      </c>
      <c r="BK67" s="111"/>
      <c r="BL67" s="111" t="n">
        <v>15</v>
      </c>
      <c r="BW67" s="111" t="n">
        <v>21</v>
      </c>
      <c r="BX67" s="14" t="s">
        <v>3083</v>
      </c>
    </row>
    <row r="68">
      <c r="A68" s="154"/>
      <c r="B68" s="155"/>
      <c r="C68" s="155"/>
      <c r="D68" s="156" t="s">
        <v>3084</v>
      </c>
      <c r="E68" s="156" t="s">
        <v>3085</v>
      </c>
      <c r="F68" s="155"/>
      <c r="G68" s="157" t="n">
        <v>221.81</v>
      </c>
      <c r="H68" s="155"/>
      <c r="I68" s="155"/>
      <c r="J68" s="155"/>
      <c r="K68" s="146"/>
    </row>
    <row r="69">
      <c r="A69" s="9" t="s">
        <v>266</v>
      </c>
      <c r="B69" s="10" t="s">
        <v>87</v>
      </c>
      <c r="C69" s="10" t="s">
        <v>3087</v>
      </c>
      <c r="D69" s="14" t="s">
        <v>3088</v>
      </c>
      <c r="E69" s="10"/>
      <c r="F69" s="10" t="s">
        <v>145</v>
      </c>
      <c r="G69" s="111">
        <f>'Stavební rozpočet'!G2014</f>
      </c>
      <c r="H69" s="111">
        <f>'Stavební rozpočet'!H2014</f>
      </c>
      <c r="I69" s="111">
        <f>G69*H69</f>
      </c>
      <c r="J69" s="153" t="s">
        <v>134</v>
      </c>
      <c r="K69" s="146"/>
      <c r="Z69" s="111">
        <f>IF(AQ69="5",BJ69,0)</f>
      </c>
      <c r="AB69" s="111">
        <f>IF(AQ69="1",BH69,0)</f>
      </c>
      <c r="AC69" s="111">
        <f>IF(AQ69="1",BI69,0)</f>
      </c>
      <c r="AD69" s="111">
        <f>IF(AQ69="7",BH69,0)</f>
      </c>
      <c r="AE69" s="111">
        <f>IF(AQ69="7",BI69,0)</f>
      </c>
      <c r="AF69" s="111">
        <f>IF(AQ69="2",BH69,0)</f>
      </c>
      <c r="AG69" s="111">
        <f>IF(AQ69="2",BI69,0)</f>
      </c>
      <c r="AH69" s="111">
        <f>IF(AQ69="0",BJ69,0)</f>
      </c>
      <c r="AI69" s="132" t="s">
        <v>87</v>
      </c>
      <c r="AJ69" s="111">
        <f>IF(AN69=0,I69,0)</f>
      </c>
      <c r="AK69" s="111">
        <f>IF(AN69=12,I69,0)</f>
      </c>
      <c r="AL69" s="111">
        <f>IF(AN69=21,I69,0)</f>
      </c>
      <c r="AN69" s="111" t="n">
        <v>21</v>
      </c>
      <c r="AO69" s="111">
        <f>H69*0</f>
      </c>
      <c r="AP69" s="111">
        <f>H69*(1-0)</f>
      </c>
      <c r="AQ69" s="153" t="s">
        <v>130</v>
      </c>
      <c r="AV69" s="111">
        <f>AW69+AX69</f>
      </c>
      <c r="AW69" s="111">
        <f>G69*AO69</f>
      </c>
      <c r="AX69" s="111">
        <f>G69*AP69</f>
      </c>
      <c r="AY69" s="153" t="s">
        <v>3043</v>
      </c>
      <c r="AZ69" s="153" t="s">
        <v>2989</v>
      </c>
      <c r="BA69" s="132" t="s">
        <v>2990</v>
      </c>
      <c r="BC69" s="111">
        <f>AW69+AX69</f>
      </c>
      <c r="BD69" s="111">
        <f>H69/(100-BE69)*100</f>
      </c>
      <c r="BE69" s="111" t="n">
        <v>0</v>
      </c>
      <c r="BF69" s="111">
        <f>69</f>
      </c>
      <c r="BH69" s="111">
        <f>G69*AO69</f>
      </c>
      <c r="BI69" s="111">
        <f>G69*AP69</f>
      </c>
      <c r="BJ69" s="111">
        <f>G69*H69</f>
      </c>
      <c r="BK69" s="111"/>
      <c r="BL69" s="111" t="n">
        <v>15</v>
      </c>
      <c r="BW69" s="111" t="n">
        <v>21</v>
      </c>
      <c r="BX69" s="14" t="s">
        <v>3088</v>
      </c>
    </row>
    <row r="70">
      <c r="A70" s="154"/>
      <c r="B70" s="155"/>
      <c r="C70" s="155"/>
      <c r="D70" s="156" t="s">
        <v>3089</v>
      </c>
      <c r="E70" s="156" t="s">
        <v>4</v>
      </c>
      <c r="F70" s="155"/>
      <c r="G70" s="157" t="n">
        <v>221.81</v>
      </c>
      <c r="H70" s="155"/>
      <c r="I70" s="155"/>
      <c r="J70" s="155"/>
      <c r="K70" s="146"/>
    </row>
    <row r="71">
      <c r="A71" s="9" t="s">
        <v>274</v>
      </c>
      <c r="B71" s="10" t="s">
        <v>87</v>
      </c>
      <c r="C71" s="10" t="s">
        <v>3091</v>
      </c>
      <c r="D71" s="14" t="s">
        <v>3092</v>
      </c>
      <c r="E71" s="10"/>
      <c r="F71" s="10" t="s">
        <v>159</v>
      </c>
      <c r="G71" s="111">
        <f>'Stavební rozpočet'!G2016</f>
      </c>
      <c r="H71" s="111">
        <f>'Stavební rozpočet'!H2016</f>
      </c>
      <c r="I71" s="111">
        <f>G71*H71</f>
      </c>
      <c r="J71" s="153" t="s">
        <v>134</v>
      </c>
      <c r="K71" s="146"/>
      <c r="Z71" s="111">
        <f>IF(AQ71="5",BJ71,0)</f>
      </c>
      <c r="AB71" s="111">
        <f>IF(AQ71="1",BH71,0)</f>
      </c>
      <c r="AC71" s="111">
        <f>IF(AQ71="1",BI71,0)</f>
      </c>
      <c r="AD71" s="111">
        <f>IF(AQ71="7",BH71,0)</f>
      </c>
      <c r="AE71" s="111">
        <f>IF(AQ71="7",BI71,0)</f>
      </c>
      <c r="AF71" s="111">
        <f>IF(AQ71="2",BH71,0)</f>
      </c>
      <c r="AG71" s="111">
        <f>IF(AQ71="2",BI71,0)</f>
      </c>
      <c r="AH71" s="111">
        <f>IF(AQ71="0",BJ71,0)</f>
      </c>
      <c r="AI71" s="132" t="s">
        <v>87</v>
      </c>
      <c r="AJ71" s="111">
        <f>IF(AN71=0,I71,0)</f>
      </c>
      <c r="AK71" s="111">
        <f>IF(AN71=12,I71,0)</f>
      </c>
      <c r="AL71" s="111">
        <f>IF(AN71=21,I71,0)</f>
      </c>
      <c r="AN71" s="111" t="n">
        <v>21</v>
      </c>
      <c r="AO71" s="111">
        <f>H71*0.071714253</f>
      </c>
      <c r="AP71" s="111">
        <f>H71*(1-0.071714253)</f>
      </c>
      <c r="AQ71" s="153" t="s">
        <v>130</v>
      </c>
      <c r="AV71" s="111">
        <f>AW71+AX71</f>
      </c>
      <c r="AW71" s="111">
        <f>G71*AO71</f>
      </c>
      <c r="AX71" s="111">
        <f>G71*AP71</f>
      </c>
      <c r="AY71" s="153" t="s">
        <v>3043</v>
      </c>
      <c r="AZ71" s="153" t="s">
        <v>2989</v>
      </c>
      <c r="BA71" s="132" t="s">
        <v>2990</v>
      </c>
      <c r="BC71" s="111">
        <f>AW71+AX71</f>
      </c>
      <c r="BD71" s="111">
        <f>H71/(100-BE71)*100</f>
      </c>
      <c r="BE71" s="111" t="n">
        <v>0</v>
      </c>
      <c r="BF71" s="111">
        <f>71</f>
      </c>
      <c r="BH71" s="111">
        <f>G71*AO71</f>
      </c>
      <c r="BI71" s="111">
        <f>G71*AP71</f>
      </c>
      <c r="BJ71" s="111">
        <f>G71*H71</f>
      </c>
      <c r="BK71" s="111"/>
      <c r="BL71" s="111" t="n">
        <v>15</v>
      </c>
      <c r="BW71" s="111" t="n">
        <v>21</v>
      </c>
      <c r="BX71" s="14" t="s">
        <v>3092</v>
      </c>
    </row>
    <row r="72">
      <c r="A72" s="154"/>
      <c r="B72" s="155"/>
      <c r="C72" s="155"/>
      <c r="D72" s="156" t="s">
        <v>3093</v>
      </c>
      <c r="E72" s="156" t="s">
        <v>4</v>
      </c>
      <c r="F72" s="155"/>
      <c r="G72" s="157" t="n">
        <v>559.01</v>
      </c>
      <c r="H72" s="155"/>
      <c r="I72" s="155"/>
      <c r="J72" s="155"/>
      <c r="K72" s="146"/>
    </row>
    <row r="73">
      <c r="A73" s="9" t="s">
        <v>279</v>
      </c>
      <c r="B73" s="10" t="s">
        <v>87</v>
      </c>
      <c r="C73" s="10" t="s">
        <v>3095</v>
      </c>
      <c r="D73" s="14" t="s">
        <v>3096</v>
      </c>
      <c r="E73" s="10"/>
      <c r="F73" s="10" t="s">
        <v>159</v>
      </c>
      <c r="G73" s="111">
        <f>'Stavební rozpočet'!G2018</f>
      </c>
      <c r="H73" s="111">
        <f>'Stavební rozpočet'!H2018</f>
      </c>
      <c r="I73" s="111">
        <f>G73*H73</f>
      </c>
      <c r="J73" s="153" t="s">
        <v>134</v>
      </c>
      <c r="K73" s="146"/>
      <c r="Z73" s="111">
        <f>IF(AQ73="5",BJ73,0)</f>
      </c>
      <c r="AB73" s="111">
        <f>IF(AQ73="1",BH73,0)</f>
      </c>
      <c r="AC73" s="111">
        <f>IF(AQ73="1",BI73,0)</f>
      </c>
      <c r="AD73" s="111">
        <f>IF(AQ73="7",BH73,0)</f>
      </c>
      <c r="AE73" s="111">
        <f>IF(AQ73="7",BI73,0)</f>
      </c>
      <c r="AF73" s="111">
        <f>IF(AQ73="2",BH73,0)</f>
      </c>
      <c r="AG73" s="111">
        <f>IF(AQ73="2",BI73,0)</f>
      </c>
      <c r="AH73" s="111">
        <f>IF(AQ73="0",BJ73,0)</f>
      </c>
      <c r="AI73" s="132" t="s">
        <v>87</v>
      </c>
      <c r="AJ73" s="111">
        <f>IF(AN73=0,I73,0)</f>
      </c>
      <c r="AK73" s="111">
        <f>IF(AN73=12,I73,0)</f>
      </c>
      <c r="AL73" s="111">
        <f>IF(AN73=21,I73,0)</f>
      </c>
      <c r="AN73" s="111" t="n">
        <v>21</v>
      </c>
      <c r="AO73" s="111">
        <f>H73*0</f>
      </c>
      <c r="AP73" s="111">
        <f>H73*(1-0)</f>
      </c>
      <c r="AQ73" s="153" t="s">
        <v>130</v>
      </c>
      <c r="AV73" s="111">
        <f>AW73+AX73</f>
      </c>
      <c r="AW73" s="111">
        <f>G73*AO73</f>
      </c>
      <c r="AX73" s="111">
        <f>G73*AP73</f>
      </c>
      <c r="AY73" s="153" t="s">
        <v>3043</v>
      </c>
      <c r="AZ73" s="153" t="s">
        <v>2989</v>
      </c>
      <c r="BA73" s="132" t="s">
        <v>2990</v>
      </c>
      <c r="BC73" s="111">
        <f>AW73+AX73</f>
      </c>
      <c r="BD73" s="111">
        <f>H73/(100-BE73)*100</f>
      </c>
      <c r="BE73" s="111" t="n">
        <v>0</v>
      </c>
      <c r="BF73" s="111">
        <f>73</f>
      </c>
      <c r="BH73" s="111">
        <f>G73*AO73</f>
      </c>
      <c r="BI73" s="111">
        <f>G73*AP73</f>
      </c>
      <c r="BJ73" s="111">
        <f>G73*H73</f>
      </c>
      <c r="BK73" s="111"/>
      <c r="BL73" s="111" t="n">
        <v>15</v>
      </c>
      <c r="BW73" s="111" t="n">
        <v>21</v>
      </c>
      <c r="BX73" s="14" t="s">
        <v>3096</v>
      </c>
    </row>
    <row r="74">
      <c r="A74" s="154"/>
      <c r="B74" s="155"/>
      <c r="C74" s="155"/>
      <c r="D74" s="156" t="s">
        <v>3093</v>
      </c>
      <c r="E74" s="156" t="s">
        <v>4</v>
      </c>
      <c r="F74" s="155"/>
      <c r="G74" s="157" t="n">
        <v>559.01</v>
      </c>
      <c r="H74" s="155"/>
      <c r="I74" s="155"/>
      <c r="J74" s="155"/>
      <c r="K74" s="146"/>
    </row>
    <row r="75">
      <c r="A75" s="9" t="s">
        <v>290</v>
      </c>
      <c r="B75" s="10" t="s">
        <v>87</v>
      </c>
      <c r="C75" s="10" t="s">
        <v>3098</v>
      </c>
      <c r="D75" s="14" t="s">
        <v>3099</v>
      </c>
      <c r="E75" s="10"/>
      <c r="F75" s="10" t="s">
        <v>145</v>
      </c>
      <c r="G75" s="111">
        <f>'Stavební rozpočet'!G2020</f>
      </c>
      <c r="H75" s="111">
        <f>'Stavební rozpočet'!H2020</f>
      </c>
      <c r="I75" s="111">
        <f>G75*H75</f>
      </c>
      <c r="J75" s="153" t="s">
        <v>134</v>
      </c>
      <c r="K75" s="146"/>
      <c r="Z75" s="111">
        <f>IF(AQ75="5",BJ75,0)</f>
      </c>
      <c r="AB75" s="111">
        <f>IF(AQ75="1",BH75,0)</f>
      </c>
      <c r="AC75" s="111">
        <f>IF(AQ75="1",BI75,0)</f>
      </c>
      <c r="AD75" s="111">
        <f>IF(AQ75="7",BH75,0)</f>
      </c>
      <c r="AE75" s="111">
        <f>IF(AQ75="7",BI75,0)</f>
      </c>
      <c r="AF75" s="111">
        <f>IF(AQ75="2",BH75,0)</f>
      </c>
      <c r="AG75" s="111">
        <f>IF(AQ75="2",BI75,0)</f>
      </c>
      <c r="AH75" s="111">
        <f>IF(AQ75="0",BJ75,0)</f>
      </c>
      <c r="AI75" s="132" t="s">
        <v>87</v>
      </c>
      <c r="AJ75" s="111">
        <f>IF(AN75=0,I75,0)</f>
      </c>
      <c r="AK75" s="111">
        <f>IF(AN75=12,I75,0)</f>
      </c>
      <c r="AL75" s="111">
        <f>IF(AN75=21,I75,0)</f>
      </c>
      <c r="AN75" s="111" t="n">
        <v>21</v>
      </c>
      <c r="AO75" s="111">
        <f>H75*0.043250825</f>
      </c>
      <c r="AP75" s="111">
        <f>H75*(1-0.043250825)</f>
      </c>
      <c r="AQ75" s="153" t="s">
        <v>130</v>
      </c>
      <c r="AV75" s="111">
        <f>AW75+AX75</f>
      </c>
      <c r="AW75" s="111">
        <f>G75*AO75</f>
      </c>
      <c r="AX75" s="111">
        <f>G75*AP75</f>
      </c>
      <c r="AY75" s="153" t="s">
        <v>3043</v>
      </c>
      <c r="AZ75" s="153" t="s">
        <v>2989</v>
      </c>
      <c r="BA75" s="132" t="s">
        <v>2990</v>
      </c>
      <c r="BC75" s="111">
        <f>AW75+AX75</f>
      </c>
      <c r="BD75" s="111">
        <f>H75/(100-BE75)*100</f>
      </c>
      <c r="BE75" s="111" t="n">
        <v>0</v>
      </c>
      <c r="BF75" s="111">
        <f>75</f>
      </c>
      <c r="BH75" s="111">
        <f>G75*AO75</f>
      </c>
      <c r="BI75" s="111">
        <f>G75*AP75</f>
      </c>
      <c r="BJ75" s="111">
        <f>G75*H75</f>
      </c>
      <c r="BK75" s="111"/>
      <c r="BL75" s="111" t="n">
        <v>15</v>
      </c>
      <c r="BW75" s="111" t="n">
        <v>21</v>
      </c>
      <c r="BX75" s="14" t="s">
        <v>3099</v>
      </c>
    </row>
    <row r="76">
      <c r="A76" s="154"/>
      <c r="B76" s="155"/>
      <c r="C76" s="155"/>
      <c r="D76" s="156" t="s">
        <v>3089</v>
      </c>
      <c r="E76" s="156" t="s">
        <v>4</v>
      </c>
      <c r="F76" s="155"/>
      <c r="G76" s="157" t="n">
        <v>221.81</v>
      </c>
      <c r="H76" s="155"/>
      <c r="I76" s="155"/>
      <c r="J76" s="155"/>
      <c r="K76" s="146"/>
    </row>
    <row r="77">
      <c r="A77" s="9" t="s">
        <v>310</v>
      </c>
      <c r="B77" s="10" t="s">
        <v>87</v>
      </c>
      <c r="C77" s="10" t="s">
        <v>3101</v>
      </c>
      <c r="D77" s="14" t="s">
        <v>3102</v>
      </c>
      <c r="E77" s="10"/>
      <c r="F77" s="10" t="s">
        <v>145</v>
      </c>
      <c r="G77" s="111">
        <f>'Stavební rozpočet'!G2022</f>
      </c>
      <c r="H77" s="111">
        <f>'Stavební rozpočet'!H2022</f>
      </c>
      <c r="I77" s="111">
        <f>G77*H77</f>
      </c>
      <c r="J77" s="153" t="s">
        <v>134</v>
      </c>
      <c r="K77" s="146"/>
      <c r="Z77" s="111">
        <f>IF(AQ77="5",BJ77,0)</f>
      </c>
      <c r="AB77" s="111">
        <f>IF(AQ77="1",BH77,0)</f>
      </c>
      <c r="AC77" s="111">
        <f>IF(AQ77="1",BI77,0)</f>
      </c>
      <c r="AD77" s="111">
        <f>IF(AQ77="7",BH77,0)</f>
      </c>
      <c r="AE77" s="111">
        <f>IF(AQ77="7",BI77,0)</f>
      </c>
      <c r="AF77" s="111">
        <f>IF(AQ77="2",BH77,0)</f>
      </c>
      <c r="AG77" s="111">
        <f>IF(AQ77="2",BI77,0)</f>
      </c>
      <c r="AH77" s="111">
        <f>IF(AQ77="0",BJ77,0)</f>
      </c>
      <c r="AI77" s="132" t="s">
        <v>87</v>
      </c>
      <c r="AJ77" s="111">
        <f>IF(AN77=0,I77,0)</f>
      </c>
      <c r="AK77" s="111">
        <f>IF(AN77=12,I77,0)</f>
      </c>
      <c r="AL77" s="111">
        <f>IF(AN77=21,I77,0)</f>
      </c>
      <c r="AN77" s="111" t="n">
        <v>21</v>
      </c>
      <c r="AO77" s="111">
        <f>H77*0</f>
      </c>
      <c r="AP77" s="111">
        <f>H77*(1-0)</f>
      </c>
      <c r="AQ77" s="153" t="s">
        <v>130</v>
      </c>
      <c r="AV77" s="111">
        <f>AW77+AX77</f>
      </c>
      <c r="AW77" s="111">
        <f>G77*AO77</f>
      </c>
      <c r="AX77" s="111">
        <f>G77*AP77</f>
      </c>
      <c r="AY77" s="153" t="s">
        <v>3043</v>
      </c>
      <c r="AZ77" s="153" t="s">
        <v>2989</v>
      </c>
      <c r="BA77" s="132" t="s">
        <v>2990</v>
      </c>
      <c r="BC77" s="111">
        <f>AW77+AX77</f>
      </c>
      <c r="BD77" s="111">
        <f>H77/(100-BE77)*100</f>
      </c>
      <c r="BE77" s="111" t="n">
        <v>0</v>
      </c>
      <c r="BF77" s="111">
        <f>77</f>
      </c>
      <c r="BH77" s="111">
        <f>G77*AO77</f>
      </c>
      <c r="BI77" s="111">
        <f>G77*AP77</f>
      </c>
      <c r="BJ77" s="111">
        <f>G77*H77</f>
      </c>
      <c r="BK77" s="111"/>
      <c r="BL77" s="111" t="n">
        <v>15</v>
      </c>
      <c r="BW77" s="111" t="n">
        <v>21</v>
      </c>
      <c r="BX77" s="14" t="s">
        <v>3102</v>
      </c>
    </row>
    <row r="78">
      <c r="A78" s="154"/>
      <c r="B78" s="155"/>
      <c r="C78" s="155"/>
      <c r="D78" s="156" t="s">
        <v>3089</v>
      </c>
      <c r="E78" s="156" t="s">
        <v>4</v>
      </c>
      <c r="F78" s="155"/>
      <c r="G78" s="157" t="n">
        <v>221.81</v>
      </c>
      <c r="H78" s="155"/>
      <c r="I78" s="155"/>
      <c r="J78" s="155"/>
      <c r="K78" s="146"/>
    </row>
    <row r="79">
      <c r="A79" s="147" t="s">
        <v>4</v>
      </c>
      <c r="B79" s="148" t="s">
        <v>87</v>
      </c>
      <c r="C79" s="148" t="s">
        <v>202</v>
      </c>
      <c r="D79" s="149" t="s">
        <v>203</v>
      </c>
      <c r="E79" s="148"/>
      <c r="F79" s="150" t="s">
        <v>79</v>
      </c>
      <c r="G79" s="150" t="s">
        <v>79</v>
      </c>
      <c r="H79" s="150" t="s">
        <v>79</v>
      </c>
      <c r="I79" s="117">
        <f>SUM(I80:I84)</f>
      </c>
      <c r="J79" s="132" t="s">
        <v>4</v>
      </c>
      <c r="K79" s="146"/>
      <c r="AI79" s="132" t="s">
        <v>87</v>
      </c>
      <c r="AS79" s="117">
        <f>SUM(AJ80:AJ84)</f>
      </c>
      <c r="AT79" s="117">
        <f>SUM(AK80:AK84)</f>
      </c>
      <c r="AU79" s="117">
        <f>SUM(AL80:AL84)</f>
      </c>
    </row>
    <row r="80">
      <c r="A80" s="9" t="s">
        <v>288</v>
      </c>
      <c r="B80" s="10" t="s">
        <v>87</v>
      </c>
      <c r="C80" s="10" t="s">
        <v>3104</v>
      </c>
      <c r="D80" s="14" t="s">
        <v>3105</v>
      </c>
      <c r="E80" s="10"/>
      <c r="F80" s="10" t="s">
        <v>159</v>
      </c>
      <c r="G80" s="111">
        <f>'Stavební rozpočet'!G2025</f>
      </c>
      <c r="H80" s="111">
        <f>'Stavební rozpočet'!H2025</f>
      </c>
      <c r="I80" s="111">
        <f>G80*H80</f>
      </c>
      <c r="J80" s="153" t="s">
        <v>134</v>
      </c>
      <c r="K80" s="146"/>
      <c r="Z80" s="111">
        <f>IF(AQ80="5",BJ80,0)</f>
      </c>
      <c r="AB80" s="111">
        <f>IF(AQ80="1",BH80,0)</f>
      </c>
      <c r="AC80" s="111">
        <f>IF(AQ80="1",BI80,0)</f>
      </c>
      <c r="AD80" s="111">
        <f>IF(AQ80="7",BH80,0)</f>
      </c>
      <c r="AE80" s="111">
        <f>IF(AQ80="7",BI80,0)</f>
      </c>
      <c r="AF80" s="111">
        <f>IF(AQ80="2",BH80,0)</f>
      </c>
      <c r="AG80" s="111">
        <f>IF(AQ80="2",BI80,0)</f>
      </c>
      <c r="AH80" s="111">
        <f>IF(AQ80="0",BJ80,0)</f>
      </c>
      <c r="AI80" s="132" t="s">
        <v>87</v>
      </c>
      <c r="AJ80" s="111">
        <f>IF(AN80=0,I80,0)</f>
      </c>
      <c r="AK80" s="111">
        <f>IF(AN80=12,I80,0)</f>
      </c>
      <c r="AL80" s="111">
        <f>IF(AN80=21,I80,0)</f>
      </c>
      <c r="AN80" s="111" t="n">
        <v>21</v>
      </c>
      <c r="AO80" s="111">
        <f>H80*0</f>
      </c>
      <c r="AP80" s="111">
        <f>H80*(1-0)</f>
      </c>
      <c r="AQ80" s="153" t="s">
        <v>130</v>
      </c>
      <c r="AV80" s="111">
        <f>AW80+AX80</f>
      </c>
      <c r="AW80" s="111">
        <f>G80*AO80</f>
      </c>
      <c r="AX80" s="111">
        <f>G80*AP80</f>
      </c>
      <c r="AY80" s="153" t="s">
        <v>206</v>
      </c>
      <c r="AZ80" s="153" t="s">
        <v>2989</v>
      </c>
      <c r="BA80" s="132" t="s">
        <v>2990</v>
      </c>
      <c r="BC80" s="111">
        <f>AW80+AX80</f>
      </c>
      <c r="BD80" s="111">
        <f>H80/(100-BE80)*100</f>
      </c>
      <c r="BE80" s="111" t="n">
        <v>0</v>
      </c>
      <c r="BF80" s="111">
        <f>80</f>
      </c>
      <c r="BH80" s="111">
        <f>G80*AO80</f>
      </c>
      <c r="BI80" s="111">
        <f>G80*AP80</f>
      </c>
      <c r="BJ80" s="111">
        <f>G80*H80</f>
      </c>
      <c r="BK80" s="111"/>
      <c r="BL80" s="111" t="n">
        <v>16</v>
      </c>
      <c r="BW80" s="111" t="n">
        <v>21</v>
      </c>
      <c r="BX80" s="14" t="s">
        <v>3105</v>
      </c>
    </row>
    <row r="81">
      <c r="A81" s="154"/>
      <c r="B81" s="155"/>
      <c r="C81" s="155"/>
      <c r="D81" s="156" t="s">
        <v>3071</v>
      </c>
      <c r="E81" s="156" t="s">
        <v>3015</v>
      </c>
      <c r="F81" s="155"/>
      <c r="G81" s="157" t="n">
        <v>10.752</v>
      </c>
      <c r="H81" s="155"/>
      <c r="I81" s="155"/>
      <c r="J81" s="155"/>
      <c r="K81" s="146"/>
    </row>
    <row r="82">
      <c r="A82" s="154"/>
      <c r="B82" s="155"/>
      <c r="C82" s="155"/>
      <c r="D82" s="156" t="s">
        <v>3106</v>
      </c>
      <c r="E82" s="156" t="s">
        <v>3032</v>
      </c>
      <c r="F82" s="155"/>
      <c r="G82" s="157" t="n">
        <v>52.8</v>
      </c>
      <c r="H82" s="155"/>
      <c r="I82" s="155"/>
      <c r="J82" s="155"/>
      <c r="K82" s="146"/>
    </row>
    <row r="83">
      <c r="A83" s="154"/>
      <c r="B83" s="155"/>
      <c r="C83" s="155"/>
      <c r="D83" s="156" t="s">
        <v>3107</v>
      </c>
      <c r="E83" s="156" t="s">
        <v>3108</v>
      </c>
      <c r="F83" s="155"/>
      <c r="G83" s="157" t="n">
        <v>172.31</v>
      </c>
      <c r="H83" s="155"/>
      <c r="I83" s="155"/>
      <c r="J83" s="155"/>
      <c r="K83" s="146"/>
    </row>
    <row r="84">
      <c r="A84" s="9" t="s">
        <v>330</v>
      </c>
      <c r="B84" s="10" t="s">
        <v>87</v>
      </c>
      <c r="C84" s="10" t="s">
        <v>225</v>
      </c>
      <c r="D84" s="14" t="s">
        <v>226</v>
      </c>
      <c r="E84" s="10"/>
      <c r="F84" s="10" t="s">
        <v>159</v>
      </c>
      <c r="G84" s="111">
        <f>'Stavební rozpočet'!G2029</f>
      </c>
      <c r="H84" s="111">
        <f>'Stavební rozpočet'!H2029</f>
      </c>
      <c r="I84" s="111">
        <f>G84*H84</f>
      </c>
      <c r="J84" s="153" t="s">
        <v>134</v>
      </c>
      <c r="K84" s="146"/>
      <c r="Z84" s="111">
        <f>IF(AQ84="5",BJ84,0)</f>
      </c>
      <c r="AB84" s="111">
        <f>IF(AQ84="1",BH84,0)</f>
      </c>
      <c r="AC84" s="111">
        <f>IF(AQ84="1",BI84,0)</f>
      </c>
      <c r="AD84" s="111">
        <f>IF(AQ84="7",BH84,0)</f>
      </c>
      <c r="AE84" s="111">
        <f>IF(AQ84="7",BI84,0)</f>
      </c>
      <c r="AF84" s="111">
        <f>IF(AQ84="2",BH84,0)</f>
      </c>
      <c r="AG84" s="111">
        <f>IF(AQ84="2",BI84,0)</f>
      </c>
      <c r="AH84" s="111">
        <f>IF(AQ84="0",BJ84,0)</f>
      </c>
      <c r="AI84" s="132" t="s">
        <v>87</v>
      </c>
      <c r="AJ84" s="111">
        <f>IF(AN84=0,I84,0)</f>
      </c>
      <c r="AK84" s="111">
        <f>IF(AN84=12,I84,0)</f>
      </c>
      <c r="AL84" s="111">
        <f>IF(AN84=21,I84,0)</f>
      </c>
      <c r="AN84" s="111" t="n">
        <v>21</v>
      </c>
      <c r="AO84" s="111">
        <f>H84*0</f>
      </c>
      <c r="AP84" s="111">
        <f>H84*(1-0)</f>
      </c>
      <c r="AQ84" s="153" t="s">
        <v>130</v>
      </c>
      <c r="AV84" s="111">
        <f>AW84+AX84</f>
      </c>
      <c r="AW84" s="111">
        <f>G84*AO84</f>
      </c>
      <c r="AX84" s="111">
        <f>G84*AP84</f>
      </c>
      <c r="AY84" s="153" t="s">
        <v>206</v>
      </c>
      <c r="AZ84" s="153" t="s">
        <v>2989</v>
      </c>
      <c r="BA84" s="132" t="s">
        <v>2990</v>
      </c>
      <c r="BC84" s="111">
        <f>AW84+AX84</f>
      </c>
      <c r="BD84" s="111">
        <f>H84/(100-BE84)*100</f>
      </c>
      <c r="BE84" s="111" t="n">
        <v>0</v>
      </c>
      <c r="BF84" s="111">
        <f>84</f>
      </c>
      <c r="BH84" s="111">
        <f>G84*AO84</f>
      </c>
      <c r="BI84" s="111">
        <f>G84*AP84</f>
      </c>
      <c r="BJ84" s="111">
        <f>G84*H84</f>
      </c>
      <c r="BK84" s="111"/>
      <c r="BL84" s="111" t="n">
        <v>16</v>
      </c>
      <c r="BW84" s="111" t="n">
        <v>21</v>
      </c>
      <c r="BX84" s="14" t="s">
        <v>226</v>
      </c>
    </row>
    <row r="85">
      <c r="A85" s="154"/>
      <c r="B85" s="155"/>
      <c r="C85" s="155"/>
      <c r="D85" s="156" t="s">
        <v>3106</v>
      </c>
      <c r="E85" s="156" t="s">
        <v>3032</v>
      </c>
      <c r="F85" s="155"/>
      <c r="G85" s="157" t="n">
        <v>52.8</v>
      </c>
      <c r="H85" s="155"/>
      <c r="I85" s="155"/>
      <c r="J85" s="155"/>
      <c r="K85" s="146"/>
    </row>
    <row r="86">
      <c r="A86" s="154"/>
      <c r="B86" s="155"/>
      <c r="C86" s="155"/>
      <c r="D86" s="156" t="s">
        <v>3110</v>
      </c>
      <c r="E86" s="156" t="s">
        <v>3034</v>
      </c>
      <c r="F86" s="155"/>
      <c r="G86" s="157" t="n">
        <v>86.76</v>
      </c>
      <c r="H86" s="155"/>
      <c r="I86" s="155"/>
      <c r="J86" s="155"/>
      <c r="K86" s="146"/>
    </row>
    <row r="87">
      <c r="A87" s="154"/>
      <c r="B87" s="155"/>
      <c r="C87" s="155"/>
      <c r="D87" s="156" t="s">
        <v>3111</v>
      </c>
      <c r="E87" s="156" t="s">
        <v>3036</v>
      </c>
      <c r="F87" s="155"/>
      <c r="G87" s="157" t="n">
        <v>234.58</v>
      </c>
      <c r="H87" s="155"/>
      <c r="I87" s="155"/>
      <c r="J87" s="155"/>
      <c r="K87" s="146"/>
    </row>
    <row r="88">
      <c r="A88" s="154"/>
      <c r="B88" s="155"/>
      <c r="C88" s="155"/>
      <c r="D88" s="156" t="s">
        <v>3071</v>
      </c>
      <c r="E88" s="156" t="s">
        <v>3015</v>
      </c>
      <c r="F88" s="155"/>
      <c r="G88" s="157" t="n">
        <v>10.752</v>
      </c>
      <c r="H88" s="155"/>
      <c r="I88" s="155"/>
      <c r="J88" s="155"/>
      <c r="K88" s="146"/>
    </row>
    <row r="89">
      <c r="A89" s="154"/>
      <c r="B89" s="155"/>
      <c r="C89" s="155"/>
      <c r="D89" s="156" t="s">
        <v>3112</v>
      </c>
      <c r="E89" s="156" t="s">
        <v>3030</v>
      </c>
      <c r="F89" s="155"/>
      <c r="G89" s="157" t="n">
        <v>23.28</v>
      </c>
      <c r="H89" s="155"/>
      <c r="I89" s="155"/>
      <c r="J89" s="155"/>
      <c r="K89" s="146"/>
    </row>
    <row r="90">
      <c r="A90" s="154"/>
      <c r="B90" s="155"/>
      <c r="C90" s="155"/>
      <c r="D90" s="156" t="s">
        <v>3113</v>
      </c>
      <c r="E90" s="156" t="s">
        <v>3085</v>
      </c>
      <c r="F90" s="155"/>
      <c r="G90" s="157" t="n">
        <v>261.65</v>
      </c>
      <c r="H90" s="155"/>
      <c r="I90" s="155"/>
      <c r="J90" s="155"/>
      <c r="K90" s="146"/>
    </row>
    <row r="91">
      <c r="A91" s="147" t="s">
        <v>4</v>
      </c>
      <c r="B91" s="148" t="s">
        <v>87</v>
      </c>
      <c r="C91" s="148" t="s">
        <v>232</v>
      </c>
      <c r="D91" s="149" t="s">
        <v>238</v>
      </c>
      <c r="E91" s="148"/>
      <c r="F91" s="150" t="s">
        <v>79</v>
      </c>
      <c r="G91" s="150" t="s">
        <v>79</v>
      </c>
      <c r="H91" s="150" t="s">
        <v>79</v>
      </c>
      <c r="I91" s="117">
        <f>SUM(I92:I96)</f>
      </c>
      <c r="J91" s="132" t="s">
        <v>4</v>
      </c>
      <c r="K91" s="146"/>
      <c r="AI91" s="132" t="s">
        <v>87</v>
      </c>
      <c r="AS91" s="117">
        <f>SUM(AJ92:AJ96)</f>
      </c>
      <c r="AT91" s="117">
        <f>SUM(AK92:AK96)</f>
      </c>
      <c r="AU91" s="117">
        <f>SUM(AL92:AL96)</f>
      </c>
    </row>
    <row r="92">
      <c r="A92" s="9" t="s">
        <v>333</v>
      </c>
      <c r="B92" s="10" t="s">
        <v>87</v>
      </c>
      <c r="C92" s="10" t="s">
        <v>3115</v>
      </c>
      <c r="D92" s="14" t="s">
        <v>3116</v>
      </c>
      <c r="E92" s="10"/>
      <c r="F92" s="10" t="s">
        <v>159</v>
      </c>
      <c r="G92" s="111">
        <f>'Stavební rozpočet'!G2037</f>
      </c>
      <c r="H92" s="111">
        <f>'Stavební rozpočet'!H2037</f>
      </c>
      <c r="I92" s="111">
        <f>G92*H92</f>
      </c>
      <c r="J92" s="153" t="s">
        <v>134</v>
      </c>
      <c r="K92" s="146"/>
      <c r="Z92" s="111">
        <f>IF(AQ92="5",BJ92,0)</f>
      </c>
      <c r="AB92" s="111">
        <f>IF(AQ92="1",BH92,0)</f>
      </c>
      <c r="AC92" s="111">
        <f>IF(AQ92="1",BI92,0)</f>
      </c>
      <c r="AD92" s="111">
        <f>IF(AQ92="7",BH92,0)</f>
      </c>
      <c r="AE92" s="111">
        <f>IF(AQ92="7",BI92,0)</f>
      </c>
      <c r="AF92" s="111">
        <f>IF(AQ92="2",BH92,0)</f>
      </c>
      <c r="AG92" s="111">
        <f>IF(AQ92="2",BI92,0)</f>
      </c>
      <c r="AH92" s="111">
        <f>IF(AQ92="0",BJ92,0)</f>
      </c>
      <c r="AI92" s="132" t="s">
        <v>87</v>
      </c>
      <c r="AJ92" s="111">
        <f>IF(AN92=0,I92,0)</f>
      </c>
      <c r="AK92" s="111">
        <f>IF(AN92=12,I92,0)</f>
      </c>
      <c r="AL92" s="111">
        <f>IF(AN92=21,I92,0)</f>
      </c>
      <c r="AN92" s="111" t="n">
        <v>21</v>
      </c>
      <c r="AO92" s="111">
        <f>H92*0</f>
      </c>
      <c r="AP92" s="111">
        <f>H92*(1-0)</f>
      </c>
      <c r="AQ92" s="153" t="s">
        <v>130</v>
      </c>
      <c r="AV92" s="111">
        <f>AW92+AX92</f>
      </c>
      <c r="AW92" s="111">
        <f>G92*AO92</f>
      </c>
      <c r="AX92" s="111">
        <f>G92*AP92</f>
      </c>
      <c r="AY92" s="153" t="s">
        <v>242</v>
      </c>
      <c r="AZ92" s="153" t="s">
        <v>2989</v>
      </c>
      <c r="BA92" s="132" t="s">
        <v>2990</v>
      </c>
      <c r="BC92" s="111">
        <f>AW92+AX92</f>
      </c>
      <c r="BD92" s="111">
        <f>H92/(100-BE92)*100</f>
      </c>
      <c r="BE92" s="111" t="n">
        <v>0</v>
      </c>
      <c r="BF92" s="111">
        <f>92</f>
      </c>
      <c r="BH92" s="111">
        <f>G92*AO92</f>
      </c>
      <c r="BI92" s="111">
        <f>G92*AP92</f>
      </c>
      <c r="BJ92" s="111">
        <f>G92*H92</f>
      </c>
      <c r="BK92" s="111"/>
      <c r="BL92" s="111" t="n">
        <v>17</v>
      </c>
      <c r="BW92" s="111" t="n">
        <v>21</v>
      </c>
      <c r="BX92" s="14" t="s">
        <v>3116</v>
      </c>
    </row>
    <row r="93">
      <c r="A93" s="154"/>
      <c r="B93" s="155"/>
      <c r="C93" s="155"/>
      <c r="D93" s="156" t="s">
        <v>3117</v>
      </c>
      <c r="E93" s="156" t="s">
        <v>4</v>
      </c>
      <c r="F93" s="155"/>
      <c r="G93" s="157" t="n">
        <v>669.822</v>
      </c>
      <c r="H93" s="155"/>
      <c r="I93" s="155"/>
      <c r="J93" s="155"/>
      <c r="K93" s="146"/>
    </row>
    <row r="94">
      <c r="A94" s="9" t="s">
        <v>342</v>
      </c>
      <c r="B94" s="10" t="s">
        <v>87</v>
      </c>
      <c r="C94" s="10" t="s">
        <v>3119</v>
      </c>
      <c r="D94" s="14" t="s">
        <v>3120</v>
      </c>
      <c r="E94" s="10"/>
      <c r="F94" s="10" t="s">
        <v>159</v>
      </c>
      <c r="G94" s="111">
        <f>'Stavební rozpočet'!G2039</f>
      </c>
      <c r="H94" s="111">
        <f>'Stavební rozpočet'!H2039</f>
      </c>
      <c r="I94" s="111">
        <f>G94*H94</f>
      </c>
      <c r="J94" s="153" t="s">
        <v>134</v>
      </c>
      <c r="K94" s="146"/>
      <c r="Z94" s="111">
        <f>IF(AQ94="5",BJ94,0)</f>
      </c>
      <c r="AB94" s="111">
        <f>IF(AQ94="1",BH94,0)</f>
      </c>
      <c r="AC94" s="111">
        <f>IF(AQ94="1",BI94,0)</f>
      </c>
      <c r="AD94" s="111">
        <f>IF(AQ94="7",BH94,0)</f>
      </c>
      <c r="AE94" s="111">
        <f>IF(AQ94="7",BI94,0)</f>
      </c>
      <c r="AF94" s="111">
        <f>IF(AQ94="2",BH94,0)</f>
      </c>
      <c r="AG94" s="111">
        <f>IF(AQ94="2",BI94,0)</f>
      </c>
      <c r="AH94" s="111">
        <f>IF(AQ94="0",BJ94,0)</f>
      </c>
      <c r="AI94" s="132" t="s">
        <v>87</v>
      </c>
      <c r="AJ94" s="111">
        <f>IF(AN94=0,I94,0)</f>
      </c>
      <c r="AK94" s="111">
        <f>IF(AN94=12,I94,0)</f>
      </c>
      <c r="AL94" s="111">
        <f>IF(AN94=21,I94,0)</f>
      </c>
      <c r="AN94" s="111" t="n">
        <v>21</v>
      </c>
      <c r="AO94" s="111">
        <f>H94*0</f>
      </c>
      <c r="AP94" s="111">
        <f>H94*(1-0)</f>
      </c>
      <c r="AQ94" s="153" t="s">
        <v>130</v>
      </c>
      <c r="AV94" s="111">
        <f>AW94+AX94</f>
      </c>
      <c r="AW94" s="111">
        <f>G94*AO94</f>
      </c>
      <c r="AX94" s="111">
        <f>G94*AP94</f>
      </c>
      <c r="AY94" s="153" t="s">
        <v>242</v>
      </c>
      <c r="AZ94" s="153" t="s">
        <v>2989</v>
      </c>
      <c r="BA94" s="132" t="s">
        <v>2990</v>
      </c>
      <c r="BC94" s="111">
        <f>AW94+AX94</f>
      </c>
      <c r="BD94" s="111">
        <f>H94/(100-BE94)*100</f>
      </c>
      <c r="BE94" s="111" t="n">
        <v>0</v>
      </c>
      <c r="BF94" s="111">
        <f>94</f>
      </c>
      <c r="BH94" s="111">
        <f>G94*AO94</f>
      </c>
      <c r="BI94" s="111">
        <f>G94*AP94</f>
      </c>
      <c r="BJ94" s="111">
        <f>G94*H94</f>
      </c>
      <c r="BK94" s="111"/>
      <c r="BL94" s="111" t="n">
        <v>17</v>
      </c>
      <c r="BW94" s="111" t="n">
        <v>21</v>
      </c>
      <c r="BX94" s="14" t="s">
        <v>3120</v>
      </c>
    </row>
    <row r="95">
      <c r="A95" s="154"/>
      <c r="B95" s="155"/>
      <c r="C95" s="155"/>
      <c r="D95" s="156" t="s">
        <v>3121</v>
      </c>
      <c r="E95" s="156" t="s">
        <v>3085</v>
      </c>
      <c r="F95" s="155"/>
      <c r="G95" s="157" t="n">
        <v>297.36</v>
      </c>
      <c r="H95" s="155"/>
      <c r="I95" s="155"/>
      <c r="J95" s="155"/>
      <c r="K95" s="146"/>
    </row>
    <row r="96">
      <c r="A96" s="9" t="s">
        <v>348</v>
      </c>
      <c r="B96" s="10" t="s">
        <v>87</v>
      </c>
      <c r="C96" s="10" t="s">
        <v>3123</v>
      </c>
      <c r="D96" s="14" t="s">
        <v>3124</v>
      </c>
      <c r="E96" s="10"/>
      <c r="F96" s="10" t="s">
        <v>159</v>
      </c>
      <c r="G96" s="111">
        <f>'Stavební rozpočet'!G2041</f>
      </c>
      <c r="H96" s="111">
        <f>'Stavební rozpočet'!H2041</f>
      </c>
      <c r="I96" s="111">
        <f>G96*H96</f>
      </c>
      <c r="J96" s="153" t="s">
        <v>134</v>
      </c>
      <c r="K96" s="146"/>
      <c r="Z96" s="111">
        <f>IF(AQ96="5",BJ96,0)</f>
      </c>
      <c r="AB96" s="111">
        <f>IF(AQ96="1",BH96,0)</f>
      </c>
      <c r="AC96" s="111">
        <f>IF(AQ96="1",BI96,0)</f>
      </c>
      <c r="AD96" s="111">
        <f>IF(AQ96="7",BH96,0)</f>
      </c>
      <c r="AE96" s="111">
        <f>IF(AQ96="7",BI96,0)</f>
      </c>
      <c r="AF96" s="111">
        <f>IF(AQ96="2",BH96,0)</f>
      </c>
      <c r="AG96" s="111">
        <f>IF(AQ96="2",BI96,0)</f>
      </c>
      <c r="AH96" s="111">
        <f>IF(AQ96="0",BJ96,0)</f>
      </c>
      <c r="AI96" s="132" t="s">
        <v>87</v>
      </c>
      <c r="AJ96" s="111">
        <f>IF(AN96=0,I96,0)</f>
      </c>
      <c r="AK96" s="111">
        <f>IF(AN96=12,I96,0)</f>
      </c>
      <c r="AL96" s="111">
        <f>IF(AN96=21,I96,0)</f>
      </c>
      <c r="AN96" s="111" t="n">
        <v>21</v>
      </c>
      <c r="AO96" s="111">
        <f>H96*0.517505128</f>
      </c>
      <c r="AP96" s="111">
        <f>H96*(1-0.517505128)</f>
      </c>
      <c r="AQ96" s="153" t="s">
        <v>130</v>
      </c>
      <c r="AV96" s="111">
        <f>AW96+AX96</f>
      </c>
      <c r="AW96" s="111">
        <f>G96*AO96</f>
      </c>
      <c r="AX96" s="111">
        <f>G96*AP96</f>
      </c>
      <c r="AY96" s="153" t="s">
        <v>242</v>
      </c>
      <c r="AZ96" s="153" t="s">
        <v>2989</v>
      </c>
      <c r="BA96" s="132" t="s">
        <v>2990</v>
      </c>
      <c r="BC96" s="111">
        <f>AW96+AX96</f>
      </c>
      <c r="BD96" s="111">
        <f>H96/(100-BE96)*100</f>
      </c>
      <c r="BE96" s="111" t="n">
        <v>0</v>
      </c>
      <c r="BF96" s="111">
        <f>96</f>
      </c>
      <c r="BH96" s="111">
        <f>G96*AO96</f>
      </c>
      <c r="BI96" s="111">
        <f>G96*AP96</f>
      </c>
      <c r="BJ96" s="111">
        <f>G96*H96</f>
      </c>
      <c r="BK96" s="111"/>
      <c r="BL96" s="111" t="n">
        <v>17</v>
      </c>
      <c r="BW96" s="111" t="n">
        <v>21</v>
      </c>
      <c r="BX96" s="14" t="s">
        <v>3124</v>
      </c>
    </row>
    <row r="97" customHeight="true" ht="13.5">
      <c r="A97" s="159"/>
      <c r="C97" s="160" t="s">
        <v>146</v>
      </c>
      <c r="D97" s="161" t="s">
        <v>3125</v>
      </c>
      <c r="E97" s="156"/>
      <c r="F97" s="156"/>
      <c r="G97" s="156"/>
      <c r="H97" s="156"/>
      <c r="I97" s="156"/>
      <c r="J97" s="156"/>
      <c r="K97" s="163"/>
    </row>
    <row r="98">
      <c r="A98" s="154"/>
      <c r="B98" s="155"/>
      <c r="C98" s="155"/>
      <c r="D98" s="156" t="s">
        <v>3126</v>
      </c>
      <c r="E98" s="156" t="s">
        <v>3032</v>
      </c>
      <c r="F98" s="155"/>
      <c r="G98" s="157" t="n">
        <v>49.28</v>
      </c>
      <c r="H98" s="155"/>
      <c r="I98" s="155"/>
      <c r="J98" s="155"/>
      <c r="K98" s="146"/>
    </row>
    <row r="99">
      <c r="A99" s="154"/>
      <c r="B99" s="155"/>
      <c r="C99" s="155"/>
      <c r="D99" s="156" t="s">
        <v>3127</v>
      </c>
      <c r="E99" s="156" t="s">
        <v>3034</v>
      </c>
      <c r="F99" s="155"/>
      <c r="G99" s="157" t="n">
        <v>94.3</v>
      </c>
      <c r="H99" s="155"/>
      <c r="I99" s="155"/>
      <c r="J99" s="155"/>
      <c r="K99" s="146"/>
    </row>
    <row r="100">
      <c r="A100" s="154"/>
      <c r="B100" s="155"/>
      <c r="C100" s="155"/>
      <c r="D100" s="156" t="s">
        <v>3128</v>
      </c>
      <c r="E100" s="156" t="s">
        <v>3036</v>
      </c>
      <c r="F100" s="155"/>
      <c r="G100" s="157" t="n">
        <v>211.896</v>
      </c>
      <c r="H100" s="155"/>
      <c r="I100" s="155"/>
      <c r="J100" s="155"/>
      <c r="K100" s="146"/>
    </row>
    <row r="101">
      <c r="A101" s="154"/>
      <c r="B101" s="155"/>
      <c r="C101" s="155"/>
      <c r="D101" s="156" t="s">
        <v>3129</v>
      </c>
      <c r="E101" s="156" t="s">
        <v>3015</v>
      </c>
      <c r="F101" s="155"/>
      <c r="G101" s="157" t="n">
        <v>7.988</v>
      </c>
      <c r="H101" s="155"/>
      <c r="I101" s="155"/>
      <c r="J101" s="155"/>
      <c r="K101" s="146"/>
    </row>
    <row r="102">
      <c r="A102" s="154"/>
      <c r="B102" s="155"/>
      <c r="C102" s="155"/>
      <c r="D102" s="156" t="s">
        <v>3130</v>
      </c>
      <c r="E102" s="156" t="s">
        <v>3030</v>
      </c>
      <c r="F102" s="155"/>
      <c r="G102" s="157" t="n">
        <v>20.25</v>
      </c>
      <c r="H102" s="155"/>
      <c r="I102" s="155"/>
      <c r="J102" s="155"/>
      <c r="K102" s="146"/>
    </row>
    <row r="103">
      <c r="A103" s="147" t="s">
        <v>4</v>
      </c>
      <c r="B103" s="148" t="s">
        <v>87</v>
      </c>
      <c r="C103" s="148" t="s">
        <v>239</v>
      </c>
      <c r="D103" s="149" t="s">
        <v>3131</v>
      </c>
      <c r="E103" s="148"/>
      <c r="F103" s="150" t="s">
        <v>79</v>
      </c>
      <c r="G103" s="150" t="s">
        <v>79</v>
      </c>
      <c r="H103" s="150" t="s">
        <v>79</v>
      </c>
      <c r="I103" s="117">
        <f>SUM(I104:I104)</f>
      </c>
      <c r="J103" s="132" t="s">
        <v>4</v>
      </c>
      <c r="K103" s="146"/>
      <c r="AI103" s="132" t="s">
        <v>87</v>
      </c>
      <c r="AS103" s="117">
        <f>SUM(AJ104:AJ104)</f>
      </c>
      <c r="AT103" s="117">
        <f>SUM(AK104:AK104)</f>
      </c>
      <c r="AU103" s="117">
        <f>SUM(AL104:AL104)</f>
      </c>
    </row>
    <row r="104">
      <c r="A104" s="9" t="s">
        <v>354</v>
      </c>
      <c r="B104" s="10" t="s">
        <v>87</v>
      </c>
      <c r="C104" s="10" t="s">
        <v>236</v>
      </c>
      <c r="D104" s="14" t="s">
        <v>237</v>
      </c>
      <c r="E104" s="10"/>
      <c r="F104" s="10" t="s">
        <v>159</v>
      </c>
      <c r="G104" s="111">
        <f>'Stavební rozpočet'!G2049</f>
      </c>
      <c r="H104" s="111">
        <f>'Stavební rozpočet'!H2049</f>
      </c>
      <c r="I104" s="111">
        <f>G104*H104</f>
      </c>
      <c r="J104" s="153" t="s">
        <v>134</v>
      </c>
      <c r="K104" s="146"/>
      <c r="Z104" s="111">
        <f>IF(AQ104="5",BJ104,0)</f>
      </c>
      <c r="AB104" s="111">
        <f>IF(AQ104="1",BH104,0)</f>
      </c>
      <c r="AC104" s="111">
        <f>IF(AQ104="1",BI104,0)</f>
      </c>
      <c r="AD104" s="111">
        <f>IF(AQ104="7",BH104,0)</f>
      </c>
      <c r="AE104" s="111">
        <f>IF(AQ104="7",BI104,0)</f>
      </c>
      <c r="AF104" s="111">
        <f>IF(AQ104="2",BH104,0)</f>
      </c>
      <c r="AG104" s="111">
        <f>IF(AQ104="2",BI104,0)</f>
      </c>
      <c r="AH104" s="111">
        <f>IF(AQ104="0",BJ104,0)</f>
      </c>
      <c r="AI104" s="132" t="s">
        <v>87</v>
      </c>
      <c r="AJ104" s="111">
        <f>IF(AN104=0,I104,0)</f>
      </c>
      <c r="AK104" s="111">
        <f>IF(AN104=12,I104,0)</f>
      </c>
      <c r="AL104" s="111">
        <f>IF(AN104=21,I104,0)</f>
      </c>
      <c r="AN104" s="111" t="n">
        <v>21</v>
      </c>
      <c r="AO104" s="111">
        <f>H104*0</f>
      </c>
      <c r="AP104" s="111">
        <f>H104*(1-0)</f>
      </c>
      <c r="AQ104" s="153" t="s">
        <v>130</v>
      </c>
      <c r="AV104" s="111">
        <f>AW104+AX104</f>
      </c>
      <c r="AW104" s="111">
        <f>G104*AO104</f>
      </c>
      <c r="AX104" s="111">
        <f>G104*AP104</f>
      </c>
      <c r="AY104" s="153" t="s">
        <v>3133</v>
      </c>
      <c r="AZ104" s="153" t="s">
        <v>2989</v>
      </c>
      <c r="BA104" s="132" t="s">
        <v>2990</v>
      </c>
      <c r="BC104" s="111">
        <f>AW104+AX104</f>
      </c>
      <c r="BD104" s="111">
        <f>H104/(100-BE104)*100</f>
      </c>
      <c r="BE104" s="111" t="n">
        <v>0</v>
      </c>
      <c r="BF104" s="111">
        <f>104</f>
      </c>
      <c r="BH104" s="111">
        <f>G104*AO104</f>
      </c>
      <c r="BI104" s="111">
        <f>G104*AP104</f>
      </c>
      <c r="BJ104" s="111">
        <f>G104*H104</f>
      </c>
      <c r="BK104" s="111"/>
      <c r="BL104" s="111" t="n">
        <v>19</v>
      </c>
      <c r="BW104" s="111" t="n">
        <v>21</v>
      </c>
      <c r="BX104" s="14" t="s">
        <v>237</v>
      </c>
    </row>
    <row r="105">
      <c r="A105" s="154"/>
      <c r="B105" s="155"/>
      <c r="C105" s="155"/>
      <c r="D105" s="156" t="s">
        <v>3117</v>
      </c>
      <c r="E105" s="156" t="s">
        <v>4</v>
      </c>
      <c r="F105" s="155"/>
      <c r="G105" s="157" t="n">
        <v>669.822</v>
      </c>
      <c r="H105" s="155"/>
      <c r="I105" s="155"/>
      <c r="J105" s="155"/>
      <c r="K105" s="146"/>
    </row>
    <row r="106">
      <c r="A106" s="147" t="s">
        <v>4</v>
      </c>
      <c r="B106" s="148" t="s">
        <v>87</v>
      </c>
      <c r="C106" s="148" t="s">
        <v>261</v>
      </c>
      <c r="D106" s="149" t="s">
        <v>278</v>
      </c>
      <c r="E106" s="148"/>
      <c r="F106" s="150" t="s">
        <v>79</v>
      </c>
      <c r="G106" s="150" t="s">
        <v>79</v>
      </c>
      <c r="H106" s="150" t="s">
        <v>79</v>
      </c>
      <c r="I106" s="117">
        <f>SUM(I107:I109)</f>
      </c>
      <c r="J106" s="132" t="s">
        <v>4</v>
      </c>
      <c r="K106" s="146"/>
      <c r="AI106" s="132" t="s">
        <v>87</v>
      </c>
      <c r="AS106" s="117">
        <f>SUM(AJ107:AJ109)</f>
      </c>
      <c r="AT106" s="117">
        <f>SUM(AK107:AK109)</f>
      </c>
      <c r="AU106" s="117">
        <f>SUM(AL107:AL109)</f>
      </c>
    </row>
    <row r="107">
      <c r="A107" s="9" t="s">
        <v>360</v>
      </c>
      <c r="B107" s="10" t="s">
        <v>87</v>
      </c>
      <c r="C107" s="10" t="s">
        <v>3135</v>
      </c>
      <c r="D107" s="14" t="s">
        <v>3136</v>
      </c>
      <c r="E107" s="10"/>
      <c r="F107" s="10" t="s">
        <v>133</v>
      </c>
      <c r="G107" s="111">
        <f>'Stavební rozpočet'!G2052</f>
      </c>
      <c r="H107" s="111">
        <f>'Stavební rozpočet'!H2052</f>
      </c>
      <c r="I107" s="111">
        <f>G107*H107</f>
      </c>
      <c r="J107" s="153" t="s">
        <v>134</v>
      </c>
      <c r="K107" s="146"/>
      <c r="Z107" s="111">
        <f>IF(AQ107="5",BJ107,0)</f>
      </c>
      <c r="AB107" s="111">
        <f>IF(AQ107="1",BH107,0)</f>
      </c>
      <c r="AC107" s="111">
        <f>IF(AQ107="1",BI107,0)</f>
      </c>
      <c r="AD107" s="111">
        <f>IF(AQ107="7",BH107,0)</f>
      </c>
      <c r="AE107" s="111">
        <f>IF(AQ107="7",BI107,0)</f>
      </c>
      <c r="AF107" s="111">
        <f>IF(AQ107="2",BH107,0)</f>
      </c>
      <c r="AG107" s="111">
        <f>IF(AQ107="2",BI107,0)</f>
      </c>
      <c r="AH107" s="111">
        <f>IF(AQ107="0",BJ107,0)</f>
      </c>
      <c r="AI107" s="132" t="s">
        <v>87</v>
      </c>
      <c r="AJ107" s="111">
        <f>IF(AN107=0,I107,0)</f>
      </c>
      <c r="AK107" s="111">
        <f>IF(AN107=12,I107,0)</f>
      </c>
      <c r="AL107" s="111">
        <f>IF(AN107=21,I107,0)</f>
      </c>
      <c r="AN107" s="111" t="n">
        <v>21</v>
      </c>
      <c r="AO107" s="111">
        <f>H107*0</f>
      </c>
      <c r="AP107" s="111">
        <f>H107*(1-0)</f>
      </c>
      <c r="AQ107" s="153" t="s">
        <v>130</v>
      </c>
      <c r="AV107" s="111">
        <f>AW107+AX107</f>
      </c>
      <c r="AW107" s="111">
        <f>G107*AO107</f>
      </c>
      <c r="AX107" s="111">
        <f>G107*AP107</f>
      </c>
      <c r="AY107" s="153" t="s">
        <v>283</v>
      </c>
      <c r="AZ107" s="153" t="s">
        <v>3137</v>
      </c>
      <c r="BA107" s="132" t="s">
        <v>2990</v>
      </c>
      <c r="BC107" s="111">
        <f>AW107+AX107</f>
      </c>
      <c r="BD107" s="111">
        <f>H107/(100-BE107)*100</f>
      </c>
      <c r="BE107" s="111" t="n">
        <v>0</v>
      </c>
      <c r="BF107" s="111">
        <f>107</f>
      </c>
      <c r="BH107" s="111">
        <f>G107*AO107</f>
      </c>
      <c r="BI107" s="111">
        <f>G107*AP107</f>
      </c>
      <c r="BJ107" s="111">
        <f>G107*H107</f>
      </c>
      <c r="BK107" s="111"/>
      <c r="BL107" s="111" t="n">
        <v>21</v>
      </c>
      <c r="BW107" s="111" t="n">
        <v>21</v>
      </c>
      <c r="BX107" s="14" t="s">
        <v>3136</v>
      </c>
    </row>
    <row r="108">
      <c r="A108" s="154"/>
      <c r="B108" s="155"/>
      <c r="C108" s="155"/>
      <c r="D108" s="156" t="s">
        <v>186</v>
      </c>
      <c r="E108" s="156" t="s">
        <v>4</v>
      </c>
      <c r="F108" s="155"/>
      <c r="G108" s="157" t="n">
        <v>10</v>
      </c>
      <c r="H108" s="155"/>
      <c r="I108" s="155"/>
      <c r="J108" s="155"/>
      <c r="K108" s="146"/>
    </row>
    <row r="109">
      <c r="A109" s="9" t="s">
        <v>366</v>
      </c>
      <c r="B109" s="10" t="s">
        <v>87</v>
      </c>
      <c r="C109" s="10" t="s">
        <v>3139</v>
      </c>
      <c r="D109" s="14" t="s">
        <v>3140</v>
      </c>
      <c r="E109" s="10"/>
      <c r="F109" s="10" t="s">
        <v>145</v>
      </c>
      <c r="G109" s="111">
        <f>'Stavební rozpočet'!G2054</f>
      </c>
      <c r="H109" s="111">
        <f>'Stavební rozpočet'!H2054</f>
      </c>
      <c r="I109" s="111">
        <f>G109*H109</f>
      </c>
      <c r="J109" s="153" t="s">
        <v>134</v>
      </c>
      <c r="K109" s="146"/>
      <c r="Z109" s="111">
        <f>IF(AQ109="5",BJ109,0)</f>
      </c>
      <c r="AB109" s="111">
        <f>IF(AQ109="1",BH109,0)</f>
      </c>
      <c r="AC109" s="111">
        <f>IF(AQ109="1",BI109,0)</f>
      </c>
      <c r="AD109" s="111">
        <f>IF(AQ109="7",BH109,0)</f>
      </c>
      <c r="AE109" s="111">
        <f>IF(AQ109="7",BI109,0)</f>
      </c>
      <c r="AF109" s="111">
        <f>IF(AQ109="2",BH109,0)</f>
      </c>
      <c r="AG109" s="111">
        <f>IF(AQ109="2",BI109,0)</f>
      </c>
      <c r="AH109" s="111">
        <f>IF(AQ109="0",BJ109,0)</f>
      </c>
      <c r="AI109" s="132" t="s">
        <v>87</v>
      </c>
      <c r="AJ109" s="111">
        <f>IF(AN109=0,I109,0)</f>
      </c>
      <c r="AK109" s="111">
        <f>IF(AN109=12,I109,0)</f>
      </c>
      <c r="AL109" s="111">
        <f>IF(AN109=21,I109,0)</f>
      </c>
      <c r="AN109" s="111" t="n">
        <v>21</v>
      </c>
      <c r="AO109" s="111">
        <f>H109*0.025986842</f>
      </c>
      <c r="AP109" s="111">
        <f>H109*(1-0.025986842)</f>
      </c>
      <c r="AQ109" s="153" t="s">
        <v>130</v>
      </c>
      <c r="AV109" s="111">
        <f>AW109+AX109</f>
      </c>
      <c r="AW109" s="111">
        <f>G109*AO109</f>
      </c>
      <c r="AX109" s="111">
        <f>G109*AP109</f>
      </c>
      <c r="AY109" s="153" t="s">
        <v>283</v>
      </c>
      <c r="AZ109" s="153" t="s">
        <v>3137</v>
      </c>
      <c r="BA109" s="132" t="s">
        <v>2990</v>
      </c>
      <c r="BC109" s="111">
        <f>AW109+AX109</f>
      </c>
      <c r="BD109" s="111">
        <f>H109/(100-BE109)*100</f>
      </c>
      <c r="BE109" s="111" t="n">
        <v>0</v>
      </c>
      <c r="BF109" s="111">
        <f>109</f>
      </c>
      <c r="BH109" s="111">
        <f>G109*AO109</f>
      </c>
      <c r="BI109" s="111">
        <f>G109*AP109</f>
      </c>
      <c r="BJ109" s="111">
        <f>G109*H109</f>
      </c>
      <c r="BK109" s="111"/>
      <c r="BL109" s="111" t="n">
        <v>21</v>
      </c>
      <c r="BW109" s="111" t="n">
        <v>21</v>
      </c>
      <c r="BX109" s="14" t="s">
        <v>3140</v>
      </c>
    </row>
    <row r="110">
      <c r="A110" s="154"/>
      <c r="B110" s="155"/>
      <c r="C110" s="155"/>
      <c r="D110" s="156" t="s">
        <v>878</v>
      </c>
      <c r="E110" s="156" t="s">
        <v>4</v>
      </c>
      <c r="F110" s="155"/>
      <c r="G110" s="157" t="n">
        <v>112</v>
      </c>
      <c r="H110" s="155"/>
      <c r="I110" s="155"/>
      <c r="J110" s="155"/>
      <c r="K110" s="146"/>
    </row>
    <row r="111">
      <c r="A111" s="147" t="s">
        <v>4</v>
      </c>
      <c r="B111" s="148" t="s">
        <v>87</v>
      </c>
      <c r="C111" s="148" t="s">
        <v>288</v>
      </c>
      <c r="D111" s="149" t="s">
        <v>289</v>
      </c>
      <c r="E111" s="148"/>
      <c r="F111" s="150" t="s">
        <v>79</v>
      </c>
      <c r="G111" s="150" t="s">
        <v>79</v>
      </c>
      <c r="H111" s="150" t="s">
        <v>79</v>
      </c>
      <c r="I111" s="117">
        <f>SUM(I112:I112)</f>
      </c>
      <c r="J111" s="132" t="s">
        <v>4</v>
      </c>
      <c r="K111" s="146"/>
      <c r="AI111" s="132" t="s">
        <v>87</v>
      </c>
      <c r="AS111" s="117">
        <f>SUM(AJ112:AJ112)</f>
      </c>
      <c r="AT111" s="117">
        <f>SUM(AK112:AK112)</f>
      </c>
      <c r="AU111" s="117">
        <f>SUM(AL112:AL112)</f>
      </c>
    </row>
    <row r="112">
      <c r="A112" s="9" t="s">
        <v>374</v>
      </c>
      <c r="B112" s="10" t="s">
        <v>87</v>
      </c>
      <c r="C112" s="10" t="s">
        <v>367</v>
      </c>
      <c r="D112" s="14" t="s">
        <v>368</v>
      </c>
      <c r="E112" s="10"/>
      <c r="F112" s="10" t="s">
        <v>229</v>
      </c>
      <c r="G112" s="111">
        <f>'Stavební rozpočet'!G2057</f>
      </c>
      <c r="H112" s="111">
        <f>'Stavební rozpočet'!H2057</f>
      </c>
      <c r="I112" s="111">
        <f>G112*H112</f>
      </c>
      <c r="J112" s="153" t="s">
        <v>134</v>
      </c>
      <c r="K112" s="146"/>
      <c r="Z112" s="111">
        <f>IF(AQ112="5",BJ112,0)</f>
      </c>
      <c r="AB112" s="111">
        <f>IF(AQ112="1",BH112,0)</f>
      </c>
      <c r="AC112" s="111">
        <f>IF(AQ112="1",BI112,0)</f>
      </c>
      <c r="AD112" s="111">
        <f>IF(AQ112="7",BH112,0)</f>
      </c>
      <c r="AE112" s="111">
        <f>IF(AQ112="7",BI112,0)</f>
      </c>
      <c r="AF112" s="111">
        <f>IF(AQ112="2",BH112,0)</f>
      </c>
      <c r="AG112" s="111">
        <f>IF(AQ112="2",BI112,0)</f>
      </c>
      <c r="AH112" s="111">
        <f>IF(AQ112="0",BJ112,0)</f>
      </c>
      <c r="AI112" s="132" t="s">
        <v>87</v>
      </c>
      <c r="AJ112" s="111">
        <f>IF(AN112=0,I112,0)</f>
      </c>
      <c r="AK112" s="111">
        <f>IF(AN112=12,I112,0)</f>
      </c>
      <c r="AL112" s="111">
        <f>IF(AN112=21,I112,0)</f>
      </c>
      <c r="AN112" s="111" t="n">
        <v>21</v>
      </c>
      <c r="AO112" s="111">
        <f>H112*0.784067875</f>
      </c>
      <c r="AP112" s="111">
        <f>H112*(1-0.784067875)</f>
      </c>
      <c r="AQ112" s="153" t="s">
        <v>130</v>
      </c>
      <c r="AV112" s="111">
        <f>AW112+AX112</f>
      </c>
      <c r="AW112" s="111">
        <f>G112*AO112</f>
      </c>
      <c r="AX112" s="111">
        <f>G112*AP112</f>
      </c>
      <c r="AY112" s="153" t="s">
        <v>293</v>
      </c>
      <c r="AZ112" s="153" t="s">
        <v>3137</v>
      </c>
      <c r="BA112" s="132" t="s">
        <v>2990</v>
      </c>
      <c r="BC112" s="111">
        <f>AW112+AX112</f>
      </c>
      <c r="BD112" s="111">
        <f>H112/(100-BE112)*100</f>
      </c>
      <c r="BE112" s="111" t="n">
        <v>0</v>
      </c>
      <c r="BF112" s="111">
        <f>112</f>
      </c>
      <c r="BH112" s="111">
        <f>G112*AO112</f>
      </c>
      <c r="BI112" s="111">
        <f>G112*AP112</f>
      </c>
      <c r="BJ112" s="111">
        <f>G112*H112</f>
      </c>
      <c r="BK112" s="111"/>
      <c r="BL112" s="111" t="n">
        <v>27</v>
      </c>
      <c r="BW112" s="111" t="n">
        <v>21</v>
      </c>
      <c r="BX112" s="14" t="s">
        <v>368</v>
      </c>
    </row>
    <row r="113" customHeight="true" ht="13.5">
      <c r="A113" s="159"/>
      <c r="C113" s="160" t="s">
        <v>146</v>
      </c>
      <c r="D113" s="161" t="s">
        <v>369</v>
      </c>
      <c r="E113" s="156"/>
      <c r="F113" s="156"/>
      <c r="G113" s="156"/>
      <c r="H113" s="156"/>
      <c r="I113" s="156"/>
      <c r="J113" s="156"/>
      <c r="K113" s="163"/>
    </row>
    <row r="114">
      <c r="A114" s="154"/>
      <c r="B114" s="155"/>
      <c r="C114" s="155"/>
      <c r="D114" s="156" t="s">
        <v>3142</v>
      </c>
      <c r="E114" s="156" t="s">
        <v>3143</v>
      </c>
      <c r="F114" s="155"/>
      <c r="G114" s="157" t="n">
        <v>0.09677</v>
      </c>
      <c r="H114" s="155"/>
      <c r="I114" s="155"/>
      <c r="J114" s="155"/>
      <c r="K114" s="146"/>
    </row>
    <row r="115">
      <c r="A115" s="154"/>
      <c r="B115" s="155"/>
      <c r="C115" s="155"/>
      <c r="D115" s="156" t="s">
        <v>3144</v>
      </c>
      <c r="E115" s="156" t="s">
        <v>3145</v>
      </c>
      <c r="F115" s="155"/>
      <c r="G115" s="157" t="n">
        <v>0.05184</v>
      </c>
      <c r="H115" s="155"/>
      <c r="I115" s="155"/>
      <c r="J115" s="155"/>
      <c r="K115" s="146"/>
    </row>
    <row r="116">
      <c r="A116" s="147" t="s">
        <v>4</v>
      </c>
      <c r="B116" s="148" t="s">
        <v>87</v>
      </c>
      <c r="C116" s="148" t="s">
        <v>387</v>
      </c>
      <c r="D116" s="149" t="s">
        <v>3146</v>
      </c>
      <c r="E116" s="148"/>
      <c r="F116" s="150" t="s">
        <v>79</v>
      </c>
      <c r="G116" s="150" t="s">
        <v>79</v>
      </c>
      <c r="H116" s="150" t="s">
        <v>79</v>
      </c>
      <c r="I116" s="117">
        <f>SUM(I117:I120)</f>
      </c>
      <c r="J116" s="132" t="s">
        <v>4</v>
      </c>
      <c r="K116" s="146"/>
      <c r="AI116" s="132" t="s">
        <v>87</v>
      </c>
      <c r="AS116" s="117">
        <f>SUM(AJ117:AJ120)</f>
      </c>
      <c r="AT116" s="117">
        <f>SUM(AK117:AK120)</f>
      </c>
      <c r="AU116" s="117">
        <f>SUM(AL117:AL120)</f>
      </c>
    </row>
    <row r="117">
      <c r="A117" s="9" t="s">
        <v>378</v>
      </c>
      <c r="B117" s="10" t="s">
        <v>87</v>
      </c>
      <c r="C117" s="10" t="s">
        <v>3148</v>
      </c>
      <c r="D117" s="14" t="s">
        <v>3149</v>
      </c>
      <c r="E117" s="10"/>
      <c r="F117" s="10" t="s">
        <v>159</v>
      </c>
      <c r="G117" s="111">
        <f>'Stavební rozpočet'!G2062</f>
      </c>
      <c r="H117" s="111">
        <f>'Stavební rozpočet'!H2062</f>
      </c>
      <c r="I117" s="111">
        <f>G117*H117</f>
      </c>
      <c r="J117" s="153" t="s">
        <v>134</v>
      </c>
      <c r="K117" s="146"/>
      <c r="Z117" s="111">
        <f>IF(AQ117="5",BJ117,0)</f>
      </c>
      <c r="AB117" s="111">
        <f>IF(AQ117="1",BH117,0)</f>
      </c>
      <c r="AC117" s="111">
        <f>IF(AQ117="1",BI117,0)</f>
      </c>
      <c r="AD117" s="111">
        <f>IF(AQ117="7",BH117,0)</f>
      </c>
      <c r="AE117" s="111">
        <f>IF(AQ117="7",BI117,0)</f>
      </c>
      <c r="AF117" s="111">
        <f>IF(AQ117="2",BH117,0)</f>
      </c>
      <c r="AG117" s="111">
        <f>IF(AQ117="2",BI117,0)</f>
      </c>
      <c r="AH117" s="111">
        <f>IF(AQ117="0",BJ117,0)</f>
      </c>
      <c r="AI117" s="132" t="s">
        <v>87</v>
      </c>
      <c r="AJ117" s="111">
        <f>IF(AN117=0,I117,0)</f>
      </c>
      <c r="AK117" s="111">
        <f>IF(AN117=12,I117,0)</f>
      </c>
      <c r="AL117" s="111">
        <f>IF(AN117=21,I117,0)</f>
      </c>
      <c r="AN117" s="111" t="n">
        <v>21</v>
      </c>
      <c r="AO117" s="111">
        <f>H117*0.837335079</f>
      </c>
      <c r="AP117" s="111">
        <f>H117*(1-0.837335079)</f>
      </c>
      <c r="AQ117" s="153" t="s">
        <v>130</v>
      </c>
      <c r="AV117" s="111">
        <f>AW117+AX117</f>
      </c>
      <c r="AW117" s="111">
        <f>G117*AO117</f>
      </c>
      <c r="AX117" s="111">
        <f>G117*AP117</f>
      </c>
      <c r="AY117" s="153" t="s">
        <v>3150</v>
      </c>
      <c r="AZ117" s="153" t="s">
        <v>3151</v>
      </c>
      <c r="BA117" s="132" t="s">
        <v>2990</v>
      </c>
      <c r="BC117" s="111">
        <f>AW117+AX117</f>
      </c>
      <c r="BD117" s="111">
        <f>H117/(100-BE117)*100</f>
      </c>
      <c r="BE117" s="111" t="n">
        <v>0</v>
      </c>
      <c r="BF117" s="111">
        <f>117</f>
      </c>
      <c r="BH117" s="111">
        <f>G117*AO117</f>
      </c>
      <c r="BI117" s="111">
        <f>G117*AP117</f>
      </c>
      <c r="BJ117" s="111">
        <f>G117*H117</f>
      </c>
      <c r="BK117" s="111"/>
      <c r="BL117" s="111" t="n">
        <v>38</v>
      </c>
      <c r="BW117" s="111" t="n">
        <v>21</v>
      </c>
      <c r="BX117" s="14" t="s">
        <v>3149</v>
      </c>
    </row>
    <row r="118" customHeight="true" ht="13.5">
      <c r="A118" s="159"/>
      <c r="C118" s="160" t="s">
        <v>146</v>
      </c>
      <c r="D118" s="161" t="s">
        <v>3152</v>
      </c>
      <c r="E118" s="156"/>
      <c r="F118" s="156"/>
      <c r="G118" s="156"/>
      <c r="H118" s="156"/>
      <c r="I118" s="156"/>
      <c r="J118" s="156"/>
      <c r="K118" s="163"/>
    </row>
    <row r="119">
      <c r="A119" s="154"/>
      <c r="B119" s="155"/>
      <c r="C119" s="155"/>
      <c r="D119" s="156" t="s">
        <v>3153</v>
      </c>
      <c r="E119" s="156" t="s">
        <v>3143</v>
      </c>
      <c r="F119" s="155"/>
      <c r="G119" s="157" t="n">
        <v>2.7</v>
      </c>
      <c r="H119" s="155"/>
      <c r="I119" s="155"/>
      <c r="J119" s="155"/>
      <c r="K119" s="146"/>
    </row>
    <row r="120">
      <c r="A120" s="9" t="s">
        <v>381</v>
      </c>
      <c r="B120" s="10" t="s">
        <v>87</v>
      </c>
      <c r="C120" s="10" t="s">
        <v>3155</v>
      </c>
      <c r="D120" s="14" t="s">
        <v>3156</v>
      </c>
      <c r="E120" s="10"/>
      <c r="F120" s="10" t="s">
        <v>159</v>
      </c>
      <c r="G120" s="111">
        <f>'Stavební rozpočet'!G2065</f>
      </c>
      <c r="H120" s="111">
        <f>'Stavební rozpočet'!H2065</f>
      </c>
      <c r="I120" s="111">
        <f>G120*H120</f>
      </c>
      <c r="J120" s="153" t="s">
        <v>134</v>
      </c>
      <c r="K120" s="146"/>
      <c r="Z120" s="111">
        <f>IF(AQ120="5",BJ120,0)</f>
      </c>
      <c r="AB120" s="111">
        <f>IF(AQ120="1",BH120,0)</f>
      </c>
      <c r="AC120" s="111">
        <f>IF(AQ120="1",BI120,0)</f>
      </c>
      <c r="AD120" s="111">
        <f>IF(AQ120="7",BH120,0)</f>
      </c>
      <c r="AE120" s="111">
        <f>IF(AQ120="7",BI120,0)</f>
      </c>
      <c r="AF120" s="111">
        <f>IF(AQ120="2",BH120,0)</f>
      </c>
      <c r="AG120" s="111">
        <f>IF(AQ120="2",BI120,0)</f>
      </c>
      <c r="AH120" s="111">
        <f>IF(AQ120="0",BJ120,0)</f>
      </c>
      <c r="AI120" s="132" t="s">
        <v>87</v>
      </c>
      <c r="AJ120" s="111">
        <f>IF(AN120=0,I120,0)</f>
      </c>
      <c r="AK120" s="111">
        <f>IF(AN120=12,I120,0)</f>
      </c>
      <c r="AL120" s="111">
        <f>IF(AN120=21,I120,0)</f>
      </c>
      <c r="AN120" s="111" t="n">
        <v>21</v>
      </c>
      <c r="AO120" s="111">
        <f>H120*0.670236395</f>
      </c>
      <c r="AP120" s="111">
        <f>H120*(1-0.670236395)</f>
      </c>
      <c r="AQ120" s="153" t="s">
        <v>130</v>
      </c>
      <c r="AV120" s="111">
        <f>AW120+AX120</f>
      </c>
      <c r="AW120" s="111">
        <f>G120*AO120</f>
      </c>
      <c r="AX120" s="111">
        <f>G120*AP120</f>
      </c>
      <c r="AY120" s="153" t="s">
        <v>3150</v>
      </c>
      <c r="AZ120" s="153" t="s">
        <v>3151</v>
      </c>
      <c r="BA120" s="132" t="s">
        <v>2990</v>
      </c>
      <c r="BC120" s="111">
        <f>AW120+AX120</f>
      </c>
      <c r="BD120" s="111">
        <f>H120/(100-BE120)*100</f>
      </c>
      <c r="BE120" s="111" t="n">
        <v>0</v>
      </c>
      <c r="BF120" s="111">
        <f>120</f>
      </c>
      <c r="BH120" s="111">
        <f>G120*AO120</f>
      </c>
      <c r="BI120" s="111">
        <f>G120*AP120</f>
      </c>
      <c r="BJ120" s="111">
        <f>G120*H120</f>
      </c>
      <c r="BK120" s="111"/>
      <c r="BL120" s="111" t="n">
        <v>38</v>
      </c>
      <c r="BW120" s="111" t="n">
        <v>21</v>
      </c>
      <c r="BX120" s="14" t="s">
        <v>3156</v>
      </c>
    </row>
    <row r="121" customHeight="true" ht="13.5">
      <c r="A121" s="159"/>
      <c r="C121" s="160" t="s">
        <v>146</v>
      </c>
      <c r="D121" s="161" t="s">
        <v>3157</v>
      </c>
      <c r="E121" s="156"/>
      <c r="F121" s="156"/>
      <c r="G121" s="156"/>
      <c r="H121" s="156"/>
      <c r="I121" s="156"/>
      <c r="J121" s="156"/>
      <c r="K121" s="163"/>
    </row>
    <row r="122">
      <c r="A122" s="154"/>
      <c r="B122" s="155"/>
      <c r="C122" s="155"/>
      <c r="D122" s="156" t="s">
        <v>3158</v>
      </c>
      <c r="E122" s="156" t="s">
        <v>3159</v>
      </c>
      <c r="F122" s="155"/>
      <c r="G122" s="157" t="n">
        <v>0.5</v>
      </c>
      <c r="H122" s="155"/>
      <c r="I122" s="155"/>
      <c r="J122" s="155"/>
      <c r="K122" s="146"/>
    </row>
    <row r="123">
      <c r="A123" s="147" t="s">
        <v>4</v>
      </c>
      <c r="B123" s="148" t="s">
        <v>87</v>
      </c>
      <c r="C123" s="148" t="s">
        <v>450</v>
      </c>
      <c r="D123" s="149" t="s">
        <v>3160</v>
      </c>
      <c r="E123" s="148"/>
      <c r="F123" s="150" t="s">
        <v>79</v>
      </c>
      <c r="G123" s="150" t="s">
        <v>79</v>
      </c>
      <c r="H123" s="150" t="s">
        <v>79</v>
      </c>
      <c r="I123" s="117">
        <f>SUM(I124:I144)</f>
      </c>
      <c r="J123" s="132" t="s">
        <v>4</v>
      </c>
      <c r="K123" s="146"/>
      <c r="AI123" s="132" t="s">
        <v>87</v>
      </c>
      <c r="AS123" s="117">
        <f>SUM(AJ124:AJ144)</f>
      </c>
      <c r="AT123" s="117">
        <f>SUM(AK124:AK144)</f>
      </c>
      <c r="AU123" s="117">
        <f>SUM(AL124:AL144)</f>
      </c>
    </row>
    <row r="124">
      <c r="A124" s="9" t="s">
        <v>387</v>
      </c>
      <c r="B124" s="10" t="s">
        <v>87</v>
      </c>
      <c r="C124" s="10" t="s">
        <v>3162</v>
      </c>
      <c r="D124" s="14" t="s">
        <v>3163</v>
      </c>
      <c r="E124" s="10"/>
      <c r="F124" s="10" t="s">
        <v>159</v>
      </c>
      <c r="G124" s="111">
        <f>'Stavební rozpočet'!G2069</f>
      </c>
      <c r="H124" s="111">
        <f>'Stavební rozpočet'!H2069</f>
      </c>
      <c r="I124" s="111">
        <f>G124*H124</f>
      </c>
      <c r="J124" s="153" t="s">
        <v>134</v>
      </c>
      <c r="K124" s="146"/>
      <c r="Z124" s="111">
        <f>IF(AQ124="5",BJ124,0)</f>
      </c>
      <c r="AB124" s="111">
        <f>IF(AQ124="1",BH124,0)</f>
      </c>
      <c r="AC124" s="111">
        <f>IF(AQ124="1",BI124,0)</f>
      </c>
      <c r="AD124" s="111">
        <f>IF(AQ124="7",BH124,0)</f>
      </c>
      <c r="AE124" s="111">
        <f>IF(AQ124="7",BI124,0)</f>
      </c>
      <c r="AF124" s="111">
        <f>IF(AQ124="2",BH124,0)</f>
      </c>
      <c r="AG124" s="111">
        <f>IF(AQ124="2",BI124,0)</f>
      </c>
      <c r="AH124" s="111">
        <f>IF(AQ124="0",BJ124,0)</f>
      </c>
      <c r="AI124" s="132" t="s">
        <v>87</v>
      </c>
      <c r="AJ124" s="111">
        <f>IF(AN124=0,I124,0)</f>
      </c>
      <c r="AK124" s="111">
        <f>IF(AN124=12,I124,0)</f>
      </c>
      <c r="AL124" s="111">
        <f>IF(AN124=21,I124,0)</f>
      </c>
      <c r="AN124" s="111" t="n">
        <v>21</v>
      </c>
      <c r="AO124" s="111">
        <f>H124*0.464157787</f>
      </c>
      <c r="AP124" s="111">
        <f>H124*(1-0.464157787)</f>
      </c>
      <c r="AQ124" s="153" t="s">
        <v>130</v>
      </c>
      <c r="AV124" s="111">
        <f>AW124+AX124</f>
      </c>
      <c r="AW124" s="111">
        <f>G124*AO124</f>
      </c>
      <c r="AX124" s="111">
        <f>G124*AP124</f>
      </c>
      <c r="AY124" s="153" t="s">
        <v>3164</v>
      </c>
      <c r="AZ124" s="153" t="s">
        <v>3165</v>
      </c>
      <c r="BA124" s="132" t="s">
        <v>2990</v>
      </c>
      <c r="BC124" s="111">
        <f>AW124+AX124</f>
      </c>
      <c r="BD124" s="111">
        <f>H124/(100-BE124)*100</f>
      </c>
      <c r="BE124" s="111" t="n">
        <v>0</v>
      </c>
      <c r="BF124" s="111">
        <f>124</f>
      </c>
      <c r="BH124" s="111">
        <f>G124*AO124</f>
      </c>
      <c r="BI124" s="111">
        <f>G124*AP124</f>
      </c>
      <c r="BJ124" s="111">
        <f>G124*H124</f>
      </c>
      <c r="BK124" s="111"/>
      <c r="BL124" s="111" t="n">
        <v>45</v>
      </c>
      <c r="BW124" s="111" t="n">
        <v>21</v>
      </c>
      <c r="BX124" s="14" t="s">
        <v>3163</v>
      </c>
    </row>
    <row r="125" customHeight="true" ht="13.5">
      <c r="A125" s="159"/>
      <c r="C125" s="160" t="s">
        <v>146</v>
      </c>
      <c r="D125" s="161" t="s">
        <v>3166</v>
      </c>
      <c r="E125" s="156"/>
      <c r="F125" s="156"/>
      <c r="G125" s="156"/>
      <c r="H125" s="156"/>
      <c r="I125" s="156"/>
      <c r="J125" s="156"/>
      <c r="K125" s="163"/>
    </row>
    <row r="126">
      <c r="A126" s="154"/>
      <c r="B126" s="155"/>
      <c r="C126" s="155"/>
      <c r="D126" s="156" t="s">
        <v>3167</v>
      </c>
      <c r="E126" s="156" t="s">
        <v>3032</v>
      </c>
      <c r="F126" s="155"/>
      <c r="G126" s="157" t="n">
        <v>3.52</v>
      </c>
      <c r="H126" s="155"/>
      <c r="I126" s="155"/>
      <c r="J126" s="155"/>
      <c r="K126" s="146"/>
    </row>
    <row r="127">
      <c r="A127" s="154"/>
      <c r="B127" s="155"/>
      <c r="C127" s="155"/>
      <c r="D127" s="156" t="s">
        <v>3168</v>
      </c>
      <c r="E127" s="156" t="s">
        <v>3034</v>
      </c>
      <c r="F127" s="155"/>
      <c r="G127" s="157" t="n">
        <v>14.145</v>
      </c>
      <c r="H127" s="155"/>
      <c r="I127" s="155"/>
      <c r="J127" s="155"/>
      <c r="K127" s="146"/>
    </row>
    <row r="128">
      <c r="A128" s="154"/>
      <c r="B128" s="155"/>
      <c r="C128" s="155"/>
      <c r="D128" s="156" t="s">
        <v>3169</v>
      </c>
      <c r="E128" s="156" t="s">
        <v>3036</v>
      </c>
      <c r="F128" s="155"/>
      <c r="G128" s="157" t="n">
        <v>22.68</v>
      </c>
      <c r="H128" s="155"/>
      <c r="I128" s="155"/>
      <c r="J128" s="155"/>
      <c r="K128" s="146"/>
    </row>
    <row r="129">
      <c r="A129" s="154"/>
      <c r="B129" s="155"/>
      <c r="C129" s="155"/>
      <c r="D129" s="156" t="s">
        <v>3170</v>
      </c>
      <c r="E129" s="156" t="s">
        <v>3015</v>
      </c>
      <c r="F129" s="155"/>
      <c r="G129" s="157" t="n">
        <v>0.84</v>
      </c>
      <c r="H129" s="155"/>
      <c r="I129" s="155"/>
      <c r="J129" s="155"/>
      <c r="K129" s="146"/>
    </row>
    <row r="130">
      <c r="A130" s="154"/>
      <c r="B130" s="155"/>
      <c r="C130" s="155"/>
      <c r="D130" s="156" t="s">
        <v>3171</v>
      </c>
      <c r="E130" s="156" t="s">
        <v>3030</v>
      </c>
      <c r="F130" s="155"/>
      <c r="G130" s="157" t="n">
        <v>3.0375</v>
      </c>
      <c r="H130" s="155"/>
      <c r="I130" s="155"/>
      <c r="J130" s="155"/>
      <c r="K130" s="146"/>
    </row>
    <row r="131">
      <c r="A131" s="154"/>
      <c r="B131" s="155"/>
      <c r="C131" s="155"/>
      <c r="D131" s="156" t="s">
        <v>3172</v>
      </c>
      <c r="E131" s="156" t="s">
        <v>3143</v>
      </c>
      <c r="F131" s="155"/>
      <c r="G131" s="157" t="n">
        <v>1.24416</v>
      </c>
      <c r="H131" s="155"/>
      <c r="I131" s="155"/>
      <c r="J131" s="155"/>
      <c r="K131" s="146"/>
    </row>
    <row r="132">
      <c r="A132" s="154"/>
      <c r="B132" s="155"/>
      <c r="C132" s="155"/>
      <c r="D132" s="156" t="s">
        <v>3173</v>
      </c>
      <c r="E132" s="156" t="s">
        <v>3145</v>
      </c>
      <c r="F132" s="155"/>
      <c r="G132" s="157" t="n">
        <v>0.6</v>
      </c>
      <c r="H132" s="155"/>
      <c r="I132" s="155"/>
      <c r="J132" s="155"/>
      <c r="K132" s="146"/>
    </row>
    <row r="133">
      <c r="A133" s="9" t="s">
        <v>392</v>
      </c>
      <c r="B133" s="10" t="s">
        <v>87</v>
      </c>
      <c r="C133" s="10" t="s">
        <v>3175</v>
      </c>
      <c r="D133" s="14" t="s">
        <v>3176</v>
      </c>
      <c r="E133" s="10"/>
      <c r="F133" s="10" t="s">
        <v>159</v>
      </c>
      <c r="G133" s="111">
        <f>'Stavební rozpočet'!G2078</f>
      </c>
      <c r="H133" s="111">
        <f>'Stavební rozpočet'!H2078</f>
      </c>
      <c r="I133" s="111">
        <f>G133*H133</f>
      </c>
      <c r="J133" s="153" t="s">
        <v>134</v>
      </c>
      <c r="K133" s="146"/>
      <c r="Z133" s="111">
        <f>IF(AQ133="5",BJ133,0)</f>
      </c>
      <c r="AB133" s="111">
        <f>IF(AQ133="1",BH133,0)</f>
      </c>
      <c r="AC133" s="111">
        <f>IF(AQ133="1",BI133,0)</f>
      </c>
      <c r="AD133" s="111">
        <f>IF(AQ133="7",BH133,0)</f>
      </c>
      <c r="AE133" s="111">
        <f>IF(AQ133="7",BI133,0)</f>
      </c>
      <c r="AF133" s="111">
        <f>IF(AQ133="2",BH133,0)</f>
      </c>
      <c r="AG133" s="111">
        <f>IF(AQ133="2",BI133,0)</f>
      </c>
      <c r="AH133" s="111">
        <f>IF(AQ133="0",BJ133,0)</f>
      </c>
      <c r="AI133" s="132" t="s">
        <v>87</v>
      </c>
      <c r="AJ133" s="111">
        <f>IF(AN133=0,I133,0)</f>
      </c>
      <c r="AK133" s="111">
        <f>IF(AN133=12,I133,0)</f>
      </c>
      <c r="AL133" s="111">
        <f>IF(AN133=21,I133,0)</f>
      </c>
      <c r="AN133" s="111" t="n">
        <v>21</v>
      </c>
      <c r="AO133" s="111">
        <f>H133*0.806813864</f>
      </c>
      <c r="AP133" s="111">
        <f>H133*(1-0.806813864)</f>
      </c>
      <c r="AQ133" s="153" t="s">
        <v>130</v>
      </c>
      <c r="AV133" s="111">
        <f>AW133+AX133</f>
      </c>
      <c r="AW133" s="111">
        <f>G133*AO133</f>
      </c>
      <c r="AX133" s="111">
        <f>G133*AP133</f>
      </c>
      <c r="AY133" s="153" t="s">
        <v>3164</v>
      </c>
      <c r="AZ133" s="153" t="s">
        <v>3165</v>
      </c>
      <c r="BA133" s="132" t="s">
        <v>2990</v>
      </c>
      <c r="BC133" s="111">
        <f>AW133+AX133</f>
      </c>
      <c r="BD133" s="111">
        <f>H133/(100-BE133)*100</f>
      </c>
      <c r="BE133" s="111" t="n">
        <v>0</v>
      </c>
      <c r="BF133" s="111">
        <f>133</f>
      </c>
      <c r="BH133" s="111">
        <f>G133*AO133</f>
      </c>
      <c r="BI133" s="111">
        <f>G133*AP133</f>
      </c>
      <c r="BJ133" s="111">
        <f>G133*H133</f>
      </c>
      <c r="BK133" s="111"/>
      <c r="BL133" s="111" t="n">
        <v>45</v>
      </c>
      <c r="BW133" s="111" t="n">
        <v>21</v>
      </c>
      <c r="BX133" s="14" t="s">
        <v>3176</v>
      </c>
    </row>
    <row r="134">
      <c r="A134" s="154"/>
      <c r="B134" s="155"/>
      <c r="C134" s="155"/>
      <c r="D134" s="156" t="s">
        <v>3177</v>
      </c>
      <c r="E134" s="156" t="s">
        <v>3015</v>
      </c>
      <c r="F134" s="155"/>
      <c r="G134" s="157" t="n">
        <v>0.224</v>
      </c>
      <c r="H134" s="155"/>
      <c r="I134" s="155"/>
      <c r="J134" s="155"/>
      <c r="K134" s="146"/>
    </row>
    <row r="135">
      <c r="A135" s="9" t="s">
        <v>395</v>
      </c>
      <c r="B135" s="10" t="s">
        <v>87</v>
      </c>
      <c r="C135" s="10" t="s">
        <v>3179</v>
      </c>
      <c r="D135" s="14" t="s">
        <v>3180</v>
      </c>
      <c r="E135" s="10"/>
      <c r="F135" s="10" t="s">
        <v>159</v>
      </c>
      <c r="G135" s="111">
        <f>'Stavební rozpočet'!G2080</f>
      </c>
      <c r="H135" s="111">
        <f>'Stavební rozpočet'!H2080</f>
      </c>
      <c r="I135" s="111">
        <f>G135*H135</f>
      </c>
      <c r="J135" s="153" t="s">
        <v>134</v>
      </c>
      <c r="K135" s="146"/>
      <c r="Z135" s="111">
        <f>IF(AQ135="5",BJ135,0)</f>
      </c>
      <c r="AB135" s="111">
        <f>IF(AQ135="1",BH135,0)</f>
      </c>
      <c r="AC135" s="111">
        <f>IF(AQ135="1",BI135,0)</f>
      </c>
      <c r="AD135" s="111">
        <f>IF(AQ135="7",BH135,0)</f>
      </c>
      <c r="AE135" s="111">
        <f>IF(AQ135="7",BI135,0)</f>
      </c>
      <c r="AF135" s="111">
        <f>IF(AQ135="2",BH135,0)</f>
      </c>
      <c r="AG135" s="111">
        <f>IF(AQ135="2",BI135,0)</f>
      </c>
      <c r="AH135" s="111">
        <f>IF(AQ135="0",BJ135,0)</f>
      </c>
      <c r="AI135" s="132" t="s">
        <v>87</v>
      </c>
      <c r="AJ135" s="111">
        <f>IF(AN135=0,I135,0)</f>
      </c>
      <c r="AK135" s="111">
        <f>IF(AN135=12,I135,0)</f>
      </c>
      <c r="AL135" s="111">
        <f>IF(AN135=21,I135,0)</f>
      </c>
      <c r="AN135" s="111" t="n">
        <v>21</v>
      </c>
      <c r="AO135" s="111">
        <f>H135*0.832598829</f>
      </c>
      <c r="AP135" s="111">
        <f>H135*(1-0.832598829)</f>
      </c>
      <c r="AQ135" s="153" t="s">
        <v>130</v>
      </c>
      <c r="AV135" s="111">
        <f>AW135+AX135</f>
      </c>
      <c r="AW135" s="111">
        <f>G135*AO135</f>
      </c>
      <c r="AX135" s="111">
        <f>G135*AP135</f>
      </c>
      <c r="AY135" s="153" t="s">
        <v>3164</v>
      </c>
      <c r="AZ135" s="153" t="s">
        <v>3165</v>
      </c>
      <c r="BA135" s="132" t="s">
        <v>2990</v>
      </c>
      <c r="BC135" s="111">
        <f>AW135+AX135</f>
      </c>
      <c r="BD135" s="111">
        <f>H135/(100-BE135)*100</f>
      </c>
      <c r="BE135" s="111" t="n">
        <v>0</v>
      </c>
      <c r="BF135" s="111">
        <f>135</f>
      </c>
      <c r="BH135" s="111">
        <f>G135*AO135</f>
      </c>
      <c r="BI135" s="111">
        <f>G135*AP135</f>
      </c>
      <c r="BJ135" s="111">
        <f>G135*H135</f>
      </c>
      <c r="BK135" s="111"/>
      <c r="BL135" s="111" t="n">
        <v>45</v>
      </c>
      <c r="BW135" s="111" t="n">
        <v>21</v>
      </c>
      <c r="BX135" s="14" t="s">
        <v>3180</v>
      </c>
    </row>
    <row r="136">
      <c r="A136" s="154"/>
      <c r="B136" s="155"/>
      <c r="C136" s="155"/>
      <c r="D136" s="156" t="s">
        <v>3181</v>
      </c>
      <c r="E136" s="156" t="s">
        <v>3143</v>
      </c>
      <c r="F136" s="155"/>
      <c r="G136" s="157" t="n">
        <v>1.65888</v>
      </c>
      <c r="H136" s="155"/>
      <c r="I136" s="155"/>
      <c r="J136" s="155"/>
      <c r="K136" s="146"/>
    </row>
    <row r="137">
      <c r="A137" s="154"/>
      <c r="B137" s="155"/>
      <c r="C137" s="155"/>
      <c r="D137" s="156" t="s">
        <v>2820</v>
      </c>
      <c r="E137" s="156" t="s">
        <v>3145</v>
      </c>
      <c r="F137" s="155"/>
      <c r="G137" s="157" t="n">
        <v>0.8</v>
      </c>
      <c r="H137" s="155"/>
      <c r="I137" s="155"/>
      <c r="J137" s="155"/>
      <c r="K137" s="146"/>
    </row>
    <row r="138">
      <c r="A138" s="9" t="s">
        <v>407</v>
      </c>
      <c r="B138" s="10" t="s">
        <v>87</v>
      </c>
      <c r="C138" s="10" t="s">
        <v>3183</v>
      </c>
      <c r="D138" s="14" t="s">
        <v>3184</v>
      </c>
      <c r="E138" s="10"/>
      <c r="F138" s="10" t="s">
        <v>145</v>
      </c>
      <c r="G138" s="111">
        <f>'Stavební rozpočet'!G2083</f>
      </c>
      <c r="H138" s="111">
        <f>'Stavební rozpočet'!H2083</f>
      </c>
      <c r="I138" s="111">
        <f>G138*H138</f>
      </c>
      <c r="J138" s="153" t="s">
        <v>134</v>
      </c>
      <c r="K138" s="146"/>
      <c r="Z138" s="111">
        <f>IF(AQ138="5",BJ138,0)</f>
      </c>
      <c r="AB138" s="111">
        <f>IF(AQ138="1",BH138,0)</f>
      </c>
      <c r="AC138" s="111">
        <f>IF(AQ138="1",BI138,0)</f>
      </c>
      <c r="AD138" s="111">
        <f>IF(AQ138="7",BH138,0)</f>
      </c>
      <c r="AE138" s="111">
        <f>IF(AQ138="7",BI138,0)</f>
      </c>
      <c r="AF138" s="111">
        <f>IF(AQ138="2",BH138,0)</f>
      </c>
      <c r="AG138" s="111">
        <f>IF(AQ138="2",BI138,0)</f>
      </c>
      <c r="AH138" s="111">
        <f>IF(AQ138="0",BJ138,0)</f>
      </c>
      <c r="AI138" s="132" t="s">
        <v>87</v>
      </c>
      <c r="AJ138" s="111">
        <f>IF(AN138=0,I138,0)</f>
      </c>
      <c r="AK138" s="111">
        <f>IF(AN138=12,I138,0)</f>
      </c>
      <c r="AL138" s="111">
        <f>IF(AN138=21,I138,0)</f>
      </c>
      <c r="AN138" s="111" t="n">
        <v>21</v>
      </c>
      <c r="AO138" s="111">
        <f>H138*0.15904</f>
      </c>
      <c r="AP138" s="111">
        <f>H138*(1-0.15904)</f>
      </c>
      <c r="AQ138" s="153" t="s">
        <v>130</v>
      </c>
      <c r="AV138" s="111">
        <f>AW138+AX138</f>
      </c>
      <c r="AW138" s="111">
        <f>G138*AO138</f>
      </c>
      <c r="AX138" s="111">
        <f>G138*AP138</f>
      </c>
      <c r="AY138" s="153" t="s">
        <v>3164</v>
      </c>
      <c r="AZ138" s="153" t="s">
        <v>3165</v>
      </c>
      <c r="BA138" s="132" t="s">
        <v>2990</v>
      </c>
      <c r="BC138" s="111">
        <f>AW138+AX138</f>
      </c>
      <c r="BD138" s="111">
        <f>H138/(100-BE138)*100</f>
      </c>
      <c r="BE138" s="111" t="n">
        <v>0</v>
      </c>
      <c r="BF138" s="111">
        <f>138</f>
      </c>
      <c r="BH138" s="111">
        <f>G138*AO138</f>
      </c>
      <c r="BI138" s="111">
        <f>G138*AP138</f>
      </c>
      <c r="BJ138" s="111">
        <f>G138*H138</f>
      </c>
      <c r="BK138" s="111"/>
      <c r="BL138" s="111" t="n">
        <v>45</v>
      </c>
      <c r="BW138" s="111" t="n">
        <v>21</v>
      </c>
      <c r="BX138" s="14" t="s">
        <v>3184</v>
      </c>
    </row>
    <row r="139">
      <c r="A139" s="154"/>
      <c r="B139" s="155"/>
      <c r="C139" s="155"/>
      <c r="D139" s="156" t="s">
        <v>3185</v>
      </c>
      <c r="E139" s="156" t="s">
        <v>3015</v>
      </c>
      <c r="F139" s="155"/>
      <c r="G139" s="157" t="n">
        <v>0.6</v>
      </c>
      <c r="H139" s="155"/>
      <c r="I139" s="155"/>
      <c r="J139" s="155"/>
      <c r="K139" s="146"/>
    </row>
    <row r="140">
      <c r="A140" s="154"/>
      <c r="B140" s="155"/>
      <c r="C140" s="155"/>
      <c r="D140" s="156" t="s">
        <v>3186</v>
      </c>
      <c r="E140" s="156" t="s">
        <v>3143</v>
      </c>
      <c r="F140" s="155"/>
      <c r="G140" s="157" t="n">
        <v>2.90304</v>
      </c>
      <c r="H140" s="155"/>
      <c r="I140" s="155"/>
      <c r="J140" s="155"/>
      <c r="K140" s="146"/>
    </row>
    <row r="141">
      <c r="A141" s="154"/>
      <c r="B141" s="155"/>
      <c r="C141" s="155"/>
      <c r="D141" s="156" t="s">
        <v>3187</v>
      </c>
      <c r="E141" s="156" t="s">
        <v>3145</v>
      </c>
      <c r="F141" s="155"/>
      <c r="G141" s="157" t="n">
        <v>1.4</v>
      </c>
      <c r="H141" s="155"/>
      <c r="I141" s="155"/>
      <c r="J141" s="155"/>
      <c r="K141" s="146"/>
    </row>
    <row r="142">
      <c r="A142" s="9" t="s">
        <v>411</v>
      </c>
      <c r="B142" s="10" t="s">
        <v>87</v>
      </c>
      <c r="C142" s="10" t="s">
        <v>3189</v>
      </c>
      <c r="D142" s="14" t="s">
        <v>3190</v>
      </c>
      <c r="E142" s="10"/>
      <c r="F142" s="10" t="s">
        <v>159</v>
      </c>
      <c r="G142" s="111">
        <f>'Stavební rozpočet'!G2087</f>
      </c>
      <c r="H142" s="111">
        <f>'Stavební rozpočet'!H2087</f>
      </c>
      <c r="I142" s="111">
        <f>G142*H142</f>
      </c>
      <c r="J142" s="153" t="s">
        <v>134</v>
      </c>
      <c r="K142" s="146"/>
      <c r="Z142" s="111">
        <f>IF(AQ142="5",BJ142,0)</f>
      </c>
      <c r="AB142" s="111">
        <f>IF(AQ142="1",BH142,0)</f>
      </c>
      <c r="AC142" s="111">
        <f>IF(AQ142="1",BI142,0)</f>
      </c>
      <c r="AD142" s="111">
        <f>IF(AQ142="7",BH142,0)</f>
      </c>
      <c r="AE142" s="111">
        <f>IF(AQ142="7",BI142,0)</f>
      </c>
      <c r="AF142" s="111">
        <f>IF(AQ142="2",BH142,0)</f>
      </c>
      <c r="AG142" s="111">
        <f>IF(AQ142="2",BI142,0)</f>
      </c>
      <c r="AH142" s="111">
        <f>IF(AQ142="0",BJ142,0)</f>
      </c>
      <c r="AI142" s="132" t="s">
        <v>87</v>
      </c>
      <c r="AJ142" s="111">
        <f>IF(AN142=0,I142,0)</f>
      </c>
      <c r="AK142" s="111">
        <f>IF(AN142=12,I142,0)</f>
      </c>
      <c r="AL142" s="111">
        <f>IF(AN142=21,I142,0)</f>
      </c>
      <c r="AN142" s="111" t="n">
        <v>21</v>
      </c>
      <c r="AO142" s="111">
        <f>H142*0.910629235</f>
      </c>
      <c r="AP142" s="111">
        <f>H142*(1-0.910629235)</f>
      </c>
      <c r="AQ142" s="153" t="s">
        <v>130</v>
      </c>
      <c r="AV142" s="111">
        <f>AW142+AX142</f>
      </c>
      <c r="AW142" s="111">
        <f>G142*AO142</f>
      </c>
      <c r="AX142" s="111">
        <f>G142*AP142</f>
      </c>
      <c r="AY142" s="153" t="s">
        <v>3164</v>
      </c>
      <c r="AZ142" s="153" t="s">
        <v>3165</v>
      </c>
      <c r="BA142" s="132" t="s">
        <v>2990</v>
      </c>
      <c r="BC142" s="111">
        <f>AW142+AX142</f>
      </c>
      <c r="BD142" s="111">
        <f>H142/(100-BE142)*100</f>
      </c>
      <c r="BE142" s="111" t="n">
        <v>0</v>
      </c>
      <c r="BF142" s="111">
        <f>142</f>
      </c>
      <c r="BH142" s="111">
        <f>G142*AO142</f>
      </c>
      <c r="BI142" s="111">
        <f>G142*AP142</f>
      </c>
      <c r="BJ142" s="111">
        <f>G142*H142</f>
      </c>
      <c r="BK142" s="111"/>
      <c r="BL142" s="111" t="n">
        <v>45</v>
      </c>
      <c r="BW142" s="111" t="n">
        <v>21</v>
      </c>
      <c r="BX142" s="14" t="s">
        <v>3190</v>
      </c>
    </row>
    <row r="143">
      <c r="A143" s="154"/>
      <c r="B143" s="155"/>
      <c r="C143" s="155"/>
      <c r="D143" s="156" t="s">
        <v>3191</v>
      </c>
      <c r="E143" s="156" t="s">
        <v>3085</v>
      </c>
      <c r="F143" s="155"/>
      <c r="G143" s="157" t="n">
        <v>103.85845</v>
      </c>
      <c r="H143" s="155"/>
      <c r="I143" s="155"/>
      <c r="J143" s="155"/>
      <c r="K143" s="146"/>
    </row>
    <row r="144">
      <c r="A144" s="9" t="s">
        <v>416</v>
      </c>
      <c r="B144" s="10" t="s">
        <v>87</v>
      </c>
      <c r="C144" s="10" t="s">
        <v>3193</v>
      </c>
      <c r="D144" s="14" t="s">
        <v>3194</v>
      </c>
      <c r="E144" s="10"/>
      <c r="F144" s="10" t="s">
        <v>159</v>
      </c>
      <c r="G144" s="111">
        <f>'Stavební rozpočet'!G2089</f>
      </c>
      <c r="H144" s="111">
        <f>'Stavební rozpočet'!H2089</f>
      </c>
      <c r="I144" s="111">
        <f>G144*H144</f>
      </c>
      <c r="J144" s="153" t="s">
        <v>134</v>
      </c>
      <c r="K144" s="146"/>
      <c r="Z144" s="111">
        <f>IF(AQ144="5",BJ144,0)</f>
      </c>
      <c r="AB144" s="111">
        <f>IF(AQ144="1",BH144,0)</f>
      </c>
      <c r="AC144" s="111">
        <f>IF(AQ144="1",BI144,0)</f>
      </c>
      <c r="AD144" s="111">
        <f>IF(AQ144="7",BH144,0)</f>
      </c>
      <c r="AE144" s="111">
        <f>IF(AQ144="7",BI144,0)</f>
      </c>
      <c r="AF144" s="111">
        <f>IF(AQ144="2",BH144,0)</f>
      </c>
      <c r="AG144" s="111">
        <f>IF(AQ144="2",BI144,0)</f>
      </c>
      <c r="AH144" s="111">
        <f>IF(AQ144="0",BJ144,0)</f>
      </c>
      <c r="AI144" s="132" t="s">
        <v>87</v>
      </c>
      <c r="AJ144" s="111">
        <f>IF(AN144=0,I144,0)</f>
      </c>
      <c r="AK144" s="111">
        <f>IF(AN144=12,I144,0)</f>
      </c>
      <c r="AL144" s="111">
        <f>IF(AN144=21,I144,0)</f>
      </c>
      <c r="AN144" s="111" t="n">
        <v>21</v>
      </c>
      <c r="AO144" s="111">
        <f>H144*0.857632857</f>
      </c>
      <c r="AP144" s="111">
        <f>H144*(1-0.857632857)</f>
      </c>
      <c r="AQ144" s="153" t="s">
        <v>130</v>
      </c>
      <c r="AV144" s="111">
        <f>AW144+AX144</f>
      </c>
      <c r="AW144" s="111">
        <f>G144*AO144</f>
      </c>
      <c r="AX144" s="111">
        <f>G144*AP144</f>
      </c>
      <c r="AY144" s="153" t="s">
        <v>3164</v>
      </c>
      <c r="AZ144" s="153" t="s">
        <v>3165</v>
      </c>
      <c r="BA144" s="132" t="s">
        <v>2990</v>
      </c>
      <c r="BC144" s="111">
        <f>AW144+AX144</f>
      </c>
      <c r="BD144" s="111">
        <f>H144/(100-BE144)*100</f>
      </c>
      <c r="BE144" s="111" t="n">
        <v>0</v>
      </c>
      <c r="BF144" s="111">
        <f>144</f>
      </c>
      <c r="BH144" s="111">
        <f>G144*AO144</f>
      </c>
      <c r="BI144" s="111">
        <f>G144*AP144</f>
      </c>
      <c r="BJ144" s="111">
        <f>G144*H144</f>
      </c>
      <c r="BK144" s="111"/>
      <c r="BL144" s="111" t="n">
        <v>45</v>
      </c>
      <c r="BW144" s="111" t="n">
        <v>21</v>
      </c>
      <c r="BX144" s="14" t="s">
        <v>3194</v>
      </c>
    </row>
    <row r="145" customHeight="true" ht="13.5">
      <c r="A145" s="159"/>
      <c r="C145" s="160" t="s">
        <v>146</v>
      </c>
      <c r="D145" s="161" t="s">
        <v>3166</v>
      </c>
      <c r="E145" s="156"/>
      <c r="F145" s="156"/>
      <c r="G145" s="156"/>
      <c r="H145" s="156"/>
      <c r="I145" s="156"/>
      <c r="J145" s="156"/>
      <c r="K145" s="163"/>
    </row>
    <row r="146">
      <c r="A146" s="154"/>
      <c r="B146" s="155"/>
      <c r="C146" s="155"/>
      <c r="D146" s="156" t="s">
        <v>3195</v>
      </c>
      <c r="E146" s="156" t="s">
        <v>3085</v>
      </c>
      <c r="F146" s="155"/>
      <c r="G146" s="157" t="n">
        <v>156.18325</v>
      </c>
      <c r="H146" s="155"/>
      <c r="I146" s="155"/>
      <c r="J146" s="155"/>
      <c r="K146" s="146"/>
    </row>
    <row r="147">
      <c r="A147" s="147" t="s">
        <v>4</v>
      </c>
      <c r="B147" s="148" t="s">
        <v>87</v>
      </c>
      <c r="C147" s="148" t="s">
        <v>525</v>
      </c>
      <c r="D147" s="149" t="s">
        <v>934</v>
      </c>
      <c r="E147" s="148"/>
      <c r="F147" s="150" t="s">
        <v>79</v>
      </c>
      <c r="G147" s="150" t="s">
        <v>79</v>
      </c>
      <c r="H147" s="150" t="s">
        <v>79</v>
      </c>
      <c r="I147" s="117">
        <f>SUM(I148:I148)</f>
      </c>
      <c r="J147" s="132" t="s">
        <v>4</v>
      </c>
      <c r="K147" s="146"/>
      <c r="AI147" s="132" t="s">
        <v>87</v>
      </c>
      <c r="AS147" s="117">
        <f>SUM(AJ148:AJ148)</f>
      </c>
      <c r="AT147" s="117">
        <f>SUM(AK148:AK148)</f>
      </c>
      <c r="AU147" s="117">
        <f>SUM(AL148:AL148)</f>
      </c>
    </row>
    <row r="148">
      <c r="A148" s="9" t="s">
        <v>444</v>
      </c>
      <c r="B148" s="10" t="s">
        <v>87</v>
      </c>
      <c r="C148" s="10" t="s">
        <v>3197</v>
      </c>
      <c r="D148" s="14" t="s">
        <v>3198</v>
      </c>
      <c r="E148" s="10"/>
      <c r="F148" s="10" t="s">
        <v>145</v>
      </c>
      <c r="G148" s="111">
        <f>'Stavební rozpočet'!G2093</f>
      </c>
      <c r="H148" s="111">
        <f>'Stavební rozpočet'!H2093</f>
      </c>
      <c r="I148" s="111">
        <f>G148*H148</f>
      </c>
      <c r="J148" s="153" t="s">
        <v>134</v>
      </c>
      <c r="K148" s="146"/>
      <c r="Z148" s="111">
        <f>IF(AQ148="5",BJ148,0)</f>
      </c>
      <c r="AB148" s="111">
        <f>IF(AQ148="1",BH148,0)</f>
      </c>
      <c r="AC148" s="111">
        <f>IF(AQ148="1",BI148,0)</f>
      </c>
      <c r="AD148" s="111">
        <f>IF(AQ148="7",BH148,0)</f>
      </c>
      <c r="AE148" s="111">
        <f>IF(AQ148="7",BI148,0)</f>
      </c>
      <c r="AF148" s="111">
        <f>IF(AQ148="2",BH148,0)</f>
      </c>
      <c r="AG148" s="111">
        <f>IF(AQ148="2",BI148,0)</f>
      </c>
      <c r="AH148" s="111">
        <f>IF(AQ148="0",BJ148,0)</f>
      </c>
      <c r="AI148" s="132" t="s">
        <v>87</v>
      </c>
      <c r="AJ148" s="111">
        <f>IF(AN148=0,I148,0)</f>
      </c>
      <c r="AK148" s="111">
        <f>IF(AN148=12,I148,0)</f>
      </c>
      <c r="AL148" s="111">
        <f>IF(AN148=21,I148,0)</f>
      </c>
      <c r="AN148" s="111" t="n">
        <v>21</v>
      </c>
      <c r="AO148" s="111">
        <f>H148*0.334331654</f>
      </c>
      <c r="AP148" s="111">
        <f>H148*(1-0.334331654)</f>
      </c>
      <c r="AQ148" s="153" t="s">
        <v>130</v>
      </c>
      <c r="AV148" s="111">
        <f>AW148+AX148</f>
      </c>
      <c r="AW148" s="111">
        <f>G148*AO148</f>
      </c>
      <c r="AX148" s="111">
        <f>G148*AP148</f>
      </c>
      <c r="AY148" s="153" t="s">
        <v>938</v>
      </c>
      <c r="AZ148" s="153" t="s">
        <v>3199</v>
      </c>
      <c r="BA148" s="132" t="s">
        <v>2990</v>
      </c>
      <c r="BC148" s="111">
        <f>AW148+AX148</f>
      </c>
      <c r="BD148" s="111">
        <f>H148/(100-BE148)*100</f>
      </c>
      <c r="BE148" s="111" t="n">
        <v>0</v>
      </c>
      <c r="BF148" s="111">
        <f>148</f>
      </c>
      <c r="BH148" s="111">
        <f>G148*AO148</f>
      </c>
      <c r="BI148" s="111">
        <f>G148*AP148</f>
      </c>
      <c r="BJ148" s="111">
        <f>G148*H148</f>
      </c>
      <c r="BK148" s="111"/>
      <c r="BL148" s="111" t="n">
        <v>59</v>
      </c>
      <c r="BW148" s="111" t="n">
        <v>21</v>
      </c>
      <c r="BX148" s="14" t="s">
        <v>3198</v>
      </c>
    </row>
    <row r="149">
      <c r="A149" s="154"/>
      <c r="B149" s="155"/>
      <c r="C149" s="155"/>
      <c r="D149" s="156" t="s">
        <v>3200</v>
      </c>
      <c r="E149" s="156" t="s">
        <v>4</v>
      </c>
      <c r="F149" s="155"/>
      <c r="G149" s="157" t="n">
        <v>3</v>
      </c>
      <c r="H149" s="155"/>
      <c r="I149" s="155"/>
      <c r="J149" s="155"/>
      <c r="K149" s="146"/>
    </row>
    <row r="150">
      <c r="A150" s="147" t="s">
        <v>4</v>
      </c>
      <c r="B150" s="148" t="s">
        <v>87</v>
      </c>
      <c r="C150" s="148" t="s">
        <v>710</v>
      </c>
      <c r="D150" s="149" t="s">
        <v>3201</v>
      </c>
      <c r="E150" s="148"/>
      <c r="F150" s="150" t="s">
        <v>79</v>
      </c>
      <c r="G150" s="150" t="s">
        <v>79</v>
      </c>
      <c r="H150" s="150" t="s">
        <v>79</v>
      </c>
      <c r="I150" s="117">
        <f>SUM(I151:I163)</f>
      </c>
      <c r="J150" s="132" t="s">
        <v>4</v>
      </c>
      <c r="K150" s="146"/>
      <c r="AI150" s="132" t="s">
        <v>87</v>
      </c>
      <c r="AS150" s="117">
        <f>SUM(AJ151:AJ163)</f>
      </c>
      <c r="AT150" s="117">
        <f>SUM(AK151:AK163)</f>
      </c>
      <c r="AU150" s="117">
        <f>SUM(AL151:AL163)</f>
      </c>
    </row>
    <row r="151">
      <c r="A151" s="9" t="s">
        <v>450</v>
      </c>
      <c r="B151" s="10" t="s">
        <v>87</v>
      </c>
      <c r="C151" s="10" t="s">
        <v>3203</v>
      </c>
      <c r="D151" s="14" t="s">
        <v>3204</v>
      </c>
      <c r="E151" s="10"/>
      <c r="F151" s="10" t="s">
        <v>282</v>
      </c>
      <c r="G151" s="111">
        <f>'Stavební rozpočet'!G2096</f>
      </c>
      <c r="H151" s="111">
        <f>'Stavební rozpočet'!H2096</f>
      </c>
      <c r="I151" s="111">
        <f>G151*H151</f>
      </c>
      <c r="J151" s="153" t="s">
        <v>134</v>
      </c>
      <c r="K151" s="146"/>
      <c r="Z151" s="111">
        <f>IF(AQ151="5",BJ151,0)</f>
      </c>
      <c r="AB151" s="111">
        <f>IF(AQ151="1",BH151,0)</f>
      </c>
      <c r="AC151" s="111">
        <f>IF(AQ151="1",BI151,0)</f>
      </c>
      <c r="AD151" s="111">
        <f>IF(AQ151="7",BH151,0)</f>
      </c>
      <c r="AE151" s="111">
        <f>IF(AQ151="7",BI151,0)</f>
      </c>
      <c r="AF151" s="111">
        <f>IF(AQ151="2",BH151,0)</f>
      </c>
      <c r="AG151" s="111">
        <f>IF(AQ151="2",BI151,0)</f>
      </c>
      <c r="AH151" s="111">
        <f>IF(AQ151="0",BJ151,0)</f>
      </c>
      <c r="AI151" s="132" t="s">
        <v>87</v>
      </c>
      <c r="AJ151" s="111">
        <f>IF(AN151=0,I151,0)</f>
      </c>
      <c r="AK151" s="111">
        <f>IF(AN151=12,I151,0)</f>
      </c>
      <c r="AL151" s="111">
        <f>IF(AN151=21,I151,0)</f>
      </c>
      <c r="AN151" s="111" t="n">
        <v>21</v>
      </c>
      <c r="AO151" s="111">
        <f>H151*0</f>
      </c>
      <c r="AP151" s="111">
        <f>H151*(1-0)</f>
      </c>
      <c r="AQ151" s="153" t="s">
        <v>130</v>
      </c>
      <c r="AV151" s="111">
        <f>AW151+AX151</f>
      </c>
      <c r="AW151" s="111">
        <f>G151*AO151</f>
      </c>
      <c r="AX151" s="111">
        <f>G151*AP151</f>
      </c>
      <c r="AY151" s="153" t="s">
        <v>3205</v>
      </c>
      <c r="AZ151" s="153" t="s">
        <v>3206</v>
      </c>
      <c r="BA151" s="132" t="s">
        <v>2990</v>
      </c>
      <c r="BC151" s="111">
        <f>AW151+AX151</f>
      </c>
      <c r="BD151" s="111">
        <f>H151/(100-BE151)*100</f>
      </c>
      <c r="BE151" s="111" t="n">
        <v>0</v>
      </c>
      <c r="BF151" s="111">
        <f>151</f>
      </c>
      <c r="BH151" s="111">
        <f>G151*AO151</f>
      </c>
      <c r="BI151" s="111">
        <f>G151*AP151</f>
      </c>
      <c r="BJ151" s="111">
        <f>G151*H151</f>
      </c>
      <c r="BK151" s="111"/>
      <c r="BL151" s="111" t="n">
        <v>87</v>
      </c>
      <c r="BW151" s="111" t="n">
        <v>21</v>
      </c>
      <c r="BX151" s="14" t="s">
        <v>3204</v>
      </c>
    </row>
    <row r="152">
      <c r="A152" s="154"/>
      <c r="B152" s="155"/>
      <c r="C152" s="155"/>
      <c r="D152" s="156" t="s">
        <v>3207</v>
      </c>
      <c r="E152" s="156" t="s">
        <v>4</v>
      </c>
      <c r="F152" s="155"/>
      <c r="G152" s="157" t="n">
        <v>34</v>
      </c>
      <c r="H152" s="155"/>
      <c r="I152" s="155"/>
      <c r="J152" s="155"/>
      <c r="K152" s="146"/>
    </row>
    <row r="153">
      <c r="A153" s="9" t="s">
        <v>455</v>
      </c>
      <c r="B153" s="10" t="s">
        <v>87</v>
      </c>
      <c r="C153" s="10" t="s">
        <v>3209</v>
      </c>
      <c r="D153" s="14" t="s">
        <v>3210</v>
      </c>
      <c r="E153" s="10"/>
      <c r="F153" s="10" t="s">
        <v>282</v>
      </c>
      <c r="G153" s="111">
        <f>'Stavební rozpočet'!G2098</f>
      </c>
      <c r="H153" s="111">
        <f>'Stavební rozpočet'!H2098</f>
      </c>
      <c r="I153" s="111">
        <f>G153*H153</f>
      </c>
      <c r="J153" s="153" t="s">
        <v>134</v>
      </c>
      <c r="K153" s="146"/>
      <c r="Z153" s="111">
        <f>IF(AQ153="5",BJ153,0)</f>
      </c>
      <c r="AB153" s="111">
        <f>IF(AQ153="1",BH153,0)</f>
      </c>
      <c r="AC153" s="111">
        <f>IF(AQ153="1",BI153,0)</f>
      </c>
      <c r="AD153" s="111">
        <f>IF(AQ153="7",BH153,0)</f>
      </c>
      <c r="AE153" s="111">
        <f>IF(AQ153="7",BI153,0)</f>
      </c>
      <c r="AF153" s="111">
        <f>IF(AQ153="2",BH153,0)</f>
      </c>
      <c r="AG153" s="111">
        <f>IF(AQ153="2",BI153,0)</f>
      </c>
      <c r="AH153" s="111">
        <f>IF(AQ153="0",BJ153,0)</f>
      </c>
      <c r="AI153" s="132" t="s">
        <v>87</v>
      </c>
      <c r="AJ153" s="111">
        <f>IF(AN153=0,I153,0)</f>
      </c>
      <c r="AK153" s="111">
        <f>IF(AN153=12,I153,0)</f>
      </c>
      <c r="AL153" s="111">
        <f>IF(AN153=21,I153,0)</f>
      </c>
      <c r="AN153" s="111" t="n">
        <v>21</v>
      </c>
      <c r="AO153" s="111">
        <f>H153*0</f>
      </c>
      <c r="AP153" s="111">
        <f>H153*(1-0)</f>
      </c>
      <c r="AQ153" s="153" t="s">
        <v>130</v>
      </c>
      <c r="AV153" s="111">
        <f>AW153+AX153</f>
      </c>
      <c r="AW153" s="111">
        <f>G153*AO153</f>
      </c>
      <c r="AX153" s="111">
        <f>G153*AP153</f>
      </c>
      <c r="AY153" s="153" t="s">
        <v>3205</v>
      </c>
      <c r="AZ153" s="153" t="s">
        <v>3206</v>
      </c>
      <c r="BA153" s="132" t="s">
        <v>2990</v>
      </c>
      <c r="BC153" s="111">
        <f>AW153+AX153</f>
      </c>
      <c r="BD153" s="111">
        <f>H153/(100-BE153)*100</f>
      </c>
      <c r="BE153" s="111" t="n">
        <v>0</v>
      </c>
      <c r="BF153" s="111">
        <f>153</f>
      </c>
      <c r="BH153" s="111">
        <f>G153*AO153</f>
      </c>
      <c r="BI153" s="111">
        <f>G153*AP153</f>
      </c>
      <c r="BJ153" s="111">
        <f>G153*H153</f>
      </c>
      <c r="BK153" s="111"/>
      <c r="BL153" s="111" t="n">
        <v>87</v>
      </c>
      <c r="BW153" s="111" t="n">
        <v>21</v>
      </c>
      <c r="BX153" s="14" t="s">
        <v>3210</v>
      </c>
    </row>
    <row r="154">
      <c r="A154" s="154"/>
      <c r="B154" s="155"/>
      <c r="C154" s="155"/>
      <c r="D154" s="156" t="s">
        <v>3211</v>
      </c>
      <c r="E154" s="156" t="s">
        <v>4</v>
      </c>
      <c r="F154" s="155"/>
      <c r="G154" s="157" t="n">
        <v>26</v>
      </c>
      <c r="H154" s="155"/>
      <c r="I154" s="155"/>
      <c r="J154" s="155"/>
      <c r="K154" s="146"/>
    </row>
    <row r="155">
      <c r="A155" s="9" t="s">
        <v>460</v>
      </c>
      <c r="B155" s="10" t="s">
        <v>87</v>
      </c>
      <c r="C155" s="10" t="s">
        <v>3213</v>
      </c>
      <c r="D155" s="14" t="s">
        <v>3214</v>
      </c>
      <c r="E155" s="10"/>
      <c r="F155" s="10" t="s">
        <v>282</v>
      </c>
      <c r="G155" s="111">
        <f>'Stavební rozpočet'!G2100</f>
      </c>
      <c r="H155" s="111">
        <f>'Stavební rozpočet'!H2100</f>
      </c>
      <c r="I155" s="111">
        <f>G155*H155</f>
      </c>
      <c r="J155" s="153" t="s">
        <v>134</v>
      </c>
      <c r="K155" s="146"/>
      <c r="Z155" s="111">
        <f>IF(AQ155="5",BJ155,0)</f>
      </c>
      <c r="AB155" s="111">
        <f>IF(AQ155="1",BH155,0)</f>
      </c>
      <c r="AC155" s="111">
        <f>IF(AQ155="1",BI155,0)</f>
      </c>
      <c r="AD155" s="111">
        <f>IF(AQ155="7",BH155,0)</f>
      </c>
      <c r="AE155" s="111">
        <f>IF(AQ155="7",BI155,0)</f>
      </c>
      <c r="AF155" s="111">
        <f>IF(AQ155="2",BH155,0)</f>
      </c>
      <c r="AG155" s="111">
        <f>IF(AQ155="2",BI155,0)</f>
      </c>
      <c r="AH155" s="111">
        <f>IF(AQ155="0",BJ155,0)</f>
      </c>
      <c r="AI155" s="132" t="s">
        <v>87</v>
      </c>
      <c r="AJ155" s="111">
        <f>IF(AN155=0,I155,0)</f>
      </c>
      <c r="AK155" s="111">
        <f>IF(AN155=12,I155,0)</f>
      </c>
      <c r="AL155" s="111">
        <f>IF(AN155=21,I155,0)</f>
      </c>
      <c r="AN155" s="111" t="n">
        <v>21</v>
      </c>
      <c r="AO155" s="111">
        <f>H155*0.004444444</f>
      </c>
      <c r="AP155" s="111">
        <f>H155*(1-0.004444444)</f>
      </c>
      <c r="AQ155" s="153" t="s">
        <v>130</v>
      </c>
      <c r="AV155" s="111">
        <f>AW155+AX155</f>
      </c>
      <c r="AW155" s="111">
        <f>G155*AO155</f>
      </c>
      <c r="AX155" s="111">
        <f>G155*AP155</f>
      </c>
      <c r="AY155" s="153" t="s">
        <v>3205</v>
      </c>
      <c r="AZ155" s="153" t="s">
        <v>3206</v>
      </c>
      <c r="BA155" s="132" t="s">
        <v>2990</v>
      </c>
      <c r="BC155" s="111">
        <f>AW155+AX155</f>
      </c>
      <c r="BD155" s="111">
        <f>H155/(100-BE155)*100</f>
      </c>
      <c r="BE155" s="111" t="n">
        <v>0</v>
      </c>
      <c r="BF155" s="111">
        <f>155</f>
      </c>
      <c r="BH155" s="111">
        <f>G155*AO155</f>
      </c>
      <c r="BI155" s="111">
        <f>G155*AP155</f>
      </c>
      <c r="BJ155" s="111">
        <f>G155*H155</f>
      </c>
      <c r="BK155" s="111"/>
      <c r="BL155" s="111" t="n">
        <v>87</v>
      </c>
      <c r="BW155" s="111" t="n">
        <v>21</v>
      </c>
      <c r="BX155" s="14" t="s">
        <v>3214</v>
      </c>
    </row>
    <row r="156">
      <c r="A156" s="154"/>
      <c r="B156" s="155"/>
      <c r="C156" s="155"/>
      <c r="D156" s="156" t="s">
        <v>3215</v>
      </c>
      <c r="E156" s="156" t="s">
        <v>4</v>
      </c>
      <c r="F156" s="155"/>
      <c r="G156" s="157" t="n">
        <v>33</v>
      </c>
      <c r="H156" s="155"/>
      <c r="I156" s="155"/>
      <c r="J156" s="155"/>
      <c r="K156" s="146"/>
    </row>
    <row r="157">
      <c r="A157" s="9" t="s">
        <v>466</v>
      </c>
      <c r="B157" s="10" t="s">
        <v>87</v>
      </c>
      <c r="C157" s="10" t="s">
        <v>3217</v>
      </c>
      <c r="D157" s="14" t="s">
        <v>3218</v>
      </c>
      <c r="E157" s="10"/>
      <c r="F157" s="10" t="s">
        <v>282</v>
      </c>
      <c r="G157" s="111">
        <f>'Stavební rozpočet'!G2102</f>
      </c>
      <c r="H157" s="111">
        <f>'Stavební rozpočet'!H2102</f>
      </c>
      <c r="I157" s="111">
        <f>G157*H157</f>
      </c>
      <c r="J157" s="153" t="s">
        <v>134</v>
      </c>
      <c r="K157" s="146"/>
      <c r="Z157" s="111">
        <f>IF(AQ157="5",BJ157,0)</f>
      </c>
      <c r="AB157" s="111">
        <f>IF(AQ157="1",BH157,0)</f>
      </c>
      <c r="AC157" s="111">
        <f>IF(AQ157="1",BI157,0)</f>
      </c>
      <c r="AD157" s="111">
        <f>IF(AQ157="7",BH157,0)</f>
      </c>
      <c r="AE157" s="111">
        <f>IF(AQ157="7",BI157,0)</f>
      </c>
      <c r="AF157" s="111">
        <f>IF(AQ157="2",BH157,0)</f>
      </c>
      <c r="AG157" s="111">
        <f>IF(AQ157="2",BI157,0)</f>
      </c>
      <c r="AH157" s="111">
        <f>IF(AQ157="0",BJ157,0)</f>
      </c>
      <c r="AI157" s="132" t="s">
        <v>87</v>
      </c>
      <c r="AJ157" s="111">
        <f>IF(AN157=0,I157,0)</f>
      </c>
      <c r="AK157" s="111">
        <f>IF(AN157=12,I157,0)</f>
      </c>
      <c r="AL157" s="111">
        <f>IF(AN157=21,I157,0)</f>
      </c>
      <c r="AN157" s="111" t="n">
        <v>21</v>
      </c>
      <c r="AO157" s="111">
        <f>H157*0.005034325</f>
      </c>
      <c r="AP157" s="111">
        <f>H157*(1-0.005034325)</f>
      </c>
      <c r="AQ157" s="153" t="s">
        <v>130</v>
      </c>
      <c r="AV157" s="111">
        <f>AW157+AX157</f>
      </c>
      <c r="AW157" s="111">
        <f>G157*AO157</f>
      </c>
      <c r="AX157" s="111">
        <f>G157*AP157</f>
      </c>
      <c r="AY157" s="153" t="s">
        <v>3205</v>
      </c>
      <c r="AZ157" s="153" t="s">
        <v>3206</v>
      </c>
      <c r="BA157" s="132" t="s">
        <v>2990</v>
      </c>
      <c r="BC157" s="111">
        <f>AW157+AX157</f>
      </c>
      <c r="BD157" s="111">
        <f>H157/(100-BE157)*100</f>
      </c>
      <c r="BE157" s="111" t="n">
        <v>0</v>
      </c>
      <c r="BF157" s="111">
        <f>157</f>
      </c>
      <c r="BH157" s="111">
        <f>G157*AO157</f>
      </c>
      <c r="BI157" s="111">
        <f>G157*AP157</f>
      </c>
      <c r="BJ157" s="111">
        <f>G157*H157</f>
      </c>
      <c r="BK157" s="111"/>
      <c r="BL157" s="111" t="n">
        <v>87</v>
      </c>
      <c r="BW157" s="111" t="n">
        <v>21</v>
      </c>
      <c r="BX157" s="14" t="s">
        <v>3218</v>
      </c>
    </row>
    <row r="158">
      <c r="A158" s="154"/>
      <c r="B158" s="155"/>
      <c r="C158" s="155"/>
      <c r="D158" s="156" t="s">
        <v>3219</v>
      </c>
      <c r="E158" s="156" t="s">
        <v>4</v>
      </c>
      <c r="F158" s="155"/>
      <c r="G158" s="157" t="n">
        <v>48</v>
      </c>
      <c r="H158" s="155"/>
      <c r="I158" s="155"/>
      <c r="J158" s="155"/>
      <c r="K158" s="146"/>
    </row>
    <row r="159">
      <c r="A159" s="9" t="s">
        <v>472</v>
      </c>
      <c r="B159" s="10" t="s">
        <v>87</v>
      </c>
      <c r="C159" s="10" t="s">
        <v>3221</v>
      </c>
      <c r="D159" s="14" t="s">
        <v>3222</v>
      </c>
      <c r="E159" s="10"/>
      <c r="F159" s="10" t="s">
        <v>133</v>
      </c>
      <c r="G159" s="111">
        <f>'Stavební rozpočet'!G2104</f>
      </c>
      <c r="H159" s="111">
        <f>'Stavební rozpočet'!H2104</f>
      </c>
      <c r="I159" s="111">
        <f>G159*H159</f>
      </c>
      <c r="J159" s="153" t="s">
        <v>134</v>
      </c>
      <c r="K159" s="146"/>
      <c r="Z159" s="111">
        <f>IF(AQ159="5",BJ159,0)</f>
      </c>
      <c r="AB159" s="111">
        <f>IF(AQ159="1",BH159,0)</f>
      </c>
      <c r="AC159" s="111">
        <f>IF(AQ159="1",BI159,0)</f>
      </c>
      <c r="AD159" s="111">
        <f>IF(AQ159="7",BH159,0)</f>
      </c>
      <c r="AE159" s="111">
        <f>IF(AQ159="7",BI159,0)</f>
      </c>
      <c r="AF159" s="111">
        <f>IF(AQ159="2",BH159,0)</f>
      </c>
      <c r="AG159" s="111">
        <f>IF(AQ159="2",BI159,0)</f>
      </c>
      <c r="AH159" s="111">
        <f>IF(AQ159="0",BJ159,0)</f>
      </c>
      <c r="AI159" s="132" t="s">
        <v>87</v>
      </c>
      <c r="AJ159" s="111">
        <f>IF(AN159=0,I159,0)</f>
      </c>
      <c r="AK159" s="111">
        <f>IF(AN159=12,I159,0)</f>
      </c>
      <c r="AL159" s="111">
        <f>IF(AN159=21,I159,0)</f>
      </c>
      <c r="AN159" s="111" t="n">
        <v>21</v>
      </c>
      <c r="AO159" s="111">
        <f>H159*0</f>
      </c>
      <c r="AP159" s="111">
        <f>H159*(1-0)</f>
      </c>
      <c r="AQ159" s="153" t="s">
        <v>130</v>
      </c>
      <c r="AV159" s="111">
        <f>AW159+AX159</f>
      </c>
      <c r="AW159" s="111">
        <f>G159*AO159</f>
      </c>
      <c r="AX159" s="111">
        <f>G159*AP159</f>
      </c>
      <c r="AY159" s="153" t="s">
        <v>3205</v>
      </c>
      <c r="AZ159" s="153" t="s">
        <v>3206</v>
      </c>
      <c r="BA159" s="132" t="s">
        <v>2990</v>
      </c>
      <c r="BC159" s="111">
        <f>AW159+AX159</f>
      </c>
      <c r="BD159" s="111">
        <f>H159/(100-BE159)*100</f>
      </c>
      <c r="BE159" s="111" t="n">
        <v>0</v>
      </c>
      <c r="BF159" s="111">
        <f>159</f>
      </c>
      <c r="BH159" s="111">
        <f>G159*AO159</f>
      </c>
      <c r="BI159" s="111">
        <f>G159*AP159</f>
      </c>
      <c r="BJ159" s="111">
        <f>G159*H159</f>
      </c>
      <c r="BK159" s="111"/>
      <c r="BL159" s="111" t="n">
        <v>87</v>
      </c>
      <c r="BW159" s="111" t="n">
        <v>21</v>
      </c>
      <c r="BX159" s="14" t="s">
        <v>3222</v>
      </c>
    </row>
    <row r="160">
      <c r="A160" s="154"/>
      <c r="B160" s="155"/>
      <c r="C160" s="155"/>
      <c r="D160" s="156" t="s">
        <v>1535</v>
      </c>
      <c r="E160" s="156" t="s">
        <v>4</v>
      </c>
      <c r="F160" s="155"/>
      <c r="G160" s="157" t="n">
        <v>6</v>
      </c>
      <c r="H160" s="155"/>
      <c r="I160" s="155"/>
      <c r="J160" s="155"/>
      <c r="K160" s="146"/>
    </row>
    <row r="161">
      <c r="A161" s="9" t="s">
        <v>148</v>
      </c>
      <c r="B161" s="10" t="s">
        <v>87</v>
      </c>
      <c r="C161" s="10" t="s">
        <v>3224</v>
      </c>
      <c r="D161" s="14" t="s">
        <v>3225</v>
      </c>
      <c r="E161" s="10"/>
      <c r="F161" s="10" t="s">
        <v>133</v>
      </c>
      <c r="G161" s="111">
        <f>'Stavební rozpočet'!G2106</f>
      </c>
      <c r="H161" s="111">
        <f>'Stavební rozpočet'!H2106</f>
      </c>
      <c r="I161" s="111">
        <f>G161*H161</f>
      </c>
      <c r="J161" s="153" t="s">
        <v>134</v>
      </c>
      <c r="K161" s="146"/>
      <c r="Z161" s="111">
        <f>IF(AQ161="5",BJ161,0)</f>
      </c>
      <c r="AB161" s="111">
        <f>IF(AQ161="1",BH161,0)</f>
      </c>
      <c r="AC161" s="111">
        <f>IF(AQ161="1",BI161,0)</f>
      </c>
      <c r="AD161" s="111">
        <f>IF(AQ161="7",BH161,0)</f>
      </c>
      <c r="AE161" s="111">
        <f>IF(AQ161="7",BI161,0)</f>
      </c>
      <c r="AF161" s="111">
        <f>IF(AQ161="2",BH161,0)</f>
      </c>
      <c r="AG161" s="111">
        <f>IF(AQ161="2",BI161,0)</f>
      </c>
      <c r="AH161" s="111">
        <f>IF(AQ161="0",BJ161,0)</f>
      </c>
      <c r="AI161" s="132" t="s">
        <v>87</v>
      </c>
      <c r="AJ161" s="111">
        <f>IF(AN161=0,I161,0)</f>
      </c>
      <c r="AK161" s="111">
        <f>IF(AN161=12,I161,0)</f>
      </c>
      <c r="AL161" s="111">
        <f>IF(AN161=21,I161,0)</f>
      </c>
      <c r="AN161" s="111" t="n">
        <v>21</v>
      </c>
      <c r="AO161" s="111">
        <f>H161*0.005088266</f>
      </c>
      <c r="AP161" s="111">
        <f>H161*(1-0.005088266)</f>
      </c>
      <c r="AQ161" s="153" t="s">
        <v>130</v>
      </c>
      <c r="AV161" s="111">
        <f>AW161+AX161</f>
      </c>
      <c r="AW161" s="111">
        <f>G161*AO161</f>
      </c>
      <c r="AX161" s="111">
        <f>G161*AP161</f>
      </c>
      <c r="AY161" s="153" t="s">
        <v>3205</v>
      </c>
      <c r="AZ161" s="153" t="s">
        <v>3206</v>
      </c>
      <c r="BA161" s="132" t="s">
        <v>2990</v>
      </c>
      <c r="BC161" s="111">
        <f>AW161+AX161</f>
      </c>
      <c r="BD161" s="111">
        <f>H161/(100-BE161)*100</f>
      </c>
      <c r="BE161" s="111" t="n">
        <v>0</v>
      </c>
      <c r="BF161" s="111">
        <f>161</f>
      </c>
      <c r="BH161" s="111">
        <f>G161*AO161</f>
      </c>
      <c r="BI161" s="111">
        <f>G161*AP161</f>
      </c>
      <c r="BJ161" s="111">
        <f>G161*H161</f>
      </c>
      <c r="BK161" s="111"/>
      <c r="BL161" s="111" t="n">
        <v>87</v>
      </c>
      <c r="BW161" s="111" t="n">
        <v>21</v>
      </c>
      <c r="BX161" s="14" t="s">
        <v>3225</v>
      </c>
    </row>
    <row r="162">
      <c r="A162" s="154"/>
      <c r="B162" s="155"/>
      <c r="C162" s="155"/>
      <c r="D162" s="156" t="s">
        <v>165</v>
      </c>
      <c r="E162" s="156" t="s">
        <v>4</v>
      </c>
      <c r="F162" s="155"/>
      <c r="G162" s="157" t="n">
        <v>6</v>
      </c>
      <c r="H162" s="155"/>
      <c r="I162" s="155"/>
      <c r="J162" s="155"/>
      <c r="K162" s="146"/>
    </row>
    <row r="163">
      <c r="A163" s="9" t="s">
        <v>480</v>
      </c>
      <c r="B163" s="10" t="s">
        <v>87</v>
      </c>
      <c r="C163" s="10" t="s">
        <v>3227</v>
      </c>
      <c r="D163" s="14" t="s">
        <v>3228</v>
      </c>
      <c r="E163" s="10"/>
      <c r="F163" s="10" t="s">
        <v>133</v>
      </c>
      <c r="G163" s="111">
        <f>'Stavební rozpočet'!G2108</f>
      </c>
      <c r="H163" s="111">
        <f>'Stavební rozpočet'!H2108</f>
      </c>
      <c r="I163" s="111">
        <f>G163*H163</f>
      </c>
      <c r="J163" s="153" t="s">
        <v>134</v>
      </c>
      <c r="K163" s="146"/>
      <c r="Z163" s="111">
        <f>IF(AQ163="5",BJ163,0)</f>
      </c>
      <c r="AB163" s="111">
        <f>IF(AQ163="1",BH163,0)</f>
      </c>
      <c r="AC163" s="111">
        <f>IF(AQ163="1",BI163,0)</f>
      </c>
      <c r="AD163" s="111">
        <f>IF(AQ163="7",BH163,0)</f>
      </c>
      <c r="AE163" s="111">
        <f>IF(AQ163="7",BI163,0)</f>
      </c>
      <c r="AF163" s="111">
        <f>IF(AQ163="2",BH163,0)</f>
      </c>
      <c r="AG163" s="111">
        <f>IF(AQ163="2",BI163,0)</f>
      </c>
      <c r="AH163" s="111">
        <f>IF(AQ163="0",BJ163,0)</f>
      </c>
      <c r="AI163" s="132" t="s">
        <v>87</v>
      </c>
      <c r="AJ163" s="111">
        <f>IF(AN163=0,I163,0)</f>
      </c>
      <c r="AK163" s="111">
        <f>IF(AN163=12,I163,0)</f>
      </c>
      <c r="AL163" s="111">
        <f>IF(AN163=21,I163,0)</f>
      </c>
      <c r="AN163" s="111" t="n">
        <v>21</v>
      </c>
      <c r="AO163" s="111">
        <f>H163*0.006574222</f>
      </c>
      <c r="AP163" s="111">
        <f>H163*(1-0.006574222)</f>
      </c>
      <c r="AQ163" s="153" t="s">
        <v>130</v>
      </c>
      <c r="AV163" s="111">
        <f>AW163+AX163</f>
      </c>
      <c r="AW163" s="111">
        <f>G163*AO163</f>
      </c>
      <c r="AX163" s="111">
        <f>G163*AP163</f>
      </c>
      <c r="AY163" s="153" t="s">
        <v>3205</v>
      </c>
      <c r="AZ163" s="153" t="s">
        <v>3206</v>
      </c>
      <c r="BA163" s="132" t="s">
        <v>2990</v>
      </c>
      <c r="BC163" s="111">
        <f>AW163+AX163</f>
      </c>
      <c r="BD163" s="111">
        <f>H163/(100-BE163)*100</f>
      </c>
      <c r="BE163" s="111" t="n">
        <v>0</v>
      </c>
      <c r="BF163" s="111">
        <f>163</f>
      </c>
      <c r="BH163" s="111">
        <f>G163*AO163</f>
      </c>
      <c r="BI163" s="111">
        <f>G163*AP163</f>
      </c>
      <c r="BJ163" s="111">
        <f>G163*H163</f>
      </c>
      <c r="BK163" s="111"/>
      <c r="BL163" s="111" t="n">
        <v>87</v>
      </c>
      <c r="BW163" s="111" t="n">
        <v>21</v>
      </c>
      <c r="BX163" s="14" t="s">
        <v>3228</v>
      </c>
    </row>
    <row r="164">
      <c r="A164" s="154"/>
      <c r="B164" s="155"/>
      <c r="C164" s="155"/>
      <c r="D164" s="156" t="s">
        <v>140</v>
      </c>
      <c r="E164" s="156" t="s">
        <v>4</v>
      </c>
      <c r="F164" s="155"/>
      <c r="G164" s="157" t="n">
        <v>2</v>
      </c>
      <c r="H164" s="155"/>
      <c r="I164" s="155"/>
      <c r="J164" s="155"/>
      <c r="K164" s="146"/>
    </row>
    <row r="165">
      <c r="A165" s="147" t="s">
        <v>4</v>
      </c>
      <c r="B165" s="148" t="s">
        <v>87</v>
      </c>
      <c r="C165" s="148" t="s">
        <v>728</v>
      </c>
      <c r="D165" s="149" t="s">
        <v>3229</v>
      </c>
      <c r="E165" s="148"/>
      <c r="F165" s="150" t="s">
        <v>79</v>
      </c>
      <c r="G165" s="150" t="s">
        <v>79</v>
      </c>
      <c r="H165" s="150" t="s">
        <v>79</v>
      </c>
      <c r="I165" s="117">
        <f>SUM(I166:I203)</f>
      </c>
      <c r="J165" s="132" t="s">
        <v>4</v>
      </c>
      <c r="K165" s="146"/>
      <c r="AI165" s="132" t="s">
        <v>87</v>
      </c>
      <c r="AS165" s="117">
        <f>SUM(AJ166:AJ203)</f>
      </c>
      <c r="AT165" s="117">
        <f>SUM(AK166:AK203)</f>
      </c>
      <c r="AU165" s="117">
        <f>SUM(AL166:AL203)</f>
      </c>
    </row>
    <row r="166">
      <c r="A166" s="9" t="s">
        <v>484</v>
      </c>
      <c r="B166" s="10" t="s">
        <v>87</v>
      </c>
      <c r="C166" s="10" t="s">
        <v>3231</v>
      </c>
      <c r="D166" s="14" t="s">
        <v>3232</v>
      </c>
      <c r="E166" s="10"/>
      <c r="F166" s="10" t="s">
        <v>282</v>
      </c>
      <c r="G166" s="111">
        <f>'Stavební rozpočet'!G2111</f>
      </c>
      <c r="H166" s="111">
        <f>'Stavební rozpočet'!H2111</f>
      </c>
      <c r="I166" s="111">
        <f>G166*H166</f>
      </c>
      <c r="J166" s="153" t="s">
        <v>134</v>
      </c>
      <c r="K166" s="146"/>
      <c r="Z166" s="111">
        <f>IF(AQ166="5",BJ166,0)</f>
      </c>
      <c r="AB166" s="111">
        <f>IF(AQ166="1",BH166,0)</f>
      </c>
      <c r="AC166" s="111">
        <f>IF(AQ166="1",BI166,0)</f>
      </c>
      <c r="AD166" s="111">
        <f>IF(AQ166="7",BH166,0)</f>
      </c>
      <c r="AE166" s="111">
        <f>IF(AQ166="7",BI166,0)</f>
      </c>
      <c r="AF166" s="111">
        <f>IF(AQ166="2",BH166,0)</f>
      </c>
      <c r="AG166" s="111">
        <f>IF(AQ166="2",BI166,0)</f>
      </c>
      <c r="AH166" s="111">
        <f>IF(AQ166="0",BJ166,0)</f>
      </c>
      <c r="AI166" s="132" t="s">
        <v>87</v>
      </c>
      <c r="AJ166" s="111">
        <f>IF(AN166=0,I166,0)</f>
      </c>
      <c r="AK166" s="111">
        <f>IF(AN166=12,I166,0)</f>
      </c>
      <c r="AL166" s="111">
        <f>IF(AN166=21,I166,0)</f>
      </c>
      <c r="AN166" s="111" t="n">
        <v>21</v>
      </c>
      <c r="AO166" s="111">
        <f>H166*0.005820722</f>
      </c>
      <c r="AP166" s="111">
        <f>H166*(1-0.005820722)</f>
      </c>
      <c r="AQ166" s="153" t="s">
        <v>130</v>
      </c>
      <c r="AV166" s="111">
        <f>AW166+AX166</f>
      </c>
      <c r="AW166" s="111">
        <f>G166*AO166</f>
      </c>
      <c r="AX166" s="111">
        <f>G166*AP166</f>
      </c>
      <c r="AY166" s="153" t="s">
        <v>3233</v>
      </c>
      <c r="AZ166" s="153" t="s">
        <v>3206</v>
      </c>
      <c r="BA166" s="132" t="s">
        <v>2990</v>
      </c>
      <c r="BC166" s="111">
        <f>AW166+AX166</f>
      </c>
      <c r="BD166" s="111">
        <f>H166/(100-BE166)*100</f>
      </c>
      <c r="BE166" s="111" t="n">
        <v>0</v>
      </c>
      <c r="BF166" s="111">
        <f>166</f>
      </c>
      <c r="BH166" s="111">
        <f>G166*AO166</f>
      </c>
      <c r="BI166" s="111">
        <f>G166*AP166</f>
      </c>
      <c r="BJ166" s="111">
        <f>G166*H166</f>
      </c>
      <c r="BK166" s="111"/>
      <c r="BL166" s="111" t="n">
        <v>89</v>
      </c>
      <c r="BW166" s="111" t="n">
        <v>21</v>
      </c>
      <c r="BX166" s="14" t="s">
        <v>3232</v>
      </c>
    </row>
    <row r="167">
      <c r="A167" s="154"/>
      <c r="B167" s="155"/>
      <c r="C167" s="155"/>
      <c r="D167" s="156" t="s">
        <v>3234</v>
      </c>
      <c r="E167" s="156" t="s">
        <v>4</v>
      </c>
      <c r="F167" s="155"/>
      <c r="G167" s="157" t="n">
        <v>60</v>
      </c>
      <c r="H167" s="155"/>
      <c r="I167" s="155"/>
      <c r="J167" s="155"/>
      <c r="K167" s="146"/>
    </row>
    <row r="168">
      <c r="A168" s="9" t="s">
        <v>488</v>
      </c>
      <c r="B168" s="10" t="s">
        <v>87</v>
      </c>
      <c r="C168" s="10" t="s">
        <v>3236</v>
      </c>
      <c r="D168" s="14" t="s">
        <v>3237</v>
      </c>
      <c r="E168" s="10"/>
      <c r="F168" s="10" t="s">
        <v>282</v>
      </c>
      <c r="G168" s="111">
        <f>'Stavební rozpočet'!G2113</f>
      </c>
      <c r="H168" s="111">
        <f>'Stavební rozpočet'!H2113</f>
      </c>
      <c r="I168" s="111">
        <f>G168*H168</f>
      </c>
      <c r="J168" s="153" t="s">
        <v>134</v>
      </c>
      <c r="K168" s="146"/>
      <c r="Z168" s="111">
        <f>IF(AQ168="5",BJ168,0)</f>
      </c>
      <c r="AB168" s="111">
        <f>IF(AQ168="1",BH168,0)</f>
      </c>
      <c r="AC168" s="111">
        <f>IF(AQ168="1",BI168,0)</f>
      </c>
      <c r="AD168" s="111">
        <f>IF(AQ168="7",BH168,0)</f>
      </c>
      <c r="AE168" s="111">
        <f>IF(AQ168="7",BI168,0)</f>
      </c>
      <c r="AF168" s="111">
        <f>IF(AQ168="2",BH168,0)</f>
      </c>
      <c r="AG168" s="111">
        <f>IF(AQ168="2",BI168,0)</f>
      </c>
      <c r="AH168" s="111">
        <f>IF(AQ168="0",BJ168,0)</f>
      </c>
      <c r="AI168" s="132" t="s">
        <v>87</v>
      </c>
      <c r="AJ168" s="111">
        <f>IF(AN168=0,I168,0)</f>
      </c>
      <c r="AK168" s="111">
        <f>IF(AN168=12,I168,0)</f>
      </c>
      <c r="AL168" s="111">
        <f>IF(AN168=21,I168,0)</f>
      </c>
      <c r="AN168" s="111" t="n">
        <v>21</v>
      </c>
      <c r="AO168" s="111">
        <f>H168*0.025107885</f>
      </c>
      <c r="AP168" s="111">
        <f>H168*(1-0.025107885)</f>
      </c>
      <c r="AQ168" s="153" t="s">
        <v>130</v>
      </c>
      <c r="AV168" s="111">
        <f>AW168+AX168</f>
      </c>
      <c r="AW168" s="111">
        <f>G168*AO168</f>
      </c>
      <c r="AX168" s="111">
        <f>G168*AP168</f>
      </c>
      <c r="AY168" s="153" t="s">
        <v>3233</v>
      </c>
      <c r="AZ168" s="153" t="s">
        <v>3206</v>
      </c>
      <c r="BA168" s="132" t="s">
        <v>2990</v>
      </c>
      <c r="BC168" s="111">
        <f>AW168+AX168</f>
      </c>
      <c r="BD168" s="111">
        <f>H168/(100-BE168)*100</f>
      </c>
      <c r="BE168" s="111" t="n">
        <v>0</v>
      </c>
      <c r="BF168" s="111">
        <f>168</f>
      </c>
      <c r="BH168" s="111">
        <f>G168*AO168</f>
      </c>
      <c r="BI168" s="111">
        <f>G168*AP168</f>
      </c>
      <c r="BJ168" s="111">
        <f>G168*H168</f>
      </c>
      <c r="BK168" s="111"/>
      <c r="BL168" s="111" t="n">
        <v>89</v>
      </c>
      <c r="BW168" s="111" t="n">
        <v>21</v>
      </c>
      <c r="BX168" s="14" t="s">
        <v>3237</v>
      </c>
    </row>
    <row r="169">
      <c r="A169" s="154"/>
      <c r="B169" s="155"/>
      <c r="C169" s="155"/>
      <c r="D169" s="156" t="s">
        <v>531</v>
      </c>
      <c r="E169" s="156" t="s">
        <v>4</v>
      </c>
      <c r="F169" s="155"/>
      <c r="G169" s="157" t="n">
        <v>60</v>
      </c>
      <c r="H169" s="155"/>
      <c r="I169" s="155"/>
      <c r="J169" s="155"/>
      <c r="K169" s="146"/>
    </row>
    <row r="170">
      <c r="A170" s="9" t="s">
        <v>494</v>
      </c>
      <c r="B170" s="10" t="s">
        <v>87</v>
      </c>
      <c r="C170" s="10" t="s">
        <v>3239</v>
      </c>
      <c r="D170" s="14" t="s">
        <v>3240</v>
      </c>
      <c r="E170" s="10"/>
      <c r="F170" s="10" t="s">
        <v>282</v>
      </c>
      <c r="G170" s="111">
        <f>'Stavební rozpočet'!G2115</f>
      </c>
      <c r="H170" s="111">
        <f>'Stavební rozpočet'!H2115</f>
      </c>
      <c r="I170" s="111">
        <f>G170*H170</f>
      </c>
      <c r="J170" s="153" t="s">
        <v>134</v>
      </c>
      <c r="K170" s="146"/>
      <c r="Z170" s="111">
        <f>IF(AQ170="5",BJ170,0)</f>
      </c>
      <c r="AB170" s="111">
        <f>IF(AQ170="1",BH170,0)</f>
      </c>
      <c r="AC170" s="111">
        <f>IF(AQ170="1",BI170,0)</f>
      </c>
      <c r="AD170" s="111">
        <f>IF(AQ170="7",BH170,0)</f>
      </c>
      <c r="AE170" s="111">
        <f>IF(AQ170="7",BI170,0)</f>
      </c>
      <c r="AF170" s="111">
        <f>IF(AQ170="2",BH170,0)</f>
      </c>
      <c r="AG170" s="111">
        <f>IF(AQ170="2",BI170,0)</f>
      </c>
      <c r="AH170" s="111">
        <f>IF(AQ170="0",BJ170,0)</f>
      </c>
      <c r="AI170" s="132" t="s">
        <v>87</v>
      </c>
      <c r="AJ170" s="111">
        <f>IF(AN170=0,I170,0)</f>
      </c>
      <c r="AK170" s="111">
        <f>IF(AN170=12,I170,0)</f>
      </c>
      <c r="AL170" s="111">
        <f>IF(AN170=21,I170,0)</f>
      </c>
      <c r="AN170" s="111" t="n">
        <v>21</v>
      </c>
      <c r="AO170" s="111">
        <f>H170*0.05694051</f>
      </c>
      <c r="AP170" s="111">
        <f>H170*(1-0.05694051)</f>
      </c>
      <c r="AQ170" s="153" t="s">
        <v>130</v>
      </c>
      <c r="AV170" s="111">
        <f>AW170+AX170</f>
      </c>
      <c r="AW170" s="111">
        <f>G170*AO170</f>
      </c>
      <c r="AX170" s="111">
        <f>G170*AP170</f>
      </c>
      <c r="AY170" s="153" t="s">
        <v>3233</v>
      </c>
      <c r="AZ170" s="153" t="s">
        <v>3206</v>
      </c>
      <c r="BA170" s="132" t="s">
        <v>2990</v>
      </c>
      <c r="BC170" s="111">
        <f>AW170+AX170</f>
      </c>
      <c r="BD170" s="111">
        <f>H170/(100-BE170)*100</f>
      </c>
      <c r="BE170" s="111" t="n">
        <v>0</v>
      </c>
      <c r="BF170" s="111">
        <f>170</f>
      </c>
      <c r="BH170" s="111">
        <f>G170*AO170</f>
      </c>
      <c r="BI170" s="111">
        <f>G170*AP170</f>
      </c>
      <c r="BJ170" s="111">
        <f>G170*H170</f>
      </c>
      <c r="BK170" s="111"/>
      <c r="BL170" s="111" t="n">
        <v>89</v>
      </c>
      <c r="BW170" s="111" t="n">
        <v>21</v>
      </c>
      <c r="BX170" s="14" t="s">
        <v>3240</v>
      </c>
    </row>
    <row r="171">
      <c r="A171" s="154"/>
      <c r="B171" s="155"/>
      <c r="C171" s="155"/>
      <c r="D171" s="156" t="s">
        <v>3241</v>
      </c>
      <c r="E171" s="156" t="s">
        <v>4</v>
      </c>
      <c r="F171" s="155"/>
      <c r="G171" s="157" t="n">
        <v>46</v>
      </c>
      <c r="H171" s="155"/>
      <c r="I171" s="155"/>
      <c r="J171" s="155"/>
      <c r="K171" s="146"/>
    </row>
    <row r="172">
      <c r="A172" s="9" t="s">
        <v>498</v>
      </c>
      <c r="B172" s="10" t="s">
        <v>87</v>
      </c>
      <c r="C172" s="10" t="s">
        <v>3243</v>
      </c>
      <c r="D172" s="14" t="s">
        <v>3244</v>
      </c>
      <c r="E172" s="10"/>
      <c r="F172" s="10" t="s">
        <v>133</v>
      </c>
      <c r="G172" s="111">
        <f>'Stavební rozpočet'!G2117</f>
      </c>
      <c r="H172" s="111">
        <f>'Stavební rozpočet'!H2117</f>
      </c>
      <c r="I172" s="111">
        <f>G172*H172</f>
      </c>
      <c r="J172" s="153" t="s">
        <v>134</v>
      </c>
      <c r="K172" s="146"/>
      <c r="Z172" s="111">
        <f>IF(AQ172="5",BJ172,0)</f>
      </c>
      <c r="AB172" s="111">
        <f>IF(AQ172="1",BH172,0)</f>
      </c>
      <c r="AC172" s="111">
        <f>IF(AQ172="1",BI172,0)</f>
      </c>
      <c r="AD172" s="111">
        <f>IF(AQ172="7",BH172,0)</f>
      </c>
      <c r="AE172" s="111">
        <f>IF(AQ172="7",BI172,0)</f>
      </c>
      <c r="AF172" s="111">
        <f>IF(AQ172="2",BH172,0)</f>
      </c>
      <c r="AG172" s="111">
        <f>IF(AQ172="2",BI172,0)</f>
      </c>
      <c r="AH172" s="111">
        <f>IF(AQ172="0",BJ172,0)</f>
      </c>
      <c r="AI172" s="132" t="s">
        <v>87</v>
      </c>
      <c r="AJ172" s="111">
        <f>IF(AN172=0,I172,0)</f>
      </c>
      <c r="AK172" s="111">
        <f>IF(AN172=12,I172,0)</f>
      </c>
      <c r="AL172" s="111">
        <f>IF(AN172=21,I172,0)</f>
      </c>
      <c r="AN172" s="111" t="n">
        <v>21</v>
      </c>
      <c r="AO172" s="111">
        <f>H172*0.577113635</f>
      </c>
      <c r="AP172" s="111">
        <f>H172*(1-0.577113635)</f>
      </c>
      <c r="AQ172" s="153" t="s">
        <v>130</v>
      </c>
      <c r="AV172" s="111">
        <f>AW172+AX172</f>
      </c>
      <c r="AW172" s="111">
        <f>G172*AO172</f>
      </c>
      <c r="AX172" s="111">
        <f>G172*AP172</f>
      </c>
      <c r="AY172" s="153" t="s">
        <v>3233</v>
      </c>
      <c r="AZ172" s="153" t="s">
        <v>3206</v>
      </c>
      <c r="BA172" s="132" t="s">
        <v>2990</v>
      </c>
      <c r="BC172" s="111">
        <f>AW172+AX172</f>
      </c>
      <c r="BD172" s="111">
        <f>H172/(100-BE172)*100</f>
      </c>
      <c r="BE172" s="111" t="n">
        <v>0</v>
      </c>
      <c r="BF172" s="111">
        <f>172</f>
      </c>
      <c r="BH172" s="111">
        <f>G172*AO172</f>
      </c>
      <c r="BI172" s="111">
        <f>G172*AP172</f>
      </c>
      <c r="BJ172" s="111">
        <f>G172*H172</f>
      </c>
      <c r="BK172" s="111"/>
      <c r="BL172" s="111" t="n">
        <v>89</v>
      </c>
      <c r="BW172" s="111" t="n">
        <v>21</v>
      </c>
      <c r="BX172" s="14" t="s">
        <v>3244</v>
      </c>
    </row>
    <row r="173">
      <c r="A173" s="154"/>
      <c r="B173" s="155"/>
      <c r="C173" s="155"/>
      <c r="D173" s="156" t="s">
        <v>130</v>
      </c>
      <c r="E173" s="156" t="s">
        <v>4</v>
      </c>
      <c r="F173" s="155"/>
      <c r="G173" s="157" t="n">
        <v>1</v>
      </c>
      <c r="H173" s="155"/>
      <c r="I173" s="155"/>
      <c r="J173" s="155"/>
      <c r="K173" s="146"/>
    </row>
    <row r="174">
      <c r="A174" s="9" t="s">
        <v>504</v>
      </c>
      <c r="B174" s="10" t="s">
        <v>87</v>
      </c>
      <c r="C174" s="10" t="s">
        <v>3246</v>
      </c>
      <c r="D174" s="14" t="s">
        <v>3247</v>
      </c>
      <c r="E174" s="10"/>
      <c r="F174" s="10" t="s">
        <v>133</v>
      </c>
      <c r="G174" s="111">
        <f>'Stavební rozpočet'!G2119</f>
      </c>
      <c r="H174" s="111">
        <f>'Stavební rozpočet'!H2119</f>
      </c>
      <c r="I174" s="111">
        <f>G174*H174</f>
      </c>
      <c r="J174" s="153" t="s">
        <v>134</v>
      </c>
      <c r="K174" s="146"/>
      <c r="Z174" s="111">
        <f>IF(AQ174="5",BJ174,0)</f>
      </c>
      <c r="AB174" s="111">
        <f>IF(AQ174="1",BH174,0)</f>
      </c>
      <c r="AC174" s="111">
        <f>IF(AQ174="1",BI174,0)</f>
      </c>
      <c r="AD174" s="111">
        <f>IF(AQ174="7",BH174,0)</f>
      </c>
      <c r="AE174" s="111">
        <f>IF(AQ174="7",BI174,0)</f>
      </c>
      <c r="AF174" s="111">
        <f>IF(AQ174="2",BH174,0)</f>
      </c>
      <c r="AG174" s="111">
        <f>IF(AQ174="2",BI174,0)</f>
      </c>
      <c r="AH174" s="111">
        <f>IF(AQ174="0",BJ174,0)</f>
      </c>
      <c r="AI174" s="132" t="s">
        <v>87</v>
      </c>
      <c r="AJ174" s="111">
        <f>IF(AN174=0,I174,0)</f>
      </c>
      <c r="AK174" s="111">
        <f>IF(AN174=12,I174,0)</f>
      </c>
      <c r="AL174" s="111">
        <f>IF(AN174=21,I174,0)</f>
      </c>
      <c r="AN174" s="111" t="n">
        <v>21</v>
      </c>
      <c r="AO174" s="111">
        <f>H174*0.966440467</f>
      </c>
      <c r="AP174" s="111">
        <f>H174*(1-0.966440467)</f>
      </c>
      <c r="AQ174" s="153" t="s">
        <v>130</v>
      </c>
      <c r="AV174" s="111">
        <f>AW174+AX174</f>
      </c>
      <c r="AW174" s="111">
        <f>G174*AO174</f>
      </c>
      <c r="AX174" s="111">
        <f>G174*AP174</f>
      </c>
      <c r="AY174" s="153" t="s">
        <v>3233</v>
      </c>
      <c r="AZ174" s="153" t="s">
        <v>3206</v>
      </c>
      <c r="BA174" s="132" t="s">
        <v>2990</v>
      </c>
      <c r="BC174" s="111">
        <f>AW174+AX174</f>
      </c>
      <c r="BD174" s="111">
        <f>H174/(100-BE174)*100</f>
      </c>
      <c r="BE174" s="111" t="n">
        <v>0</v>
      </c>
      <c r="BF174" s="111">
        <f>174</f>
      </c>
      <c r="BH174" s="111">
        <f>G174*AO174</f>
      </c>
      <c r="BI174" s="111">
        <f>G174*AP174</f>
      </c>
      <c r="BJ174" s="111">
        <f>G174*H174</f>
      </c>
      <c r="BK174" s="111"/>
      <c r="BL174" s="111" t="n">
        <v>89</v>
      </c>
      <c r="BW174" s="111" t="n">
        <v>21</v>
      </c>
      <c r="BX174" s="14" t="s">
        <v>3247</v>
      </c>
    </row>
    <row r="175" customHeight="true" ht="13.5">
      <c r="A175" s="159"/>
      <c r="C175" s="160" t="s">
        <v>146</v>
      </c>
      <c r="D175" s="161" t="s">
        <v>3248</v>
      </c>
      <c r="E175" s="156"/>
      <c r="F175" s="156"/>
      <c r="G175" s="156"/>
      <c r="H175" s="156"/>
      <c r="I175" s="156"/>
      <c r="J175" s="156"/>
      <c r="K175" s="163"/>
    </row>
    <row r="176">
      <c r="A176" s="154"/>
      <c r="B176" s="155"/>
      <c r="C176" s="155"/>
      <c r="D176" s="156" t="s">
        <v>130</v>
      </c>
      <c r="E176" s="156" t="s">
        <v>4</v>
      </c>
      <c r="F176" s="155"/>
      <c r="G176" s="157" t="n">
        <v>1</v>
      </c>
      <c r="H176" s="155"/>
      <c r="I176" s="155"/>
      <c r="J176" s="155"/>
      <c r="K176" s="146"/>
    </row>
    <row r="177">
      <c r="A177" s="9" t="s">
        <v>509</v>
      </c>
      <c r="B177" s="10" t="s">
        <v>87</v>
      </c>
      <c r="C177" s="10" t="s">
        <v>3250</v>
      </c>
      <c r="D177" s="14" t="s">
        <v>3251</v>
      </c>
      <c r="E177" s="10"/>
      <c r="F177" s="10" t="s">
        <v>133</v>
      </c>
      <c r="G177" s="111">
        <f>'Stavební rozpočet'!G2122</f>
      </c>
      <c r="H177" s="111">
        <f>'Stavební rozpočet'!H2122</f>
      </c>
      <c r="I177" s="111">
        <f>G177*H177</f>
      </c>
      <c r="J177" s="153" t="s">
        <v>134</v>
      </c>
      <c r="K177" s="146"/>
      <c r="Z177" s="111">
        <f>IF(AQ177="5",BJ177,0)</f>
      </c>
      <c r="AB177" s="111">
        <f>IF(AQ177="1",BH177,0)</f>
      </c>
      <c r="AC177" s="111">
        <f>IF(AQ177="1",BI177,0)</f>
      </c>
      <c r="AD177" s="111">
        <f>IF(AQ177="7",BH177,0)</f>
      </c>
      <c r="AE177" s="111">
        <f>IF(AQ177="7",BI177,0)</f>
      </c>
      <c r="AF177" s="111">
        <f>IF(AQ177="2",BH177,0)</f>
      </c>
      <c r="AG177" s="111">
        <f>IF(AQ177="2",BI177,0)</f>
      </c>
      <c r="AH177" s="111">
        <f>IF(AQ177="0",BJ177,0)</f>
      </c>
      <c r="AI177" s="132" t="s">
        <v>87</v>
      </c>
      <c r="AJ177" s="111">
        <f>IF(AN177=0,I177,0)</f>
      </c>
      <c r="AK177" s="111">
        <f>IF(AN177=12,I177,0)</f>
      </c>
      <c r="AL177" s="111">
        <f>IF(AN177=21,I177,0)</f>
      </c>
      <c r="AN177" s="111" t="n">
        <v>21</v>
      </c>
      <c r="AO177" s="111">
        <f>H177*0.612464286</f>
      </c>
      <c r="AP177" s="111">
        <f>H177*(1-0.612464286)</f>
      </c>
      <c r="AQ177" s="153" t="s">
        <v>130</v>
      </c>
      <c r="AV177" s="111">
        <f>AW177+AX177</f>
      </c>
      <c r="AW177" s="111">
        <f>G177*AO177</f>
      </c>
      <c r="AX177" s="111">
        <f>G177*AP177</f>
      </c>
      <c r="AY177" s="153" t="s">
        <v>3233</v>
      </c>
      <c r="AZ177" s="153" t="s">
        <v>3206</v>
      </c>
      <c r="BA177" s="132" t="s">
        <v>2990</v>
      </c>
      <c r="BC177" s="111">
        <f>AW177+AX177</f>
      </c>
      <c r="BD177" s="111">
        <f>H177/(100-BE177)*100</f>
      </c>
      <c r="BE177" s="111" t="n">
        <v>0</v>
      </c>
      <c r="BF177" s="111">
        <f>177</f>
      </c>
      <c r="BH177" s="111">
        <f>G177*AO177</f>
      </c>
      <c r="BI177" s="111">
        <f>G177*AP177</f>
      </c>
      <c r="BJ177" s="111">
        <f>G177*H177</f>
      </c>
      <c r="BK177" s="111"/>
      <c r="BL177" s="111" t="n">
        <v>89</v>
      </c>
      <c r="BW177" s="111" t="n">
        <v>21</v>
      </c>
      <c r="BX177" s="14" t="s">
        <v>3251</v>
      </c>
    </row>
    <row r="178" customHeight="true" ht="13.5">
      <c r="A178" s="159"/>
      <c r="C178" s="160" t="s">
        <v>146</v>
      </c>
      <c r="D178" s="161" t="s">
        <v>3252</v>
      </c>
      <c r="E178" s="156"/>
      <c r="F178" s="156"/>
      <c r="G178" s="156"/>
      <c r="H178" s="156"/>
      <c r="I178" s="156"/>
      <c r="J178" s="156"/>
      <c r="K178" s="163"/>
    </row>
    <row r="179">
      <c r="A179" s="154"/>
      <c r="B179" s="155"/>
      <c r="C179" s="155"/>
      <c r="D179" s="156" t="s">
        <v>149</v>
      </c>
      <c r="E179" s="156" t="s">
        <v>4</v>
      </c>
      <c r="F179" s="155"/>
      <c r="G179" s="157" t="n">
        <v>4</v>
      </c>
      <c r="H179" s="155"/>
      <c r="I179" s="155"/>
      <c r="J179" s="155"/>
      <c r="K179" s="146"/>
    </row>
    <row r="180">
      <c r="A180" s="9" t="s">
        <v>515</v>
      </c>
      <c r="B180" s="10" t="s">
        <v>87</v>
      </c>
      <c r="C180" s="10" t="s">
        <v>3254</v>
      </c>
      <c r="D180" s="14" t="s">
        <v>3255</v>
      </c>
      <c r="E180" s="10"/>
      <c r="F180" s="10" t="s">
        <v>133</v>
      </c>
      <c r="G180" s="111">
        <f>'Stavební rozpočet'!G2125</f>
      </c>
      <c r="H180" s="111">
        <f>'Stavební rozpočet'!H2125</f>
      </c>
      <c r="I180" s="111">
        <f>G180*H180</f>
      </c>
      <c r="J180" s="153" t="s">
        <v>134</v>
      </c>
      <c r="K180" s="146"/>
      <c r="Z180" s="111">
        <f>IF(AQ180="5",BJ180,0)</f>
      </c>
      <c r="AB180" s="111">
        <f>IF(AQ180="1",BH180,0)</f>
      </c>
      <c r="AC180" s="111">
        <f>IF(AQ180="1",BI180,0)</f>
      </c>
      <c r="AD180" s="111">
        <f>IF(AQ180="7",BH180,0)</f>
      </c>
      <c r="AE180" s="111">
        <f>IF(AQ180="7",BI180,0)</f>
      </c>
      <c r="AF180" s="111">
        <f>IF(AQ180="2",BH180,0)</f>
      </c>
      <c r="AG180" s="111">
        <f>IF(AQ180="2",BI180,0)</f>
      </c>
      <c r="AH180" s="111">
        <f>IF(AQ180="0",BJ180,0)</f>
      </c>
      <c r="AI180" s="132" t="s">
        <v>87</v>
      </c>
      <c r="AJ180" s="111">
        <f>IF(AN180=0,I180,0)</f>
      </c>
      <c r="AK180" s="111">
        <f>IF(AN180=12,I180,0)</f>
      </c>
      <c r="AL180" s="111">
        <f>IF(AN180=21,I180,0)</f>
      </c>
      <c r="AN180" s="111" t="n">
        <v>21</v>
      </c>
      <c r="AO180" s="111">
        <f>H180*0.180960771</f>
      </c>
      <c r="AP180" s="111">
        <f>H180*(1-0.180960771)</f>
      </c>
      <c r="AQ180" s="153" t="s">
        <v>130</v>
      </c>
      <c r="AV180" s="111">
        <f>AW180+AX180</f>
      </c>
      <c r="AW180" s="111">
        <f>G180*AO180</f>
      </c>
      <c r="AX180" s="111">
        <f>G180*AP180</f>
      </c>
      <c r="AY180" s="153" t="s">
        <v>3233</v>
      </c>
      <c r="AZ180" s="153" t="s">
        <v>3206</v>
      </c>
      <c r="BA180" s="132" t="s">
        <v>2990</v>
      </c>
      <c r="BC180" s="111">
        <f>AW180+AX180</f>
      </c>
      <c r="BD180" s="111">
        <f>H180/(100-BE180)*100</f>
      </c>
      <c r="BE180" s="111" t="n">
        <v>0</v>
      </c>
      <c r="BF180" s="111">
        <f>180</f>
      </c>
      <c r="BH180" s="111">
        <f>G180*AO180</f>
      </c>
      <c r="BI180" s="111">
        <f>G180*AP180</f>
      </c>
      <c r="BJ180" s="111">
        <f>G180*H180</f>
      </c>
      <c r="BK180" s="111"/>
      <c r="BL180" s="111" t="n">
        <v>89</v>
      </c>
      <c r="BW180" s="111" t="n">
        <v>21</v>
      </c>
      <c r="BX180" s="14" t="s">
        <v>3255</v>
      </c>
    </row>
    <row r="181">
      <c r="A181" s="154"/>
      <c r="B181" s="155"/>
      <c r="C181" s="155"/>
      <c r="D181" s="156" t="s">
        <v>130</v>
      </c>
      <c r="E181" s="156" t="s">
        <v>4</v>
      </c>
      <c r="F181" s="155"/>
      <c r="G181" s="157" t="n">
        <v>1</v>
      </c>
      <c r="H181" s="155"/>
      <c r="I181" s="155"/>
      <c r="J181" s="155"/>
      <c r="K181" s="146"/>
    </row>
    <row r="182">
      <c r="A182" s="9" t="s">
        <v>525</v>
      </c>
      <c r="B182" s="10" t="s">
        <v>87</v>
      </c>
      <c r="C182" s="10" t="s">
        <v>3257</v>
      </c>
      <c r="D182" s="14" t="s">
        <v>3258</v>
      </c>
      <c r="E182" s="10"/>
      <c r="F182" s="10" t="s">
        <v>133</v>
      </c>
      <c r="G182" s="111">
        <f>'Stavební rozpočet'!G2127</f>
      </c>
      <c r="H182" s="111">
        <f>'Stavební rozpočet'!H2127</f>
      </c>
      <c r="I182" s="111">
        <f>G182*H182</f>
      </c>
      <c r="J182" s="153" t="s">
        <v>134</v>
      </c>
      <c r="K182" s="146"/>
      <c r="Z182" s="111">
        <f>IF(AQ182="5",BJ182,0)</f>
      </c>
      <c r="AB182" s="111">
        <f>IF(AQ182="1",BH182,0)</f>
      </c>
      <c r="AC182" s="111">
        <f>IF(AQ182="1",BI182,0)</f>
      </c>
      <c r="AD182" s="111">
        <f>IF(AQ182="7",BH182,0)</f>
      </c>
      <c r="AE182" s="111">
        <f>IF(AQ182="7",BI182,0)</f>
      </c>
      <c r="AF182" s="111">
        <f>IF(AQ182="2",BH182,0)</f>
      </c>
      <c r="AG182" s="111">
        <f>IF(AQ182="2",BI182,0)</f>
      </c>
      <c r="AH182" s="111">
        <f>IF(AQ182="0",BJ182,0)</f>
      </c>
      <c r="AI182" s="132" t="s">
        <v>87</v>
      </c>
      <c r="AJ182" s="111">
        <f>IF(AN182=0,I182,0)</f>
      </c>
      <c r="AK182" s="111">
        <f>IF(AN182=12,I182,0)</f>
      </c>
      <c r="AL182" s="111">
        <f>IF(AN182=21,I182,0)</f>
      </c>
      <c r="AN182" s="111" t="n">
        <v>21</v>
      </c>
      <c r="AO182" s="111">
        <f>H182*0.644190538</f>
      </c>
      <c r="AP182" s="111">
        <f>H182*(1-0.644190538)</f>
      </c>
      <c r="AQ182" s="153" t="s">
        <v>130</v>
      </c>
      <c r="AV182" s="111">
        <f>AW182+AX182</f>
      </c>
      <c r="AW182" s="111">
        <f>G182*AO182</f>
      </c>
      <c r="AX182" s="111">
        <f>G182*AP182</f>
      </c>
      <c r="AY182" s="153" t="s">
        <v>3233</v>
      </c>
      <c r="AZ182" s="153" t="s">
        <v>3206</v>
      </c>
      <c r="BA182" s="132" t="s">
        <v>2990</v>
      </c>
      <c r="BC182" s="111">
        <f>AW182+AX182</f>
      </c>
      <c r="BD182" s="111">
        <f>H182/(100-BE182)*100</f>
      </c>
      <c r="BE182" s="111" t="n">
        <v>0</v>
      </c>
      <c r="BF182" s="111">
        <f>182</f>
      </c>
      <c r="BH182" s="111">
        <f>G182*AO182</f>
      </c>
      <c r="BI182" s="111">
        <f>G182*AP182</f>
      </c>
      <c r="BJ182" s="111">
        <f>G182*H182</f>
      </c>
      <c r="BK182" s="111"/>
      <c r="BL182" s="111" t="n">
        <v>89</v>
      </c>
      <c r="BW182" s="111" t="n">
        <v>21</v>
      </c>
      <c r="BX182" s="14" t="s">
        <v>3258</v>
      </c>
    </row>
    <row r="183">
      <c r="A183" s="154"/>
      <c r="B183" s="155"/>
      <c r="C183" s="155"/>
      <c r="D183" s="156" t="s">
        <v>130</v>
      </c>
      <c r="E183" s="156" t="s">
        <v>3015</v>
      </c>
      <c r="F183" s="155"/>
      <c r="G183" s="157" t="n">
        <v>1</v>
      </c>
      <c r="H183" s="155"/>
      <c r="I183" s="155"/>
      <c r="J183" s="155"/>
      <c r="K183" s="146"/>
    </row>
    <row r="184">
      <c r="A184" s="9" t="s">
        <v>531</v>
      </c>
      <c r="B184" s="10" t="s">
        <v>87</v>
      </c>
      <c r="C184" s="10" t="s">
        <v>3260</v>
      </c>
      <c r="D184" s="14" t="s">
        <v>3261</v>
      </c>
      <c r="E184" s="10"/>
      <c r="F184" s="10" t="s">
        <v>133</v>
      </c>
      <c r="G184" s="111">
        <f>'Stavební rozpočet'!G2129</f>
      </c>
      <c r="H184" s="111">
        <f>'Stavební rozpočet'!H2129</f>
      </c>
      <c r="I184" s="111">
        <f>G184*H184</f>
      </c>
      <c r="J184" s="153" t="s">
        <v>134</v>
      </c>
      <c r="K184" s="146"/>
      <c r="Z184" s="111">
        <f>IF(AQ184="5",BJ184,0)</f>
      </c>
      <c r="AB184" s="111">
        <f>IF(AQ184="1",BH184,0)</f>
      </c>
      <c r="AC184" s="111">
        <f>IF(AQ184="1",BI184,0)</f>
      </c>
      <c r="AD184" s="111">
        <f>IF(AQ184="7",BH184,0)</f>
      </c>
      <c r="AE184" s="111">
        <f>IF(AQ184="7",BI184,0)</f>
      </c>
      <c r="AF184" s="111">
        <f>IF(AQ184="2",BH184,0)</f>
      </c>
      <c r="AG184" s="111">
        <f>IF(AQ184="2",BI184,0)</f>
      </c>
      <c r="AH184" s="111">
        <f>IF(AQ184="0",BJ184,0)</f>
      </c>
      <c r="AI184" s="132" t="s">
        <v>87</v>
      </c>
      <c r="AJ184" s="111">
        <f>IF(AN184=0,I184,0)</f>
      </c>
      <c r="AK184" s="111">
        <f>IF(AN184=12,I184,0)</f>
      </c>
      <c r="AL184" s="111">
        <f>IF(AN184=21,I184,0)</f>
      </c>
      <c r="AN184" s="111" t="n">
        <v>21</v>
      </c>
      <c r="AO184" s="111">
        <f>H184*0.631520468</f>
      </c>
      <c r="AP184" s="111">
        <f>H184*(1-0.631520468)</f>
      </c>
      <c r="AQ184" s="153" t="s">
        <v>130</v>
      </c>
      <c r="AV184" s="111">
        <f>AW184+AX184</f>
      </c>
      <c r="AW184" s="111">
        <f>G184*AO184</f>
      </c>
      <c r="AX184" s="111">
        <f>G184*AP184</f>
      </c>
      <c r="AY184" s="153" t="s">
        <v>3233</v>
      </c>
      <c r="AZ184" s="153" t="s">
        <v>3206</v>
      </c>
      <c r="BA184" s="132" t="s">
        <v>2990</v>
      </c>
      <c r="BC184" s="111">
        <f>AW184+AX184</f>
      </c>
      <c r="BD184" s="111">
        <f>H184/(100-BE184)*100</f>
      </c>
      <c r="BE184" s="111" t="n">
        <v>0</v>
      </c>
      <c r="BF184" s="111">
        <f>184</f>
      </c>
      <c r="BH184" s="111">
        <f>G184*AO184</f>
      </c>
      <c r="BI184" s="111">
        <f>G184*AP184</f>
      </c>
      <c r="BJ184" s="111">
        <f>G184*H184</f>
      </c>
      <c r="BK184" s="111"/>
      <c r="BL184" s="111" t="n">
        <v>89</v>
      </c>
      <c r="BW184" s="111" t="n">
        <v>21</v>
      </c>
      <c r="BX184" s="14" t="s">
        <v>3261</v>
      </c>
    </row>
    <row r="185" customHeight="true" ht="13.5">
      <c r="A185" s="159"/>
      <c r="C185" s="160" t="s">
        <v>146</v>
      </c>
      <c r="D185" s="161" t="s">
        <v>3262</v>
      </c>
      <c r="E185" s="156"/>
      <c r="F185" s="156"/>
      <c r="G185" s="156"/>
      <c r="H185" s="156"/>
      <c r="I185" s="156"/>
      <c r="J185" s="156"/>
      <c r="K185" s="163"/>
    </row>
    <row r="186">
      <c r="A186" s="154"/>
      <c r="B186" s="155"/>
      <c r="C186" s="155"/>
      <c r="D186" s="156" t="s">
        <v>165</v>
      </c>
      <c r="E186" s="156" t="s">
        <v>3143</v>
      </c>
      <c r="F186" s="155"/>
      <c r="G186" s="157" t="n">
        <v>6</v>
      </c>
      <c r="H186" s="155"/>
      <c r="I186" s="155"/>
      <c r="J186" s="155"/>
      <c r="K186" s="146"/>
    </row>
    <row r="187">
      <c r="A187" s="9" t="s">
        <v>534</v>
      </c>
      <c r="B187" s="10" t="s">
        <v>87</v>
      </c>
      <c r="C187" s="10" t="s">
        <v>3264</v>
      </c>
      <c r="D187" s="14" t="s">
        <v>3265</v>
      </c>
      <c r="E187" s="10"/>
      <c r="F187" s="10" t="s">
        <v>133</v>
      </c>
      <c r="G187" s="111">
        <f>'Stavební rozpočet'!G2132</f>
      </c>
      <c r="H187" s="111">
        <f>'Stavební rozpočet'!H2132</f>
      </c>
      <c r="I187" s="111">
        <f>G187*H187</f>
      </c>
      <c r="J187" s="153" t="s">
        <v>134</v>
      </c>
      <c r="K187" s="146"/>
      <c r="Z187" s="111">
        <f>IF(AQ187="5",BJ187,0)</f>
      </c>
      <c r="AB187" s="111">
        <f>IF(AQ187="1",BH187,0)</f>
      </c>
      <c r="AC187" s="111">
        <f>IF(AQ187="1",BI187,0)</f>
      </c>
      <c r="AD187" s="111">
        <f>IF(AQ187="7",BH187,0)</f>
      </c>
      <c r="AE187" s="111">
        <f>IF(AQ187="7",BI187,0)</f>
      </c>
      <c r="AF187" s="111">
        <f>IF(AQ187="2",BH187,0)</f>
      </c>
      <c r="AG187" s="111">
        <f>IF(AQ187="2",BI187,0)</f>
      </c>
      <c r="AH187" s="111">
        <f>IF(AQ187="0",BJ187,0)</f>
      </c>
      <c r="AI187" s="132" t="s">
        <v>87</v>
      </c>
      <c r="AJ187" s="111">
        <f>IF(AN187=0,I187,0)</f>
      </c>
      <c r="AK187" s="111">
        <f>IF(AN187=12,I187,0)</f>
      </c>
      <c r="AL187" s="111">
        <f>IF(AN187=21,I187,0)</f>
      </c>
      <c r="AN187" s="111" t="n">
        <v>21</v>
      </c>
      <c r="AO187" s="111">
        <f>H187*0.678520408</f>
      </c>
      <c r="AP187" s="111">
        <f>H187*(1-0.678520408)</f>
      </c>
      <c r="AQ187" s="153" t="s">
        <v>130</v>
      </c>
      <c r="AV187" s="111">
        <f>AW187+AX187</f>
      </c>
      <c r="AW187" s="111">
        <f>G187*AO187</f>
      </c>
      <c r="AX187" s="111">
        <f>G187*AP187</f>
      </c>
      <c r="AY187" s="153" t="s">
        <v>3233</v>
      </c>
      <c r="AZ187" s="153" t="s">
        <v>3206</v>
      </c>
      <c r="BA187" s="132" t="s">
        <v>2990</v>
      </c>
      <c r="BC187" s="111">
        <f>AW187+AX187</f>
      </c>
      <c r="BD187" s="111">
        <f>H187/(100-BE187)*100</f>
      </c>
      <c r="BE187" s="111" t="n">
        <v>0</v>
      </c>
      <c r="BF187" s="111">
        <f>187</f>
      </c>
      <c r="BH187" s="111">
        <f>G187*AO187</f>
      </c>
      <c r="BI187" s="111">
        <f>G187*AP187</f>
      </c>
      <c r="BJ187" s="111">
        <f>G187*H187</f>
      </c>
      <c r="BK187" s="111"/>
      <c r="BL187" s="111" t="n">
        <v>89</v>
      </c>
      <c r="BW187" s="111" t="n">
        <v>21</v>
      </c>
      <c r="BX187" s="14" t="s">
        <v>3265</v>
      </c>
    </row>
    <row r="188" customHeight="true" ht="13.5">
      <c r="A188" s="159"/>
      <c r="C188" s="160" t="s">
        <v>146</v>
      </c>
      <c r="D188" s="161" t="s">
        <v>3266</v>
      </c>
      <c r="E188" s="156"/>
      <c r="F188" s="156"/>
      <c r="G188" s="156"/>
      <c r="H188" s="156"/>
      <c r="I188" s="156"/>
      <c r="J188" s="156"/>
      <c r="K188" s="163"/>
    </row>
    <row r="189">
      <c r="A189" s="154"/>
      <c r="B189" s="155"/>
      <c r="C189" s="155"/>
      <c r="D189" s="156" t="s">
        <v>130</v>
      </c>
      <c r="E189" s="156" t="s">
        <v>3143</v>
      </c>
      <c r="F189" s="155"/>
      <c r="G189" s="157" t="n">
        <v>1</v>
      </c>
      <c r="H189" s="155"/>
      <c r="I189" s="155"/>
      <c r="J189" s="155"/>
      <c r="K189" s="146"/>
    </row>
    <row r="190">
      <c r="A190" s="9" t="s">
        <v>539</v>
      </c>
      <c r="B190" s="10" t="s">
        <v>87</v>
      </c>
      <c r="C190" s="10" t="s">
        <v>3268</v>
      </c>
      <c r="D190" s="14" t="s">
        <v>3269</v>
      </c>
      <c r="E190" s="10"/>
      <c r="F190" s="10" t="s">
        <v>133</v>
      </c>
      <c r="G190" s="111">
        <f>'Stavební rozpočet'!G2135</f>
      </c>
      <c r="H190" s="111">
        <f>'Stavební rozpočet'!H2135</f>
      </c>
      <c r="I190" s="111">
        <f>G190*H190</f>
      </c>
      <c r="J190" s="153" t="s">
        <v>134</v>
      </c>
      <c r="K190" s="146"/>
      <c r="Z190" s="111">
        <f>IF(AQ190="5",BJ190,0)</f>
      </c>
      <c r="AB190" s="111">
        <f>IF(AQ190="1",BH190,0)</f>
      </c>
      <c r="AC190" s="111">
        <f>IF(AQ190="1",BI190,0)</f>
      </c>
      <c r="AD190" s="111">
        <f>IF(AQ190="7",BH190,0)</f>
      </c>
      <c r="AE190" s="111">
        <f>IF(AQ190="7",BI190,0)</f>
      </c>
      <c r="AF190" s="111">
        <f>IF(AQ190="2",BH190,0)</f>
      </c>
      <c r="AG190" s="111">
        <f>IF(AQ190="2",BI190,0)</f>
      </c>
      <c r="AH190" s="111">
        <f>IF(AQ190="0",BJ190,0)</f>
      </c>
      <c r="AI190" s="132" t="s">
        <v>87</v>
      </c>
      <c r="AJ190" s="111">
        <f>IF(AN190=0,I190,0)</f>
      </c>
      <c r="AK190" s="111">
        <f>IF(AN190=12,I190,0)</f>
      </c>
      <c r="AL190" s="111">
        <f>IF(AN190=21,I190,0)</f>
      </c>
      <c r="AN190" s="111" t="n">
        <v>21</v>
      </c>
      <c r="AO190" s="111">
        <f>H190*0.890857455</f>
      </c>
      <c r="AP190" s="111">
        <f>H190*(1-0.890857455)</f>
      </c>
      <c r="AQ190" s="153" t="s">
        <v>130</v>
      </c>
      <c r="AV190" s="111">
        <f>AW190+AX190</f>
      </c>
      <c r="AW190" s="111">
        <f>G190*AO190</f>
      </c>
      <c r="AX190" s="111">
        <f>G190*AP190</f>
      </c>
      <c r="AY190" s="153" t="s">
        <v>3233</v>
      </c>
      <c r="AZ190" s="153" t="s">
        <v>3206</v>
      </c>
      <c r="BA190" s="132" t="s">
        <v>2990</v>
      </c>
      <c r="BC190" s="111">
        <f>AW190+AX190</f>
      </c>
      <c r="BD190" s="111">
        <f>H190/(100-BE190)*100</f>
      </c>
      <c r="BE190" s="111" t="n">
        <v>0</v>
      </c>
      <c r="BF190" s="111">
        <f>190</f>
      </c>
      <c r="BH190" s="111">
        <f>G190*AO190</f>
      </c>
      <c r="BI190" s="111">
        <f>G190*AP190</f>
      </c>
      <c r="BJ190" s="111">
        <f>G190*H190</f>
      </c>
      <c r="BK190" s="111"/>
      <c r="BL190" s="111" t="n">
        <v>89</v>
      </c>
      <c r="BW190" s="111" t="n">
        <v>21</v>
      </c>
      <c r="BX190" s="14" t="s">
        <v>3269</v>
      </c>
    </row>
    <row r="191" customHeight="true" ht="13.5">
      <c r="A191" s="159"/>
      <c r="C191" s="160" t="s">
        <v>146</v>
      </c>
      <c r="D191" s="161" t="s">
        <v>3270</v>
      </c>
      <c r="E191" s="156"/>
      <c r="F191" s="156"/>
      <c r="G191" s="156"/>
      <c r="H191" s="156"/>
      <c r="I191" s="156"/>
      <c r="J191" s="156"/>
      <c r="K191" s="163"/>
    </row>
    <row r="192">
      <c r="A192" s="154"/>
      <c r="B192" s="155"/>
      <c r="C192" s="155"/>
      <c r="D192" s="156" t="s">
        <v>130</v>
      </c>
      <c r="E192" s="156" t="s">
        <v>4</v>
      </c>
      <c r="F192" s="155"/>
      <c r="G192" s="157" t="n">
        <v>1</v>
      </c>
      <c r="H192" s="155"/>
      <c r="I192" s="155"/>
      <c r="J192" s="155"/>
      <c r="K192" s="146"/>
    </row>
    <row r="193">
      <c r="A193" s="9" t="s">
        <v>543</v>
      </c>
      <c r="B193" s="10" t="s">
        <v>87</v>
      </c>
      <c r="C193" s="10" t="s">
        <v>3272</v>
      </c>
      <c r="D193" s="14" t="s">
        <v>3273</v>
      </c>
      <c r="E193" s="10"/>
      <c r="F193" s="10" t="s">
        <v>133</v>
      </c>
      <c r="G193" s="111">
        <f>'Stavební rozpočet'!G2138</f>
      </c>
      <c r="H193" s="111">
        <f>'Stavební rozpočet'!H2138</f>
      </c>
      <c r="I193" s="111">
        <f>G193*H193</f>
      </c>
      <c r="J193" s="153" t="s">
        <v>134</v>
      </c>
      <c r="K193" s="146"/>
      <c r="Z193" s="111">
        <f>IF(AQ193="5",BJ193,0)</f>
      </c>
      <c r="AB193" s="111">
        <f>IF(AQ193="1",BH193,0)</f>
      </c>
      <c r="AC193" s="111">
        <f>IF(AQ193="1",BI193,0)</f>
      </c>
      <c r="AD193" s="111">
        <f>IF(AQ193="7",BH193,0)</f>
      </c>
      <c r="AE193" s="111">
        <f>IF(AQ193="7",BI193,0)</f>
      </c>
      <c r="AF193" s="111">
        <f>IF(AQ193="2",BH193,0)</f>
      </c>
      <c r="AG193" s="111">
        <f>IF(AQ193="2",BI193,0)</f>
      </c>
      <c r="AH193" s="111">
        <f>IF(AQ193="0",BJ193,0)</f>
      </c>
      <c r="AI193" s="132" t="s">
        <v>87</v>
      </c>
      <c r="AJ193" s="111">
        <f>IF(AN193=0,I193,0)</f>
      </c>
      <c r="AK193" s="111">
        <f>IF(AN193=12,I193,0)</f>
      </c>
      <c r="AL193" s="111">
        <f>IF(AN193=21,I193,0)</f>
      </c>
      <c r="AN193" s="111" t="n">
        <v>21</v>
      </c>
      <c r="AO193" s="111">
        <f>H193*0.93515772</f>
      </c>
      <c r="AP193" s="111">
        <f>H193*(1-0.93515772)</f>
      </c>
      <c r="AQ193" s="153" t="s">
        <v>130</v>
      </c>
      <c r="AV193" s="111">
        <f>AW193+AX193</f>
      </c>
      <c r="AW193" s="111">
        <f>G193*AO193</f>
      </c>
      <c r="AX193" s="111">
        <f>G193*AP193</f>
      </c>
      <c r="AY193" s="153" t="s">
        <v>3233</v>
      </c>
      <c r="AZ193" s="153" t="s">
        <v>3206</v>
      </c>
      <c r="BA193" s="132" t="s">
        <v>2990</v>
      </c>
      <c r="BC193" s="111">
        <f>AW193+AX193</f>
      </c>
      <c r="BD193" s="111">
        <f>H193/(100-BE193)*100</f>
      </c>
      <c r="BE193" s="111" t="n">
        <v>0</v>
      </c>
      <c r="BF193" s="111">
        <f>193</f>
      </c>
      <c r="BH193" s="111">
        <f>G193*AO193</f>
      </c>
      <c r="BI193" s="111">
        <f>G193*AP193</f>
      </c>
      <c r="BJ193" s="111">
        <f>G193*H193</f>
      </c>
      <c r="BK193" s="111"/>
      <c r="BL193" s="111" t="n">
        <v>89</v>
      </c>
      <c r="BW193" s="111" t="n">
        <v>21</v>
      </c>
      <c r="BX193" s="14" t="s">
        <v>3273</v>
      </c>
    </row>
    <row r="194" customHeight="true" ht="13.5">
      <c r="A194" s="159"/>
      <c r="C194" s="160" t="s">
        <v>146</v>
      </c>
      <c r="D194" s="161" t="s">
        <v>3274</v>
      </c>
      <c r="E194" s="156"/>
      <c r="F194" s="156"/>
      <c r="G194" s="156"/>
      <c r="H194" s="156"/>
      <c r="I194" s="156"/>
      <c r="J194" s="156"/>
      <c r="K194" s="163"/>
    </row>
    <row r="195">
      <c r="A195" s="154"/>
      <c r="B195" s="155"/>
      <c r="C195" s="155"/>
      <c r="D195" s="156" t="s">
        <v>130</v>
      </c>
      <c r="E195" s="156" t="s">
        <v>4</v>
      </c>
      <c r="F195" s="155"/>
      <c r="G195" s="157" t="n">
        <v>1</v>
      </c>
      <c r="H195" s="155"/>
      <c r="I195" s="155"/>
      <c r="J195" s="155"/>
      <c r="K195" s="146"/>
    </row>
    <row r="196">
      <c r="A196" s="9" t="s">
        <v>546</v>
      </c>
      <c r="B196" s="10" t="s">
        <v>87</v>
      </c>
      <c r="C196" s="10" t="s">
        <v>3276</v>
      </c>
      <c r="D196" s="14" t="s">
        <v>3277</v>
      </c>
      <c r="E196" s="10"/>
      <c r="F196" s="10" t="s">
        <v>133</v>
      </c>
      <c r="G196" s="111">
        <f>'Stavební rozpočet'!G2141</f>
      </c>
      <c r="H196" s="111">
        <f>'Stavební rozpočet'!H2141</f>
      </c>
      <c r="I196" s="111">
        <f>G196*H196</f>
      </c>
      <c r="J196" s="153" t="s">
        <v>134</v>
      </c>
      <c r="K196" s="146"/>
      <c r="Z196" s="111">
        <f>IF(AQ196="5",BJ196,0)</f>
      </c>
      <c r="AB196" s="111">
        <f>IF(AQ196="1",BH196,0)</f>
      </c>
      <c r="AC196" s="111">
        <f>IF(AQ196="1",BI196,0)</f>
      </c>
      <c r="AD196" s="111">
        <f>IF(AQ196="7",BH196,0)</f>
      </c>
      <c r="AE196" s="111">
        <f>IF(AQ196="7",BI196,0)</f>
      </c>
      <c r="AF196" s="111">
        <f>IF(AQ196="2",BH196,0)</f>
      </c>
      <c r="AG196" s="111">
        <f>IF(AQ196="2",BI196,0)</f>
      </c>
      <c r="AH196" s="111">
        <f>IF(AQ196="0",BJ196,0)</f>
      </c>
      <c r="AI196" s="132" t="s">
        <v>87</v>
      </c>
      <c r="AJ196" s="111">
        <f>IF(AN196=0,I196,0)</f>
      </c>
      <c r="AK196" s="111">
        <f>IF(AN196=12,I196,0)</f>
      </c>
      <c r="AL196" s="111">
        <f>IF(AN196=21,I196,0)</f>
      </c>
      <c r="AN196" s="111" t="n">
        <v>21</v>
      </c>
      <c r="AO196" s="111">
        <f>H196*0.908157283</f>
      </c>
      <c r="AP196" s="111">
        <f>H196*(1-0.908157283)</f>
      </c>
      <c r="AQ196" s="153" t="s">
        <v>130</v>
      </c>
      <c r="AV196" s="111">
        <f>AW196+AX196</f>
      </c>
      <c r="AW196" s="111">
        <f>G196*AO196</f>
      </c>
      <c r="AX196" s="111">
        <f>G196*AP196</f>
      </c>
      <c r="AY196" s="153" t="s">
        <v>3233</v>
      </c>
      <c r="AZ196" s="153" t="s">
        <v>3206</v>
      </c>
      <c r="BA196" s="132" t="s">
        <v>2990</v>
      </c>
      <c r="BC196" s="111">
        <f>AW196+AX196</f>
      </c>
      <c r="BD196" s="111">
        <f>H196/(100-BE196)*100</f>
      </c>
      <c r="BE196" s="111" t="n">
        <v>0</v>
      </c>
      <c r="BF196" s="111">
        <f>196</f>
      </c>
      <c r="BH196" s="111">
        <f>G196*AO196</f>
      </c>
      <c r="BI196" s="111">
        <f>G196*AP196</f>
      </c>
      <c r="BJ196" s="111">
        <f>G196*H196</f>
      </c>
      <c r="BK196" s="111"/>
      <c r="BL196" s="111" t="n">
        <v>89</v>
      </c>
      <c r="BW196" s="111" t="n">
        <v>21</v>
      </c>
      <c r="BX196" s="14" t="s">
        <v>3277</v>
      </c>
    </row>
    <row r="197" customHeight="true" ht="13.5">
      <c r="A197" s="159"/>
      <c r="C197" s="160" t="s">
        <v>146</v>
      </c>
      <c r="D197" s="161" t="s">
        <v>3270</v>
      </c>
      <c r="E197" s="156"/>
      <c r="F197" s="156"/>
      <c r="G197" s="156"/>
      <c r="H197" s="156"/>
      <c r="I197" s="156"/>
      <c r="J197" s="156"/>
      <c r="K197" s="163"/>
    </row>
    <row r="198">
      <c r="A198" s="154"/>
      <c r="B198" s="155"/>
      <c r="C198" s="155"/>
      <c r="D198" s="156" t="s">
        <v>140</v>
      </c>
      <c r="E198" s="156" t="s">
        <v>4</v>
      </c>
      <c r="F198" s="155"/>
      <c r="G198" s="157" t="n">
        <v>2</v>
      </c>
      <c r="H198" s="155"/>
      <c r="I198" s="155"/>
      <c r="J198" s="155"/>
      <c r="K198" s="146"/>
    </row>
    <row r="199">
      <c r="A199" s="9" t="s">
        <v>549</v>
      </c>
      <c r="B199" s="10" t="s">
        <v>87</v>
      </c>
      <c r="C199" s="10" t="s">
        <v>3279</v>
      </c>
      <c r="D199" s="14" t="s">
        <v>3280</v>
      </c>
      <c r="E199" s="10"/>
      <c r="F199" s="10" t="s">
        <v>133</v>
      </c>
      <c r="G199" s="111">
        <f>'Stavební rozpočet'!G2144</f>
      </c>
      <c r="H199" s="111">
        <f>'Stavební rozpočet'!H2144</f>
      </c>
      <c r="I199" s="111">
        <f>G199*H199</f>
      </c>
      <c r="J199" s="153" t="s">
        <v>134</v>
      </c>
      <c r="K199" s="146"/>
      <c r="Z199" s="111">
        <f>IF(AQ199="5",BJ199,0)</f>
      </c>
      <c r="AB199" s="111">
        <f>IF(AQ199="1",BH199,0)</f>
      </c>
      <c r="AC199" s="111">
        <f>IF(AQ199="1",BI199,0)</f>
      </c>
      <c r="AD199" s="111">
        <f>IF(AQ199="7",BH199,0)</f>
      </c>
      <c r="AE199" s="111">
        <f>IF(AQ199="7",BI199,0)</f>
      </c>
      <c r="AF199" s="111">
        <f>IF(AQ199="2",BH199,0)</f>
      </c>
      <c r="AG199" s="111">
        <f>IF(AQ199="2",BI199,0)</f>
      </c>
      <c r="AH199" s="111">
        <f>IF(AQ199="0",BJ199,0)</f>
      </c>
      <c r="AI199" s="132" t="s">
        <v>87</v>
      </c>
      <c r="AJ199" s="111">
        <f>IF(AN199=0,I199,0)</f>
      </c>
      <c r="AK199" s="111">
        <f>IF(AN199=12,I199,0)</f>
      </c>
      <c r="AL199" s="111">
        <f>IF(AN199=21,I199,0)</f>
      </c>
      <c r="AN199" s="111" t="n">
        <v>21</v>
      </c>
      <c r="AO199" s="111">
        <f>H199*0.825555556</f>
      </c>
      <c r="AP199" s="111">
        <f>H199*(1-0.825555556)</f>
      </c>
      <c r="AQ199" s="153" t="s">
        <v>130</v>
      </c>
      <c r="AV199" s="111">
        <f>AW199+AX199</f>
      </c>
      <c r="AW199" s="111">
        <f>G199*AO199</f>
      </c>
      <c r="AX199" s="111">
        <f>G199*AP199</f>
      </c>
      <c r="AY199" s="153" t="s">
        <v>3233</v>
      </c>
      <c r="AZ199" s="153" t="s">
        <v>3206</v>
      </c>
      <c r="BA199" s="132" t="s">
        <v>2990</v>
      </c>
      <c r="BC199" s="111">
        <f>AW199+AX199</f>
      </c>
      <c r="BD199" s="111">
        <f>H199/(100-BE199)*100</f>
      </c>
      <c r="BE199" s="111" t="n">
        <v>0</v>
      </c>
      <c r="BF199" s="111">
        <f>199</f>
      </c>
      <c r="BH199" s="111">
        <f>G199*AO199</f>
      </c>
      <c r="BI199" s="111">
        <f>G199*AP199</f>
      </c>
      <c r="BJ199" s="111">
        <f>G199*H199</f>
      </c>
      <c r="BK199" s="111"/>
      <c r="BL199" s="111" t="n">
        <v>89</v>
      </c>
      <c r="BW199" s="111" t="n">
        <v>21</v>
      </c>
      <c r="BX199" s="14" t="s">
        <v>3280</v>
      </c>
    </row>
    <row r="200" customHeight="true" ht="13.5">
      <c r="A200" s="159"/>
      <c r="C200" s="160" t="s">
        <v>146</v>
      </c>
      <c r="D200" s="161" t="s">
        <v>3281</v>
      </c>
      <c r="E200" s="156"/>
      <c r="F200" s="156"/>
      <c r="G200" s="156"/>
      <c r="H200" s="156"/>
      <c r="I200" s="156"/>
      <c r="J200" s="156"/>
      <c r="K200" s="163"/>
    </row>
    <row r="201">
      <c r="A201" s="154"/>
      <c r="B201" s="155"/>
      <c r="C201" s="155"/>
      <c r="D201" s="156" t="s">
        <v>130</v>
      </c>
      <c r="E201" s="156" t="s">
        <v>3145</v>
      </c>
      <c r="F201" s="155"/>
      <c r="G201" s="157" t="n">
        <v>1</v>
      </c>
      <c r="H201" s="155"/>
      <c r="I201" s="155"/>
      <c r="J201" s="155"/>
      <c r="K201" s="146"/>
    </row>
    <row r="202">
      <c r="A202" s="154"/>
      <c r="B202" s="155"/>
      <c r="C202" s="155"/>
      <c r="D202" s="156" t="s">
        <v>130</v>
      </c>
      <c r="E202" s="156" t="s">
        <v>3143</v>
      </c>
      <c r="F202" s="155"/>
      <c r="G202" s="157" t="n">
        <v>1</v>
      </c>
      <c r="H202" s="155"/>
      <c r="I202" s="155"/>
      <c r="J202" s="155"/>
      <c r="K202" s="146"/>
    </row>
    <row r="203">
      <c r="A203" s="9" t="s">
        <v>556</v>
      </c>
      <c r="B203" s="10" t="s">
        <v>87</v>
      </c>
      <c r="C203" s="10" t="s">
        <v>3283</v>
      </c>
      <c r="D203" s="14" t="s">
        <v>3284</v>
      </c>
      <c r="E203" s="10"/>
      <c r="F203" s="10" t="s">
        <v>133</v>
      </c>
      <c r="G203" s="111">
        <f>'Stavební rozpočet'!G2148</f>
      </c>
      <c r="H203" s="111">
        <f>'Stavební rozpočet'!H2148</f>
      </c>
      <c r="I203" s="111">
        <f>G203*H203</f>
      </c>
      <c r="J203" s="153" t="s">
        <v>134</v>
      </c>
      <c r="K203" s="146"/>
      <c r="Z203" s="111">
        <f>IF(AQ203="5",BJ203,0)</f>
      </c>
      <c r="AB203" s="111">
        <f>IF(AQ203="1",BH203,0)</f>
      </c>
      <c r="AC203" s="111">
        <f>IF(AQ203="1",BI203,0)</f>
      </c>
      <c r="AD203" s="111">
        <f>IF(AQ203="7",BH203,0)</f>
      </c>
      <c r="AE203" s="111">
        <f>IF(AQ203="7",BI203,0)</f>
      </c>
      <c r="AF203" s="111">
        <f>IF(AQ203="2",BH203,0)</f>
      </c>
      <c r="AG203" s="111">
        <f>IF(AQ203="2",BI203,0)</f>
      </c>
      <c r="AH203" s="111">
        <f>IF(AQ203="0",BJ203,0)</f>
      </c>
      <c r="AI203" s="132" t="s">
        <v>87</v>
      </c>
      <c r="AJ203" s="111">
        <f>IF(AN203=0,I203,0)</f>
      </c>
      <c r="AK203" s="111">
        <f>IF(AN203=12,I203,0)</f>
      </c>
      <c r="AL203" s="111">
        <f>IF(AN203=21,I203,0)</f>
      </c>
      <c r="AN203" s="111" t="n">
        <v>21</v>
      </c>
      <c r="AO203" s="111">
        <f>H203*0.329748673</f>
      </c>
      <c r="AP203" s="111">
        <f>H203*(1-0.329748673)</f>
      </c>
      <c r="AQ203" s="153" t="s">
        <v>130</v>
      </c>
      <c r="AV203" s="111">
        <f>AW203+AX203</f>
      </c>
      <c r="AW203" s="111">
        <f>G203*AO203</f>
      </c>
      <c r="AX203" s="111">
        <f>G203*AP203</f>
      </c>
      <c r="AY203" s="153" t="s">
        <v>3233</v>
      </c>
      <c r="AZ203" s="153" t="s">
        <v>3206</v>
      </c>
      <c r="BA203" s="132" t="s">
        <v>2990</v>
      </c>
      <c r="BC203" s="111">
        <f>AW203+AX203</f>
      </c>
      <c r="BD203" s="111">
        <f>H203/(100-BE203)*100</f>
      </c>
      <c r="BE203" s="111" t="n">
        <v>0</v>
      </c>
      <c r="BF203" s="111">
        <f>203</f>
      </c>
      <c r="BH203" s="111">
        <f>G203*AO203</f>
      </c>
      <c r="BI203" s="111">
        <f>G203*AP203</f>
      </c>
      <c r="BJ203" s="111">
        <f>G203*H203</f>
      </c>
      <c r="BK203" s="111"/>
      <c r="BL203" s="111" t="n">
        <v>89</v>
      </c>
      <c r="BW203" s="111" t="n">
        <v>21</v>
      </c>
      <c r="BX203" s="14" t="s">
        <v>3284</v>
      </c>
    </row>
    <row r="204">
      <c r="A204" s="154"/>
      <c r="B204" s="155"/>
      <c r="C204" s="155"/>
      <c r="D204" s="156" t="s">
        <v>140</v>
      </c>
      <c r="E204" s="156" t="s">
        <v>4</v>
      </c>
      <c r="F204" s="155"/>
      <c r="G204" s="157" t="n">
        <v>2</v>
      </c>
      <c r="H204" s="155"/>
      <c r="I204" s="155"/>
      <c r="J204" s="155"/>
      <c r="K204" s="146"/>
    </row>
    <row r="205">
      <c r="A205" s="147" t="s">
        <v>4</v>
      </c>
      <c r="B205" s="148" t="s">
        <v>87</v>
      </c>
      <c r="C205" s="148" t="s">
        <v>737</v>
      </c>
      <c r="D205" s="149" t="s">
        <v>1320</v>
      </c>
      <c r="E205" s="148"/>
      <c r="F205" s="150" t="s">
        <v>79</v>
      </c>
      <c r="G205" s="150" t="s">
        <v>79</v>
      </c>
      <c r="H205" s="150" t="s">
        <v>79</v>
      </c>
      <c r="I205" s="117">
        <f>SUM(I206:I206)</f>
      </c>
      <c r="J205" s="132" t="s">
        <v>4</v>
      </c>
      <c r="K205" s="146"/>
      <c r="AI205" s="132" t="s">
        <v>87</v>
      </c>
      <c r="AS205" s="117">
        <f>SUM(AJ206:AJ206)</f>
      </c>
      <c r="AT205" s="117">
        <f>SUM(AK206:AK206)</f>
      </c>
      <c r="AU205" s="117">
        <f>SUM(AL206:AL206)</f>
      </c>
    </row>
    <row r="206">
      <c r="A206" s="9" t="s">
        <v>568</v>
      </c>
      <c r="B206" s="10" t="s">
        <v>87</v>
      </c>
      <c r="C206" s="10" t="s">
        <v>1331</v>
      </c>
      <c r="D206" s="14" t="s">
        <v>1332</v>
      </c>
      <c r="E206" s="10"/>
      <c r="F206" s="10" t="s">
        <v>1324</v>
      </c>
      <c r="G206" s="111">
        <f>'Stavební rozpočet'!G2151</f>
      </c>
      <c r="H206" s="111">
        <f>'Stavební rozpočet'!H2151</f>
      </c>
      <c r="I206" s="111">
        <f>G206*H206</f>
      </c>
      <c r="J206" s="153" t="s">
        <v>134</v>
      </c>
      <c r="K206" s="146"/>
      <c r="Z206" s="111">
        <f>IF(AQ206="5",BJ206,0)</f>
      </c>
      <c r="AB206" s="111">
        <f>IF(AQ206="1",BH206,0)</f>
      </c>
      <c r="AC206" s="111">
        <f>IF(AQ206="1",BI206,0)</f>
      </c>
      <c r="AD206" s="111">
        <f>IF(AQ206="7",BH206,0)</f>
      </c>
      <c r="AE206" s="111">
        <f>IF(AQ206="7",BI206,0)</f>
      </c>
      <c r="AF206" s="111">
        <f>IF(AQ206="2",BH206,0)</f>
      </c>
      <c r="AG206" s="111">
        <f>IF(AQ206="2",BI206,0)</f>
      </c>
      <c r="AH206" s="111">
        <f>IF(AQ206="0",BJ206,0)</f>
      </c>
      <c r="AI206" s="132" t="s">
        <v>87</v>
      </c>
      <c r="AJ206" s="111">
        <f>IF(AN206=0,I206,0)</f>
      </c>
      <c r="AK206" s="111">
        <f>IF(AN206=12,I206,0)</f>
      </c>
      <c r="AL206" s="111">
        <f>IF(AN206=21,I206,0)</f>
      </c>
      <c r="AN206" s="111" t="n">
        <v>21</v>
      </c>
      <c r="AO206" s="111">
        <f>H206*0</f>
      </c>
      <c r="AP206" s="111">
        <f>H206*(1-0)</f>
      </c>
      <c r="AQ206" s="153" t="s">
        <v>130</v>
      </c>
      <c r="AV206" s="111">
        <f>AW206+AX206</f>
      </c>
      <c r="AW206" s="111">
        <f>G206*AO206</f>
      </c>
      <c r="AX206" s="111">
        <f>G206*AP206</f>
      </c>
      <c r="AY206" s="153" t="s">
        <v>1325</v>
      </c>
      <c r="AZ206" s="153" t="s">
        <v>3286</v>
      </c>
      <c r="BA206" s="132" t="s">
        <v>2990</v>
      </c>
      <c r="BC206" s="111">
        <f>AW206+AX206</f>
      </c>
      <c r="BD206" s="111">
        <f>H206/(100-BE206)*100</f>
      </c>
      <c r="BE206" s="111" t="n">
        <v>0</v>
      </c>
      <c r="BF206" s="111">
        <f>206</f>
      </c>
      <c r="BH206" s="111">
        <f>G206*AO206</f>
      </c>
      <c r="BI206" s="111">
        <f>G206*AP206</f>
      </c>
      <c r="BJ206" s="111">
        <f>G206*H206</f>
      </c>
      <c r="BK206" s="111"/>
      <c r="BL206" s="111" t="n">
        <v>90</v>
      </c>
      <c r="BW206" s="111" t="n">
        <v>21</v>
      </c>
      <c r="BX206" s="14" t="s">
        <v>1332</v>
      </c>
    </row>
    <row r="207">
      <c r="A207" s="154"/>
      <c r="B207" s="155"/>
      <c r="C207" s="155"/>
      <c r="D207" s="156" t="s">
        <v>374</v>
      </c>
      <c r="E207" s="156" t="s">
        <v>3287</v>
      </c>
      <c r="F207" s="155"/>
      <c r="G207" s="157" t="n">
        <v>35</v>
      </c>
      <c r="H207" s="155"/>
      <c r="I207" s="155"/>
      <c r="J207" s="155"/>
      <c r="K207" s="146"/>
    </row>
    <row r="208">
      <c r="A208" s="147" t="s">
        <v>4</v>
      </c>
      <c r="B208" s="148" t="s">
        <v>87</v>
      </c>
      <c r="C208" s="148" t="s">
        <v>756</v>
      </c>
      <c r="D208" s="149" t="s">
        <v>1350</v>
      </c>
      <c r="E208" s="148"/>
      <c r="F208" s="150" t="s">
        <v>79</v>
      </c>
      <c r="G208" s="150" t="s">
        <v>79</v>
      </c>
      <c r="H208" s="150" t="s">
        <v>79</v>
      </c>
      <c r="I208" s="117">
        <f>SUM(I209:I209)</f>
      </c>
      <c r="J208" s="132" t="s">
        <v>4</v>
      </c>
      <c r="K208" s="146"/>
      <c r="AI208" s="132" t="s">
        <v>87</v>
      </c>
      <c r="AS208" s="117">
        <f>SUM(AJ209:AJ209)</f>
      </c>
      <c r="AT208" s="117">
        <f>SUM(AK209:AK209)</f>
      </c>
      <c r="AU208" s="117">
        <f>SUM(AL209:AL209)</f>
      </c>
    </row>
    <row r="209">
      <c r="A209" s="9" t="s">
        <v>576</v>
      </c>
      <c r="B209" s="10" t="s">
        <v>87</v>
      </c>
      <c r="C209" s="10" t="s">
        <v>3289</v>
      </c>
      <c r="D209" s="14" t="s">
        <v>3290</v>
      </c>
      <c r="E209" s="10"/>
      <c r="F209" s="10" t="s">
        <v>282</v>
      </c>
      <c r="G209" s="111">
        <f>'Stavební rozpočet'!G2154</f>
      </c>
      <c r="H209" s="111">
        <f>'Stavební rozpočet'!H2154</f>
      </c>
      <c r="I209" s="111">
        <f>G209*H209</f>
      </c>
      <c r="J209" s="153" t="s">
        <v>134</v>
      </c>
      <c r="K209" s="146"/>
      <c r="Z209" s="111">
        <f>IF(AQ209="5",BJ209,0)</f>
      </c>
      <c r="AB209" s="111">
        <f>IF(AQ209="1",BH209,0)</f>
      </c>
      <c r="AC209" s="111">
        <f>IF(AQ209="1",BI209,0)</f>
      </c>
      <c r="AD209" s="111">
        <f>IF(AQ209="7",BH209,0)</f>
      </c>
      <c r="AE209" s="111">
        <f>IF(AQ209="7",BI209,0)</f>
      </c>
      <c r="AF209" s="111">
        <f>IF(AQ209="2",BH209,0)</f>
      </c>
      <c r="AG209" s="111">
        <f>IF(AQ209="2",BI209,0)</f>
      </c>
      <c r="AH209" s="111">
        <f>IF(AQ209="0",BJ209,0)</f>
      </c>
      <c r="AI209" s="132" t="s">
        <v>87</v>
      </c>
      <c r="AJ209" s="111">
        <f>IF(AN209=0,I209,0)</f>
      </c>
      <c r="AK209" s="111">
        <f>IF(AN209=12,I209,0)</f>
      </c>
      <c r="AL209" s="111">
        <f>IF(AN209=21,I209,0)</f>
      </c>
      <c r="AN209" s="111" t="n">
        <v>21</v>
      </c>
      <c r="AO209" s="111">
        <f>H209*0.82992687</f>
      </c>
      <c r="AP209" s="111">
        <f>H209*(1-0.82992687)</f>
      </c>
      <c r="AQ209" s="153" t="s">
        <v>130</v>
      </c>
      <c r="AV209" s="111">
        <f>AW209+AX209</f>
      </c>
      <c r="AW209" s="111">
        <f>G209*AO209</f>
      </c>
      <c r="AX209" s="111">
        <f>G209*AP209</f>
      </c>
      <c r="AY209" s="153" t="s">
        <v>1354</v>
      </c>
      <c r="AZ209" s="153" t="s">
        <v>3286</v>
      </c>
      <c r="BA209" s="132" t="s">
        <v>2990</v>
      </c>
      <c r="BC209" s="111">
        <f>AW209+AX209</f>
      </c>
      <c r="BD209" s="111">
        <f>H209/(100-BE209)*100</f>
      </c>
      <c r="BE209" s="111" t="n">
        <v>0</v>
      </c>
      <c r="BF209" s="111">
        <f>209</f>
      </c>
      <c r="BH209" s="111">
        <f>G209*AO209</f>
      </c>
      <c r="BI209" s="111">
        <f>G209*AP209</f>
      </c>
      <c r="BJ209" s="111">
        <f>G209*H209</f>
      </c>
      <c r="BK209" s="111"/>
      <c r="BL209" s="111" t="n">
        <v>93</v>
      </c>
      <c r="BW209" s="111" t="n">
        <v>21</v>
      </c>
      <c r="BX209" s="14" t="s">
        <v>3290</v>
      </c>
    </row>
    <row r="210">
      <c r="A210" s="154"/>
      <c r="B210" s="155"/>
      <c r="C210" s="155"/>
      <c r="D210" s="156" t="s">
        <v>138</v>
      </c>
      <c r="E210" s="156" t="s">
        <v>4</v>
      </c>
      <c r="F210" s="155"/>
      <c r="G210" s="157" t="n">
        <v>3</v>
      </c>
      <c r="H210" s="155"/>
      <c r="I210" s="155"/>
      <c r="J210" s="155"/>
      <c r="K210" s="146"/>
    </row>
    <row r="211">
      <c r="A211" s="147" t="s">
        <v>4</v>
      </c>
      <c r="B211" s="148" t="s">
        <v>87</v>
      </c>
      <c r="C211" s="148" t="s">
        <v>783</v>
      </c>
      <c r="D211" s="149" t="s">
        <v>1526</v>
      </c>
      <c r="E211" s="148"/>
      <c r="F211" s="150" t="s">
        <v>79</v>
      </c>
      <c r="G211" s="150" t="s">
        <v>79</v>
      </c>
      <c r="H211" s="150" t="s">
        <v>79</v>
      </c>
      <c r="I211" s="117">
        <f>SUM(I212:I216)</f>
      </c>
      <c r="J211" s="132" t="s">
        <v>4</v>
      </c>
      <c r="K211" s="146"/>
      <c r="AI211" s="132" t="s">
        <v>87</v>
      </c>
      <c r="AS211" s="117">
        <f>SUM(AJ212:AJ216)</f>
      </c>
      <c r="AT211" s="117">
        <f>SUM(AK212:AK216)</f>
      </c>
      <c r="AU211" s="117">
        <f>SUM(AL212:AL216)</f>
      </c>
    </row>
    <row r="212">
      <c r="A212" s="9" t="s">
        <v>581</v>
      </c>
      <c r="B212" s="10" t="s">
        <v>87</v>
      </c>
      <c r="C212" s="10" t="s">
        <v>3292</v>
      </c>
      <c r="D212" s="14" t="s">
        <v>3293</v>
      </c>
      <c r="E212" s="10"/>
      <c r="F212" s="10" t="s">
        <v>282</v>
      </c>
      <c r="G212" s="111">
        <f>'Stavební rozpočet'!G2157</f>
      </c>
      <c r="H212" s="111">
        <f>'Stavební rozpočet'!H2157</f>
      </c>
      <c r="I212" s="111">
        <f>G212*H212</f>
      </c>
      <c r="J212" s="153" t="s">
        <v>134</v>
      </c>
      <c r="K212" s="146"/>
      <c r="Z212" s="111">
        <f>IF(AQ212="5",BJ212,0)</f>
      </c>
      <c r="AB212" s="111">
        <f>IF(AQ212="1",BH212,0)</f>
      </c>
      <c r="AC212" s="111">
        <f>IF(AQ212="1",BI212,0)</f>
      </c>
      <c r="AD212" s="111">
        <f>IF(AQ212="7",BH212,0)</f>
      </c>
      <c r="AE212" s="111">
        <f>IF(AQ212="7",BI212,0)</f>
      </c>
      <c r="AF212" s="111">
        <f>IF(AQ212="2",BH212,0)</f>
      </c>
      <c r="AG212" s="111">
        <f>IF(AQ212="2",BI212,0)</f>
      </c>
      <c r="AH212" s="111">
        <f>IF(AQ212="0",BJ212,0)</f>
      </c>
      <c r="AI212" s="132" t="s">
        <v>87</v>
      </c>
      <c r="AJ212" s="111">
        <f>IF(AN212=0,I212,0)</f>
      </c>
      <c r="AK212" s="111">
        <f>IF(AN212=12,I212,0)</f>
      </c>
      <c r="AL212" s="111">
        <f>IF(AN212=21,I212,0)</f>
      </c>
      <c r="AN212" s="111" t="n">
        <v>21</v>
      </c>
      <c r="AO212" s="111">
        <f>H212*0.322593103</f>
      </c>
      <c r="AP212" s="111">
        <f>H212*(1-0.322593103)</f>
      </c>
      <c r="AQ212" s="153" t="s">
        <v>130</v>
      </c>
      <c r="AV212" s="111">
        <f>AW212+AX212</f>
      </c>
      <c r="AW212" s="111">
        <f>G212*AO212</f>
      </c>
      <c r="AX212" s="111">
        <f>G212*AP212</f>
      </c>
      <c r="AY212" s="153" t="s">
        <v>1530</v>
      </c>
      <c r="AZ212" s="153" t="s">
        <v>3286</v>
      </c>
      <c r="BA212" s="132" t="s">
        <v>2990</v>
      </c>
      <c r="BC212" s="111">
        <f>AW212+AX212</f>
      </c>
      <c r="BD212" s="111">
        <f>H212/(100-BE212)*100</f>
      </c>
      <c r="BE212" s="111" t="n">
        <v>0</v>
      </c>
      <c r="BF212" s="111">
        <f>212</f>
      </c>
      <c r="BH212" s="111">
        <f>G212*AO212</f>
      </c>
      <c r="BI212" s="111">
        <f>G212*AP212</f>
      </c>
      <c r="BJ212" s="111">
        <f>G212*H212</f>
      </c>
      <c r="BK212" s="111"/>
      <c r="BL212" s="111" t="n">
        <v>97</v>
      </c>
      <c r="BW212" s="111" t="n">
        <v>21</v>
      </c>
      <c r="BX212" s="14" t="s">
        <v>3293</v>
      </c>
    </row>
    <row r="213">
      <c r="A213" s="154"/>
      <c r="B213" s="155"/>
      <c r="C213" s="155"/>
      <c r="D213" s="156" t="s">
        <v>3294</v>
      </c>
      <c r="E213" s="156" t="s">
        <v>3295</v>
      </c>
      <c r="F213" s="155"/>
      <c r="G213" s="157" t="n">
        <v>0.6</v>
      </c>
      <c r="H213" s="155"/>
      <c r="I213" s="155"/>
      <c r="J213" s="155"/>
      <c r="K213" s="146"/>
    </row>
    <row r="214">
      <c r="A214" s="9" t="s">
        <v>589</v>
      </c>
      <c r="B214" s="10" t="s">
        <v>87</v>
      </c>
      <c r="C214" s="10" t="s">
        <v>3297</v>
      </c>
      <c r="D214" s="14" t="s">
        <v>3298</v>
      </c>
      <c r="E214" s="10"/>
      <c r="F214" s="10" t="s">
        <v>282</v>
      </c>
      <c r="G214" s="111">
        <f>'Stavební rozpočet'!G2159</f>
      </c>
      <c r="H214" s="111">
        <f>'Stavební rozpočet'!H2159</f>
      </c>
      <c r="I214" s="111">
        <f>G214*H214</f>
      </c>
      <c r="J214" s="153" t="s">
        <v>134</v>
      </c>
      <c r="K214" s="146"/>
      <c r="Z214" s="111">
        <f>IF(AQ214="5",BJ214,0)</f>
      </c>
      <c r="AB214" s="111">
        <f>IF(AQ214="1",BH214,0)</f>
      </c>
      <c r="AC214" s="111">
        <f>IF(AQ214="1",BI214,0)</f>
      </c>
      <c r="AD214" s="111">
        <f>IF(AQ214="7",BH214,0)</f>
      </c>
      <c r="AE214" s="111">
        <f>IF(AQ214="7",BI214,0)</f>
      </c>
      <c r="AF214" s="111">
        <f>IF(AQ214="2",BH214,0)</f>
      </c>
      <c r="AG214" s="111">
        <f>IF(AQ214="2",BI214,0)</f>
      </c>
      <c r="AH214" s="111">
        <f>IF(AQ214="0",BJ214,0)</f>
      </c>
      <c r="AI214" s="132" t="s">
        <v>87</v>
      </c>
      <c r="AJ214" s="111">
        <f>IF(AN214=0,I214,0)</f>
      </c>
      <c r="AK214" s="111">
        <f>IF(AN214=12,I214,0)</f>
      </c>
      <c r="AL214" s="111">
        <f>IF(AN214=21,I214,0)</f>
      </c>
      <c r="AN214" s="111" t="n">
        <v>21</v>
      </c>
      <c r="AO214" s="111">
        <f>H214*0.28979703</f>
      </c>
      <c r="AP214" s="111">
        <f>H214*(1-0.28979703)</f>
      </c>
      <c r="AQ214" s="153" t="s">
        <v>130</v>
      </c>
      <c r="AV214" s="111">
        <f>AW214+AX214</f>
      </c>
      <c r="AW214" s="111">
        <f>G214*AO214</f>
      </c>
      <c r="AX214" s="111">
        <f>G214*AP214</f>
      </c>
      <c r="AY214" s="153" t="s">
        <v>1530</v>
      </c>
      <c r="AZ214" s="153" t="s">
        <v>3286</v>
      </c>
      <c r="BA214" s="132" t="s">
        <v>2990</v>
      </c>
      <c r="BC214" s="111">
        <f>AW214+AX214</f>
      </c>
      <c r="BD214" s="111">
        <f>H214/(100-BE214)*100</f>
      </c>
      <c r="BE214" s="111" t="n">
        <v>0</v>
      </c>
      <c r="BF214" s="111">
        <f>214</f>
      </c>
      <c r="BH214" s="111">
        <f>G214*AO214</f>
      </c>
      <c r="BI214" s="111">
        <f>G214*AP214</f>
      </c>
      <c r="BJ214" s="111">
        <f>G214*H214</f>
      </c>
      <c r="BK214" s="111"/>
      <c r="BL214" s="111" t="n">
        <v>97</v>
      </c>
      <c r="BW214" s="111" t="n">
        <v>21</v>
      </c>
      <c r="BX214" s="14" t="s">
        <v>3298</v>
      </c>
    </row>
    <row r="215">
      <c r="A215" s="154"/>
      <c r="B215" s="155"/>
      <c r="C215" s="155"/>
      <c r="D215" s="156" t="s">
        <v>3299</v>
      </c>
      <c r="E215" s="156" t="s">
        <v>3300</v>
      </c>
      <c r="F215" s="155"/>
      <c r="G215" s="157" t="n">
        <v>0.2</v>
      </c>
      <c r="H215" s="155"/>
      <c r="I215" s="155"/>
      <c r="J215" s="155"/>
      <c r="K215" s="146"/>
    </row>
    <row r="216">
      <c r="A216" s="9" t="s">
        <v>597</v>
      </c>
      <c r="B216" s="10" t="s">
        <v>87</v>
      </c>
      <c r="C216" s="10" t="s">
        <v>3302</v>
      </c>
      <c r="D216" s="14" t="s">
        <v>3303</v>
      </c>
      <c r="E216" s="10"/>
      <c r="F216" s="10" t="s">
        <v>229</v>
      </c>
      <c r="G216" s="111">
        <f>'Stavební rozpočet'!G2161</f>
      </c>
      <c r="H216" s="111">
        <f>'Stavební rozpočet'!H2161</f>
      </c>
      <c r="I216" s="111">
        <f>G216*H216</f>
      </c>
      <c r="J216" s="153" t="s">
        <v>134</v>
      </c>
      <c r="K216" s="146"/>
      <c r="Z216" s="111">
        <f>IF(AQ216="5",BJ216,0)</f>
      </c>
      <c r="AB216" s="111">
        <f>IF(AQ216="1",BH216,0)</f>
      </c>
      <c r="AC216" s="111">
        <f>IF(AQ216="1",BI216,0)</f>
      </c>
      <c r="AD216" s="111">
        <f>IF(AQ216="7",BH216,0)</f>
      </c>
      <c r="AE216" s="111">
        <f>IF(AQ216="7",BI216,0)</f>
      </c>
      <c r="AF216" s="111">
        <f>IF(AQ216="2",BH216,0)</f>
      </c>
      <c r="AG216" s="111">
        <f>IF(AQ216="2",BI216,0)</f>
      </c>
      <c r="AH216" s="111">
        <f>IF(AQ216="0",BJ216,0)</f>
      </c>
      <c r="AI216" s="132" t="s">
        <v>87</v>
      </c>
      <c r="AJ216" s="111">
        <f>IF(AN216=0,I216,0)</f>
      </c>
      <c r="AK216" s="111">
        <f>IF(AN216=12,I216,0)</f>
      </c>
      <c r="AL216" s="111">
        <f>IF(AN216=21,I216,0)</f>
      </c>
      <c r="AN216" s="111" t="n">
        <v>21</v>
      </c>
      <c r="AO216" s="111">
        <f>H216*0</f>
      </c>
      <c r="AP216" s="111">
        <f>H216*(1-0)</f>
      </c>
      <c r="AQ216" s="153" t="s">
        <v>130</v>
      </c>
      <c r="AV216" s="111">
        <f>AW216+AX216</f>
      </c>
      <c r="AW216" s="111">
        <f>G216*AO216</f>
      </c>
      <c r="AX216" s="111">
        <f>G216*AP216</f>
      </c>
      <c r="AY216" s="153" t="s">
        <v>1530</v>
      </c>
      <c r="AZ216" s="153" t="s">
        <v>3286</v>
      </c>
      <c r="BA216" s="132" t="s">
        <v>2990</v>
      </c>
      <c r="BC216" s="111">
        <f>AW216+AX216</f>
      </c>
      <c r="BD216" s="111">
        <f>H216/(100-BE216)*100</f>
      </c>
      <c r="BE216" s="111" t="n">
        <v>0</v>
      </c>
      <c r="BF216" s="111">
        <f>216</f>
      </c>
      <c r="BH216" s="111">
        <f>G216*AO216</f>
      </c>
      <c r="BI216" s="111">
        <f>G216*AP216</f>
      </c>
      <c r="BJ216" s="111">
        <f>G216*H216</f>
      </c>
      <c r="BK216" s="111"/>
      <c r="BL216" s="111" t="n">
        <v>97</v>
      </c>
      <c r="BW216" s="111" t="n">
        <v>21</v>
      </c>
      <c r="BX216" s="14" t="s">
        <v>3303</v>
      </c>
    </row>
    <row r="217">
      <c r="A217" s="154"/>
      <c r="B217" s="155"/>
      <c r="C217" s="155"/>
      <c r="D217" s="156" t="s">
        <v>3304</v>
      </c>
      <c r="E217" s="156" t="s">
        <v>4</v>
      </c>
      <c r="F217" s="155"/>
      <c r="G217" s="157" t="n">
        <v>0.03631</v>
      </c>
      <c r="H217" s="155"/>
      <c r="I217" s="155"/>
      <c r="J217" s="155"/>
      <c r="K217" s="146"/>
    </row>
    <row r="218">
      <c r="A218" s="147" t="s">
        <v>4</v>
      </c>
      <c r="B218" s="148" t="s">
        <v>87</v>
      </c>
      <c r="C218" s="148" t="s">
        <v>1566</v>
      </c>
      <c r="D218" s="149" t="s">
        <v>1567</v>
      </c>
      <c r="E218" s="148"/>
      <c r="F218" s="150" t="s">
        <v>79</v>
      </c>
      <c r="G218" s="150" t="s">
        <v>79</v>
      </c>
      <c r="H218" s="150" t="s">
        <v>79</v>
      </c>
      <c r="I218" s="117">
        <f>SUM(I219:I219)</f>
      </c>
      <c r="J218" s="132" t="s">
        <v>4</v>
      </c>
      <c r="K218" s="146"/>
      <c r="AI218" s="132" t="s">
        <v>87</v>
      </c>
      <c r="AS218" s="117">
        <f>SUM(AJ219:AJ219)</f>
      </c>
      <c r="AT218" s="117">
        <f>SUM(AK219:AK219)</f>
      </c>
      <c r="AU218" s="117">
        <f>SUM(AL219:AL219)</f>
      </c>
    </row>
    <row r="219">
      <c r="A219" s="9" t="s">
        <v>607</v>
      </c>
      <c r="B219" s="10" t="s">
        <v>87</v>
      </c>
      <c r="C219" s="10" t="s">
        <v>3306</v>
      </c>
      <c r="D219" s="14" t="s">
        <v>3307</v>
      </c>
      <c r="E219" s="10"/>
      <c r="F219" s="10" t="s">
        <v>229</v>
      </c>
      <c r="G219" s="111">
        <f>'Stavební rozpočet'!G2164</f>
      </c>
      <c r="H219" s="111">
        <f>'Stavební rozpočet'!H2164</f>
      </c>
      <c r="I219" s="111">
        <f>G219*H219</f>
      </c>
      <c r="J219" s="153" t="s">
        <v>134</v>
      </c>
      <c r="K219" s="146"/>
      <c r="Z219" s="111">
        <f>IF(AQ219="5",BJ219,0)</f>
      </c>
      <c r="AB219" s="111">
        <f>IF(AQ219="1",BH219,0)</f>
      </c>
      <c r="AC219" s="111">
        <f>IF(AQ219="1",BI219,0)</f>
      </c>
      <c r="AD219" s="111">
        <f>IF(AQ219="7",BH219,0)</f>
      </c>
      <c r="AE219" s="111">
        <f>IF(AQ219="7",BI219,0)</f>
      </c>
      <c r="AF219" s="111">
        <f>IF(AQ219="2",BH219,0)</f>
      </c>
      <c r="AG219" s="111">
        <f>IF(AQ219="2",BI219,0)</f>
      </c>
      <c r="AH219" s="111">
        <f>IF(AQ219="0",BJ219,0)</f>
      </c>
      <c r="AI219" s="132" t="s">
        <v>87</v>
      </c>
      <c r="AJ219" s="111">
        <f>IF(AN219=0,I219,0)</f>
      </c>
      <c r="AK219" s="111">
        <f>IF(AN219=12,I219,0)</f>
      </c>
      <c r="AL219" s="111">
        <f>IF(AN219=21,I219,0)</f>
      </c>
      <c r="AN219" s="111" t="n">
        <v>21</v>
      </c>
      <c r="AO219" s="111">
        <f>H219*0</f>
      </c>
      <c r="AP219" s="111">
        <f>H219*(1-0)</f>
      </c>
      <c r="AQ219" s="153" t="s">
        <v>156</v>
      </c>
      <c r="AV219" s="111">
        <f>AW219+AX219</f>
      </c>
      <c r="AW219" s="111">
        <f>G219*AO219</f>
      </c>
      <c r="AX219" s="111">
        <f>G219*AP219</f>
      </c>
      <c r="AY219" s="153" t="s">
        <v>1571</v>
      </c>
      <c r="AZ219" s="153" t="s">
        <v>3286</v>
      </c>
      <c r="BA219" s="132" t="s">
        <v>2990</v>
      </c>
      <c r="BC219" s="111">
        <f>AW219+AX219</f>
      </c>
      <c r="BD219" s="111">
        <f>H219/(100-BE219)*100</f>
      </c>
      <c r="BE219" s="111" t="n">
        <v>0</v>
      </c>
      <c r="BF219" s="111">
        <f>219</f>
      </c>
      <c r="BH219" s="111">
        <f>G219*AO219</f>
      </c>
      <c r="BI219" s="111">
        <f>G219*AP219</f>
      </c>
      <c r="BJ219" s="111">
        <f>G219*H219</f>
      </c>
      <c r="BK219" s="111"/>
      <c r="BL219" s="111"/>
      <c r="BW219" s="111" t="n">
        <v>21</v>
      </c>
      <c r="BX219" s="14" t="s">
        <v>3307</v>
      </c>
    </row>
    <row r="220">
      <c r="A220" s="154"/>
      <c r="B220" s="155"/>
      <c r="C220" s="155"/>
      <c r="D220" s="156" t="s">
        <v>3304</v>
      </c>
      <c r="E220" s="156" t="s">
        <v>4</v>
      </c>
      <c r="F220" s="155"/>
      <c r="G220" s="157" t="n">
        <v>0.03631</v>
      </c>
      <c r="H220" s="155"/>
      <c r="I220" s="155"/>
      <c r="J220" s="155"/>
      <c r="K220" s="146"/>
    </row>
    <row r="221">
      <c r="A221" s="147" t="s">
        <v>4</v>
      </c>
      <c r="B221" s="148" t="s">
        <v>87</v>
      </c>
      <c r="C221" s="148" t="s">
        <v>1614</v>
      </c>
      <c r="D221" s="149" t="s">
        <v>1615</v>
      </c>
      <c r="E221" s="148"/>
      <c r="F221" s="150" t="s">
        <v>79</v>
      </c>
      <c r="G221" s="150" t="s">
        <v>79</v>
      </c>
      <c r="H221" s="150" t="s">
        <v>79</v>
      </c>
      <c r="I221" s="117">
        <f>SUM(I222:I228)</f>
      </c>
      <c r="J221" s="132" t="s">
        <v>4</v>
      </c>
      <c r="K221" s="146"/>
      <c r="AI221" s="132" t="s">
        <v>87</v>
      </c>
      <c r="AS221" s="117">
        <f>SUM(AJ222:AJ228)</f>
      </c>
      <c r="AT221" s="117">
        <f>SUM(AK222:AK228)</f>
      </c>
      <c r="AU221" s="117">
        <f>SUM(AL222:AL228)</f>
      </c>
    </row>
    <row r="222">
      <c r="A222" s="9" t="s">
        <v>613</v>
      </c>
      <c r="B222" s="10" t="s">
        <v>87</v>
      </c>
      <c r="C222" s="10" t="s">
        <v>3309</v>
      </c>
      <c r="D222" s="14" t="s">
        <v>1625</v>
      </c>
      <c r="E222" s="10"/>
      <c r="F222" s="10" t="s">
        <v>145</v>
      </c>
      <c r="G222" s="111">
        <f>'Stavební rozpočet'!G2167</f>
      </c>
      <c r="H222" s="111">
        <f>'Stavební rozpočet'!H2167</f>
      </c>
      <c r="I222" s="111">
        <f>G222*H222</f>
      </c>
      <c r="J222" s="153" t="s">
        <v>134</v>
      </c>
      <c r="K222" s="146"/>
      <c r="Z222" s="111">
        <f>IF(AQ222="5",BJ222,0)</f>
      </c>
      <c r="AB222" s="111">
        <f>IF(AQ222="1",BH222,0)</f>
      </c>
      <c r="AC222" s="111">
        <f>IF(AQ222="1",BI222,0)</f>
      </c>
      <c r="AD222" s="111">
        <f>IF(AQ222="7",BH222,0)</f>
      </c>
      <c r="AE222" s="111">
        <f>IF(AQ222="7",BI222,0)</f>
      </c>
      <c r="AF222" s="111">
        <f>IF(AQ222="2",BH222,0)</f>
      </c>
      <c r="AG222" s="111">
        <f>IF(AQ222="2",BI222,0)</f>
      </c>
      <c r="AH222" s="111">
        <f>IF(AQ222="0",BJ222,0)</f>
      </c>
      <c r="AI222" s="132" t="s">
        <v>87</v>
      </c>
      <c r="AJ222" s="111">
        <f>IF(AN222=0,I222,0)</f>
      </c>
      <c r="AK222" s="111">
        <f>IF(AN222=12,I222,0)</f>
      </c>
      <c r="AL222" s="111">
        <f>IF(AN222=21,I222,0)</f>
      </c>
      <c r="AN222" s="111" t="n">
        <v>21</v>
      </c>
      <c r="AO222" s="111">
        <f>H222*0.512022834</f>
      </c>
      <c r="AP222" s="111">
        <f>H222*(1-0.512022834)</f>
      </c>
      <c r="AQ222" s="153" t="s">
        <v>173</v>
      </c>
      <c r="AV222" s="111">
        <f>AW222+AX222</f>
      </c>
      <c r="AW222" s="111">
        <f>G222*AO222</f>
      </c>
      <c r="AX222" s="111">
        <f>G222*AP222</f>
      </c>
      <c r="AY222" s="153" t="s">
        <v>1619</v>
      </c>
      <c r="AZ222" s="153" t="s">
        <v>3310</v>
      </c>
      <c r="BA222" s="132" t="s">
        <v>2990</v>
      </c>
      <c r="BC222" s="111">
        <f>AW222+AX222</f>
      </c>
      <c r="BD222" s="111">
        <f>H222/(100-BE222)*100</f>
      </c>
      <c r="BE222" s="111" t="n">
        <v>0</v>
      </c>
      <c r="BF222" s="111">
        <f>222</f>
      </c>
      <c r="BH222" s="111">
        <f>G222*AO222</f>
      </c>
      <c r="BI222" s="111">
        <f>G222*AP222</f>
      </c>
      <c r="BJ222" s="111">
        <f>G222*H222</f>
      </c>
      <c r="BK222" s="111"/>
      <c r="BL222" s="111" t="n">
        <v>711</v>
      </c>
      <c r="BW222" s="111" t="n">
        <v>21</v>
      </c>
      <c r="BX222" s="14" t="s">
        <v>1625</v>
      </c>
    </row>
    <row r="223" customHeight="true" ht="13.5">
      <c r="A223" s="159"/>
      <c r="C223" s="160" t="s">
        <v>146</v>
      </c>
      <c r="D223" s="161" t="s">
        <v>3311</v>
      </c>
      <c r="E223" s="156"/>
      <c r="F223" s="156"/>
      <c r="G223" s="156"/>
      <c r="H223" s="156"/>
      <c r="I223" s="156"/>
      <c r="J223" s="156"/>
      <c r="K223" s="163"/>
    </row>
    <row r="224">
      <c r="A224" s="154"/>
      <c r="B224" s="155"/>
      <c r="C224" s="155"/>
      <c r="D224" s="156" t="s">
        <v>149</v>
      </c>
      <c r="E224" s="156" t="s">
        <v>3143</v>
      </c>
      <c r="F224" s="155"/>
      <c r="G224" s="157" t="n">
        <v>4</v>
      </c>
      <c r="H224" s="155"/>
      <c r="I224" s="155"/>
      <c r="J224" s="155"/>
      <c r="K224" s="146"/>
    </row>
    <row r="225">
      <c r="A225" s="9" t="s">
        <v>623</v>
      </c>
      <c r="B225" s="10" t="s">
        <v>87</v>
      </c>
      <c r="C225" s="10" t="s">
        <v>3313</v>
      </c>
      <c r="D225" s="14" t="s">
        <v>3314</v>
      </c>
      <c r="E225" s="10"/>
      <c r="F225" s="10" t="s">
        <v>145</v>
      </c>
      <c r="G225" s="111">
        <f>'Stavební rozpočet'!G2170</f>
      </c>
      <c r="H225" s="111">
        <f>'Stavební rozpočet'!H2170</f>
      </c>
      <c r="I225" s="111">
        <f>G225*H225</f>
      </c>
      <c r="J225" s="153" t="s">
        <v>134</v>
      </c>
      <c r="K225" s="146"/>
      <c r="Z225" s="111">
        <f>IF(AQ225="5",BJ225,0)</f>
      </c>
      <c r="AB225" s="111">
        <f>IF(AQ225="1",BH225,0)</f>
      </c>
      <c r="AC225" s="111">
        <f>IF(AQ225="1",BI225,0)</f>
      </c>
      <c r="AD225" s="111">
        <f>IF(AQ225="7",BH225,0)</f>
      </c>
      <c r="AE225" s="111">
        <f>IF(AQ225="7",BI225,0)</f>
      </c>
      <c r="AF225" s="111">
        <f>IF(AQ225="2",BH225,0)</f>
      </c>
      <c r="AG225" s="111">
        <f>IF(AQ225="2",BI225,0)</f>
      </c>
      <c r="AH225" s="111">
        <f>IF(AQ225="0",BJ225,0)</f>
      </c>
      <c r="AI225" s="132" t="s">
        <v>87</v>
      </c>
      <c r="AJ225" s="111">
        <f>IF(AN225=0,I225,0)</f>
      </c>
      <c r="AK225" s="111">
        <f>IF(AN225=12,I225,0)</f>
      </c>
      <c r="AL225" s="111">
        <f>IF(AN225=21,I225,0)</f>
      </c>
      <c r="AN225" s="111" t="n">
        <v>21</v>
      </c>
      <c r="AO225" s="111">
        <f>H225*0.773004967</f>
      </c>
      <c r="AP225" s="111">
        <f>H225*(1-0.773004967)</f>
      </c>
      <c r="AQ225" s="153" t="s">
        <v>173</v>
      </c>
      <c r="AV225" s="111">
        <f>AW225+AX225</f>
      </c>
      <c r="AW225" s="111">
        <f>G225*AO225</f>
      </c>
      <c r="AX225" s="111">
        <f>G225*AP225</f>
      </c>
      <c r="AY225" s="153" t="s">
        <v>1619</v>
      </c>
      <c r="AZ225" s="153" t="s">
        <v>3310</v>
      </c>
      <c r="BA225" s="132" t="s">
        <v>2990</v>
      </c>
      <c r="BC225" s="111">
        <f>AW225+AX225</f>
      </c>
      <c r="BD225" s="111">
        <f>H225/(100-BE225)*100</f>
      </c>
      <c r="BE225" s="111" t="n">
        <v>0</v>
      </c>
      <c r="BF225" s="111">
        <f>225</f>
      </c>
      <c r="BH225" s="111">
        <f>G225*AO225</f>
      </c>
      <c r="BI225" s="111">
        <f>G225*AP225</f>
      </c>
      <c r="BJ225" s="111">
        <f>G225*H225</f>
      </c>
      <c r="BK225" s="111"/>
      <c r="BL225" s="111" t="n">
        <v>711</v>
      </c>
      <c r="BW225" s="111" t="n">
        <v>21</v>
      </c>
      <c r="BX225" s="14" t="s">
        <v>3314</v>
      </c>
    </row>
    <row r="226" customHeight="true" ht="13.5">
      <c r="A226" s="159"/>
      <c r="C226" s="160" t="s">
        <v>146</v>
      </c>
      <c r="D226" s="161" t="s">
        <v>3315</v>
      </c>
      <c r="E226" s="156"/>
      <c r="F226" s="156"/>
      <c r="G226" s="156"/>
      <c r="H226" s="156"/>
      <c r="I226" s="156"/>
      <c r="J226" s="156"/>
      <c r="K226" s="163"/>
    </row>
    <row r="227">
      <c r="A227" s="154"/>
      <c r="B227" s="155"/>
      <c r="C227" s="155"/>
      <c r="D227" s="156" t="s">
        <v>3316</v>
      </c>
      <c r="E227" s="156" t="s">
        <v>3143</v>
      </c>
      <c r="F227" s="155"/>
      <c r="G227" s="157" t="n">
        <v>1.5</v>
      </c>
      <c r="H227" s="155"/>
      <c r="I227" s="155"/>
      <c r="J227" s="155"/>
      <c r="K227" s="146"/>
    </row>
    <row r="228">
      <c r="A228" s="9" t="s">
        <v>633</v>
      </c>
      <c r="B228" s="10" t="s">
        <v>87</v>
      </c>
      <c r="C228" s="10" t="s">
        <v>3318</v>
      </c>
      <c r="D228" s="14" t="s">
        <v>3319</v>
      </c>
      <c r="E228" s="10"/>
      <c r="F228" s="10" t="s">
        <v>145</v>
      </c>
      <c r="G228" s="111">
        <f>'Stavební rozpočet'!G2173</f>
      </c>
      <c r="H228" s="111">
        <f>'Stavební rozpočet'!H2173</f>
      </c>
      <c r="I228" s="111">
        <f>G228*H228</f>
      </c>
      <c r="J228" s="153" t="s">
        <v>134</v>
      </c>
      <c r="K228" s="146"/>
      <c r="Z228" s="111">
        <f>IF(AQ228="5",BJ228,0)</f>
      </c>
      <c r="AB228" s="111">
        <f>IF(AQ228="1",BH228,0)</f>
      </c>
      <c r="AC228" s="111">
        <f>IF(AQ228="1",BI228,0)</f>
      </c>
      <c r="AD228" s="111">
        <f>IF(AQ228="7",BH228,0)</f>
      </c>
      <c r="AE228" s="111">
        <f>IF(AQ228="7",BI228,0)</f>
      </c>
      <c r="AF228" s="111">
        <f>IF(AQ228="2",BH228,0)</f>
      </c>
      <c r="AG228" s="111">
        <f>IF(AQ228="2",BI228,0)</f>
      </c>
      <c r="AH228" s="111">
        <f>IF(AQ228="0",BJ228,0)</f>
      </c>
      <c r="AI228" s="132" t="s">
        <v>87</v>
      </c>
      <c r="AJ228" s="111">
        <f>IF(AN228=0,I228,0)</f>
      </c>
      <c r="AK228" s="111">
        <f>IF(AN228=12,I228,0)</f>
      </c>
      <c r="AL228" s="111">
        <f>IF(AN228=21,I228,0)</f>
      </c>
      <c r="AN228" s="111" t="n">
        <v>21</v>
      </c>
      <c r="AO228" s="111">
        <f>H228*0</f>
      </c>
      <c r="AP228" s="111">
        <f>H228*(1-0)</f>
      </c>
      <c r="AQ228" s="153" t="s">
        <v>173</v>
      </c>
      <c r="AV228" s="111">
        <f>AW228+AX228</f>
      </c>
      <c r="AW228" s="111">
        <f>G228*AO228</f>
      </c>
      <c r="AX228" s="111">
        <f>G228*AP228</f>
      </c>
      <c r="AY228" s="153" t="s">
        <v>1619</v>
      </c>
      <c r="AZ228" s="153" t="s">
        <v>3310</v>
      </c>
      <c r="BA228" s="132" t="s">
        <v>2990</v>
      </c>
      <c r="BC228" s="111">
        <f>AW228+AX228</f>
      </c>
      <c r="BD228" s="111">
        <f>H228/(100-BE228)*100</f>
      </c>
      <c r="BE228" s="111" t="n">
        <v>0</v>
      </c>
      <c r="BF228" s="111">
        <f>228</f>
      </c>
      <c r="BH228" s="111">
        <f>G228*AO228</f>
      </c>
      <c r="BI228" s="111">
        <f>G228*AP228</f>
      </c>
      <c r="BJ228" s="111">
        <f>G228*H228</f>
      </c>
      <c r="BK228" s="111"/>
      <c r="BL228" s="111" t="n">
        <v>711</v>
      </c>
      <c r="BW228" s="111" t="n">
        <v>21</v>
      </c>
      <c r="BX228" s="14" t="s">
        <v>3319</v>
      </c>
    </row>
    <row r="229">
      <c r="A229" s="154"/>
      <c r="B229" s="155"/>
      <c r="C229" s="155"/>
      <c r="D229" s="156" t="s">
        <v>3320</v>
      </c>
      <c r="E229" s="156" t="s">
        <v>4</v>
      </c>
      <c r="F229" s="155"/>
      <c r="G229" s="157" t="n">
        <v>5.5</v>
      </c>
      <c r="H229" s="155"/>
      <c r="I229" s="155"/>
      <c r="J229" s="155"/>
      <c r="K229" s="146"/>
    </row>
    <row r="230">
      <c r="A230" s="147" t="s">
        <v>4</v>
      </c>
      <c r="B230" s="148" t="s">
        <v>87</v>
      </c>
      <c r="C230" s="148" t="s">
        <v>1850</v>
      </c>
      <c r="D230" s="149" t="s">
        <v>1851</v>
      </c>
      <c r="E230" s="148"/>
      <c r="F230" s="150" t="s">
        <v>79</v>
      </c>
      <c r="G230" s="150" t="s">
        <v>79</v>
      </c>
      <c r="H230" s="150" t="s">
        <v>79</v>
      </c>
      <c r="I230" s="117">
        <f>SUM(I231:I233)</f>
      </c>
      <c r="J230" s="132" t="s">
        <v>4</v>
      </c>
      <c r="K230" s="146"/>
      <c r="AI230" s="132" t="s">
        <v>87</v>
      </c>
      <c r="AS230" s="117">
        <f>SUM(AJ231:AJ233)</f>
      </c>
      <c r="AT230" s="117">
        <f>SUM(AK231:AK233)</f>
      </c>
      <c r="AU230" s="117">
        <f>SUM(AL231:AL233)</f>
      </c>
    </row>
    <row r="231">
      <c r="A231" s="9" t="s">
        <v>637</v>
      </c>
      <c r="B231" s="10" t="s">
        <v>87</v>
      </c>
      <c r="C231" s="10" t="s">
        <v>3322</v>
      </c>
      <c r="D231" s="14" t="s">
        <v>3323</v>
      </c>
      <c r="E231" s="10"/>
      <c r="F231" s="10" t="s">
        <v>133</v>
      </c>
      <c r="G231" s="111">
        <f>'Stavební rozpočet'!G2176</f>
      </c>
      <c r="H231" s="111">
        <f>'Stavební rozpočet'!H2176</f>
      </c>
      <c r="I231" s="111">
        <f>G231*H231</f>
      </c>
      <c r="J231" s="153" t="s">
        <v>134</v>
      </c>
      <c r="K231" s="146"/>
      <c r="Z231" s="111">
        <f>IF(AQ231="5",BJ231,0)</f>
      </c>
      <c r="AB231" s="111">
        <f>IF(AQ231="1",BH231,0)</f>
      </c>
      <c r="AC231" s="111">
        <f>IF(AQ231="1",BI231,0)</f>
      </c>
      <c r="AD231" s="111">
        <f>IF(AQ231="7",BH231,0)</f>
      </c>
      <c r="AE231" s="111">
        <f>IF(AQ231="7",BI231,0)</f>
      </c>
      <c r="AF231" s="111">
        <f>IF(AQ231="2",BH231,0)</f>
      </c>
      <c r="AG231" s="111">
        <f>IF(AQ231="2",BI231,0)</f>
      </c>
      <c r="AH231" s="111">
        <f>IF(AQ231="0",BJ231,0)</f>
      </c>
      <c r="AI231" s="132" t="s">
        <v>87</v>
      </c>
      <c r="AJ231" s="111">
        <f>IF(AN231=0,I231,0)</f>
      </c>
      <c r="AK231" s="111">
        <f>IF(AN231=12,I231,0)</f>
      </c>
      <c r="AL231" s="111">
        <f>IF(AN231=21,I231,0)</f>
      </c>
      <c r="AN231" s="111" t="n">
        <v>21</v>
      </c>
      <c r="AO231" s="111">
        <f>H231*0.786590909</f>
      </c>
      <c r="AP231" s="111">
        <f>H231*(1-0.786590909)</f>
      </c>
      <c r="AQ231" s="153" t="s">
        <v>173</v>
      </c>
      <c r="AV231" s="111">
        <f>AW231+AX231</f>
      </c>
      <c r="AW231" s="111">
        <f>G231*AO231</f>
      </c>
      <c r="AX231" s="111">
        <f>G231*AP231</f>
      </c>
      <c r="AY231" s="153" t="s">
        <v>1855</v>
      </c>
      <c r="AZ231" s="153" t="s">
        <v>3310</v>
      </c>
      <c r="BA231" s="132" t="s">
        <v>2990</v>
      </c>
      <c r="BC231" s="111">
        <f>AW231+AX231</f>
      </c>
      <c r="BD231" s="111">
        <f>H231/(100-BE231)*100</f>
      </c>
      <c r="BE231" s="111" t="n">
        <v>0</v>
      </c>
      <c r="BF231" s="111">
        <f>231</f>
      </c>
      <c r="BH231" s="111">
        <f>G231*AO231</f>
      </c>
      <c r="BI231" s="111">
        <f>G231*AP231</f>
      </c>
      <c r="BJ231" s="111">
        <f>G231*H231</f>
      </c>
      <c r="BK231" s="111"/>
      <c r="BL231" s="111" t="n">
        <v>713</v>
      </c>
      <c r="BW231" s="111" t="n">
        <v>21</v>
      </c>
      <c r="BX231" s="14" t="s">
        <v>3323</v>
      </c>
    </row>
    <row r="232">
      <c r="A232" s="154"/>
      <c r="B232" s="155"/>
      <c r="C232" s="155"/>
      <c r="D232" s="156" t="s">
        <v>130</v>
      </c>
      <c r="E232" s="156" t="s">
        <v>4</v>
      </c>
      <c r="F232" s="155"/>
      <c r="G232" s="157" t="n">
        <v>1</v>
      </c>
      <c r="H232" s="155"/>
      <c r="I232" s="155"/>
      <c r="J232" s="155"/>
      <c r="K232" s="146"/>
    </row>
    <row r="233">
      <c r="A233" s="9" t="s">
        <v>642</v>
      </c>
      <c r="B233" s="10" t="s">
        <v>87</v>
      </c>
      <c r="C233" s="10" t="s">
        <v>3325</v>
      </c>
      <c r="D233" s="14" t="s">
        <v>3326</v>
      </c>
      <c r="E233" s="10"/>
      <c r="F233" s="10" t="s">
        <v>133</v>
      </c>
      <c r="G233" s="111">
        <f>'Stavební rozpočet'!G2178</f>
      </c>
      <c r="H233" s="111">
        <f>'Stavební rozpočet'!H2178</f>
      </c>
      <c r="I233" s="111">
        <f>G233*H233</f>
      </c>
      <c r="J233" s="153" t="s">
        <v>134</v>
      </c>
      <c r="K233" s="146"/>
      <c r="Z233" s="111">
        <f>IF(AQ233="5",BJ233,0)</f>
      </c>
      <c r="AB233" s="111">
        <f>IF(AQ233="1",BH233,0)</f>
      </c>
      <c r="AC233" s="111">
        <f>IF(AQ233="1",BI233,0)</f>
      </c>
      <c r="AD233" s="111">
        <f>IF(AQ233="7",BH233,0)</f>
      </c>
      <c r="AE233" s="111">
        <f>IF(AQ233="7",BI233,0)</f>
      </c>
      <c r="AF233" s="111">
        <f>IF(AQ233="2",BH233,0)</f>
      </c>
      <c r="AG233" s="111">
        <f>IF(AQ233="2",BI233,0)</f>
      </c>
      <c r="AH233" s="111">
        <f>IF(AQ233="0",BJ233,0)</f>
      </c>
      <c r="AI233" s="132" t="s">
        <v>87</v>
      </c>
      <c r="AJ233" s="111">
        <f>IF(AN233=0,I233,0)</f>
      </c>
      <c r="AK233" s="111">
        <f>IF(AN233=12,I233,0)</f>
      </c>
      <c r="AL233" s="111">
        <f>IF(AN233=21,I233,0)</f>
      </c>
      <c r="AN233" s="111" t="n">
        <v>21</v>
      </c>
      <c r="AO233" s="111">
        <f>H233*0.807294776</f>
      </c>
      <c r="AP233" s="111">
        <f>H233*(1-0.807294776)</f>
      </c>
      <c r="AQ233" s="153" t="s">
        <v>173</v>
      </c>
      <c r="AV233" s="111">
        <f>AW233+AX233</f>
      </c>
      <c r="AW233" s="111">
        <f>G233*AO233</f>
      </c>
      <c r="AX233" s="111">
        <f>G233*AP233</f>
      </c>
      <c r="AY233" s="153" t="s">
        <v>1855</v>
      </c>
      <c r="AZ233" s="153" t="s">
        <v>3310</v>
      </c>
      <c r="BA233" s="132" t="s">
        <v>2990</v>
      </c>
      <c r="BC233" s="111">
        <f>AW233+AX233</f>
      </c>
      <c r="BD233" s="111">
        <f>H233/(100-BE233)*100</f>
      </c>
      <c r="BE233" s="111" t="n">
        <v>0</v>
      </c>
      <c r="BF233" s="111">
        <f>233</f>
      </c>
      <c r="BH233" s="111">
        <f>G233*AO233</f>
      </c>
      <c r="BI233" s="111">
        <f>G233*AP233</f>
      </c>
      <c r="BJ233" s="111">
        <f>G233*H233</f>
      </c>
      <c r="BK233" s="111"/>
      <c r="BL233" s="111" t="n">
        <v>713</v>
      </c>
      <c r="BW233" s="111" t="n">
        <v>21</v>
      </c>
      <c r="BX233" s="14" t="s">
        <v>3326</v>
      </c>
    </row>
    <row r="234">
      <c r="A234" s="154"/>
      <c r="B234" s="155"/>
      <c r="C234" s="155"/>
      <c r="D234" s="156" t="s">
        <v>130</v>
      </c>
      <c r="E234" s="156" t="s">
        <v>4</v>
      </c>
      <c r="F234" s="155"/>
      <c r="G234" s="157" t="n">
        <v>1</v>
      </c>
      <c r="H234" s="155"/>
      <c r="I234" s="155"/>
      <c r="J234" s="155"/>
      <c r="K234" s="146"/>
    </row>
    <row r="235">
      <c r="A235" s="147" t="s">
        <v>4</v>
      </c>
      <c r="B235" s="148" t="s">
        <v>87</v>
      </c>
      <c r="C235" s="148" t="s">
        <v>3327</v>
      </c>
      <c r="D235" s="149" t="s">
        <v>3328</v>
      </c>
      <c r="E235" s="148"/>
      <c r="F235" s="150" t="s">
        <v>79</v>
      </c>
      <c r="G235" s="150" t="s">
        <v>79</v>
      </c>
      <c r="H235" s="150" t="s">
        <v>79</v>
      </c>
      <c r="I235" s="117">
        <f>SUM(I236:I310)</f>
      </c>
      <c r="J235" s="132" t="s">
        <v>4</v>
      </c>
      <c r="K235" s="146"/>
      <c r="AI235" s="132" t="s">
        <v>87</v>
      </c>
      <c r="AS235" s="117">
        <f>SUM(AJ236:AJ310)</f>
      </c>
      <c r="AT235" s="117">
        <f>SUM(AK236:AK310)</f>
      </c>
      <c r="AU235" s="117">
        <f>SUM(AL236:AL310)</f>
      </c>
    </row>
    <row r="236">
      <c r="A236" s="9" t="s">
        <v>646</v>
      </c>
      <c r="B236" s="10" t="s">
        <v>87</v>
      </c>
      <c r="C236" s="10" t="s">
        <v>3330</v>
      </c>
      <c r="D236" s="14" t="s">
        <v>3331</v>
      </c>
      <c r="E236" s="10"/>
      <c r="F236" s="10" t="s">
        <v>282</v>
      </c>
      <c r="G236" s="111">
        <f>'Stavební rozpočet'!G2181</f>
      </c>
      <c r="H236" s="111">
        <f>'Stavební rozpočet'!H2181</f>
      </c>
      <c r="I236" s="111">
        <f>G236*H236</f>
      </c>
      <c r="J236" s="153" t="s">
        <v>134</v>
      </c>
      <c r="K236" s="146"/>
      <c r="Z236" s="111">
        <f>IF(AQ236="5",BJ236,0)</f>
      </c>
      <c r="AB236" s="111">
        <f>IF(AQ236="1",BH236,0)</f>
      </c>
      <c r="AC236" s="111">
        <f>IF(AQ236="1",BI236,0)</f>
      </c>
      <c r="AD236" s="111">
        <f>IF(AQ236="7",BH236,0)</f>
      </c>
      <c r="AE236" s="111">
        <f>IF(AQ236="7",BI236,0)</f>
      </c>
      <c r="AF236" s="111">
        <f>IF(AQ236="2",BH236,0)</f>
      </c>
      <c r="AG236" s="111">
        <f>IF(AQ236="2",BI236,0)</f>
      </c>
      <c r="AH236" s="111">
        <f>IF(AQ236="0",BJ236,0)</f>
      </c>
      <c r="AI236" s="132" t="s">
        <v>87</v>
      </c>
      <c r="AJ236" s="111">
        <f>IF(AN236=0,I236,0)</f>
      </c>
      <c r="AK236" s="111">
        <f>IF(AN236=12,I236,0)</f>
      </c>
      <c r="AL236" s="111">
        <f>IF(AN236=21,I236,0)</f>
      </c>
      <c r="AN236" s="111" t="n">
        <v>21</v>
      </c>
      <c r="AO236" s="111">
        <f>H236*0.815592998</f>
      </c>
      <c r="AP236" s="111">
        <f>H236*(1-0.815592998)</f>
      </c>
      <c r="AQ236" s="153" t="s">
        <v>173</v>
      </c>
      <c r="AV236" s="111">
        <f>AW236+AX236</f>
      </c>
      <c r="AW236" s="111">
        <f>G236*AO236</f>
      </c>
      <c r="AX236" s="111">
        <f>G236*AP236</f>
      </c>
      <c r="AY236" s="153" t="s">
        <v>3332</v>
      </c>
      <c r="AZ236" s="153" t="s">
        <v>3333</v>
      </c>
      <c r="BA236" s="132" t="s">
        <v>2990</v>
      </c>
      <c r="BC236" s="111">
        <f>AW236+AX236</f>
      </c>
      <c r="BD236" s="111">
        <f>H236/(100-BE236)*100</f>
      </c>
      <c r="BE236" s="111" t="n">
        <v>0</v>
      </c>
      <c r="BF236" s="111">
        <f>236</f>
      </c>
      <c r="BH236" s="111">
        <f>G236*AO236</f>
      </c>
      <c r="BI236" s="111">
        <f>G236*AP236</f>
      </c>
      <c r="BJ236" s="111">
        <f>G236*H236</f>
      </c>
      <c r="BK236" s="111"/>
      <c r="BL236" s="111" t="n">
        <v>721</v>
      </c>
      <c r="BW236" s="111" t="n">
        <v>21</v>
      </c>
      <c r="BX236" s="14" t="s">
        <v>3331</v>
      </c>
    </row>
    <row r="237">
      <c r="A237" s="154"/>
      <c r="B237" s="155"/>
      <c r="C237" s="155"/>
      <c r="D237" s="156" t="s">
        <v>224</v>
      </c>
      <c r="E237" s="156" t="s">
        <v>4</v>
      </c>
      <c r="F237" s="155"/>
      <c r="G237" s="157" t="n">
        <v>15</v>
      </c>
      <c r="H237" s="155"/>
      <c r="I237" s="155"/>
      <c r="J237" s="155"/>
      <c r="K237" s="146"/>
    </row>
    <row r="238">
      <c r="A238" s="9" t="s">
        <v>651</v>
      </c>
      <c r="B238" s="10" t="s">
        <v>87</v>
      </c>
      <c r="C238" s="10" t="s">
        <v>3335</v>
      </c>
      <c r="D238" s="14" t="s">
        <v>3336</v>
      </c>
      <c r="E238" s="10"/>
      <c r="F238" s="10" t="s">
        <v>133</v>
      </c>
      <c r="G238" s="111">
        <f>'Stavební rozpočet'!G2183</f>
      </c>
      <c r="H238" s="111">
        <f>'Stavební rozpočet'!H2183</f>
      </c>
      <c r="I238" s="111">
        <f>G238*H238</f>
      </c>
      <c r="J238" s="153" t="s">
        <v>134</v>
      </c>
      <c r="K238" s="146"/>
      <c r="Z238" s="111">
        <f>IF(AQ238="5",BJ238,0)</f>
      </c>
      <c r="AB238" s="111">
        <f>IF(AQ238="1",BH238,0)</f>
      </c>
      <c r="AC238" s="111">
        <f>IF(AQ238="1",BI238,0)</f>
      </c>
      <c r="AD238" s="111">
        <f>IF(AQ238="7",BH238,0)</f>
      </c>
      <c r="AE238" s="111">
        <f>IF(AQ238="7",BI238,0)</f>
      </c>
      <c r="AF238" s="111">
        <f>IF(AQ238="2",BH238,0)</f>
      </c>
      <c r="AG238" s="111">
        <f>IF(AQ238="2",BI238,0)</f>
      </c>
      <c r="AH238" s="111">
        <f>IF(AQ238="0",BJ238,0)</f>
      </c>
      <c r="AI238" s="132" t="s">
        <v>87</v>
      </c>
      <c r="AJ238" s="111">
        <f>IF(AN238=0,I238,0)</f>
      </c>
      <c r="AK238" s="111">
        <f>IF(AN238=12,I238,0)</f>
      </c>
      <c r="AL238" s="111">
        <f>IF(AN238=21,I238,0)</f>
      </c>
      <c r="AN238" s="111" t="n">
        <v>21</v>
      </c>
      <c r="AO238" s="111">
        <f>H238*0.877108384</f>
      </c>
      <c r="AP238" s="111">
        <f>H238*(1-0.877108384)</f>
      </c>
      <c r="AQ238" s="153" t="s">
        <v>173</v>
      </c>
      <c r="AV238" s="111">
        <f>AW238+AX238</f>
      </c>
      <c r="AW238" s="111">
        <f>G238*AO238</f>
      </c>
      <c r="AX238" s="111">
        <f>G238*AP238</f>
      </c>
      <c r="AY238" s="153" t="s">
        <v>3332</v>
      </c>
      <c r="AZ238" s="153" t="s">
        <v>3333</v>
      </c>
      <c r="BA238" s="132" t="s">
        <v>2990</v>
      </c>
      <c r="BC238" s="111">
        <f>AW238+AX238</f>
      </c>
      <c r="BD238" s="111">
        <f>H238/(100-BE238)*100</f>
      </c>
      <c r="BE238" s="111" t="n">
        <v>0</v>
      </c>
      <c r="BF238" s="111">
        <f>238</f>
      </c>
      <c r="BH238" s="111">
        <f>G238*AO238</f>
      </c>
      <c r="BI238" s="111">
        <f>G238*AP238</f>
      </c>
      <c r="BJ238" s="111">
        <f>G238*H238</f>
      </c>
      <c r="BK238" s="111"/>
      <c r="BL238" s="111" t="n">
        <v>721</v>
      </c>
      <c r="BW238" s="111" t="n">
        <v>21</v>
      </c>
      <c r="BX238" s="14" t="s">
        <v>3336</v>
      </c>
    </row>
    <row r="239">
      <c r="A239" s="154"/>
      <c r="B239" s="155"/>
      <c r="C239" s="155"/>
      <c r="D239" s="156" t="s">
        <v>140</v>
      </c>
      <c r="E239" s="156" t="s">
        <v>4</v>
      </c>
      <c r="F239" s="155"/>
      <c r="G239" s="157" t="n">
        <v>2</v>
      </c>
      <c r="H239" s="155"/>
      <c r="I239" s="155"/>
      <c r="J239" s="155"/>
      <c r="K239" s="146"/>
    </row>
    <row r="240">
      <c r="A240" s="9" t="s">
        <v>658</v>
      </c>
      <c r="B240" s="10" t="s">
        <v>87</v>
      </c>
      <c r="C240" s="10" t="s">
        <v>3338</v>
      </c>
      <c r="D240" s="14" t="s">
        <v>3339</v>
      </c>
      <c r="E240" s="10"/>
      <c r="F240" s="10" t="s">
        <v>282</v>
      </c>
      <c r="G240" s="111">
        <f>'Stavební rozpočet'!G2185</f>
      </c>
      <c r="H240" s="111">
        <f>'Stavební rozpočet'!H2185</f>
      </c>
      <c r="I240" s="111">
        <f>G240*H240</f>
      </c>
      <c r="J240" s="153" t="s">
        <v>134</v>
      </c>
      <c r="K240" s="146"/>
      <c r="Z240" s="111">
        <f>IF(AQ240="5",BJ240,0)</f>
      </c>
      <c r="AB240" s="111">
        <f>IF(AQ240="1",BH240,0)</f>
      </c>
      <c r="AC240" s="111">
        <f>IF(AQ240="1",BI240,0)</f>
      </c>
      <c r="AD240" s="111">
        <f>IF(AQ240="7",BH240,0)</f>
      </c>
      <c r="AE240" s="111">
        <f>IF(AQ240="7",BI240,0)</f>
      </c>
      <c r="AF240" s="111">
        <f>IF(AQ240="2",BH240,0)</f>
      </c>
      <c r="AG240" s="111">
        <f>IF(AQ240="2",BI240,0)</f>
      </c>
      <c r="AH240" s="111">
        <f>IF(AQ240="0",BJ240,0)</f>
      </c>
      <c r="AI240" s="132" t="s">
        <v>87</v>
      </c>
      <c r="AJ240" s="111">
        <f>IF(AN240=0,I240,0)</f>
      </c>
      <c r="AK240" s="111">
        <f>IF(AN240=12,I240,0)</f>
      </c>
      <c r="AL240" s="111">
        <f>IF(AN240=21,I240,0)</f>
      </c>
      <c r="AN240" s="111" t="n">
        <v>21</v>
      </c>
      <c r="AO240" s="111">
        <f>H240*0.642695357</f>
      </c>
      <c r="AP240" s="111">
        <f>H240*(1-0.642695357)</f>
      </c>
      <c r="AQ240" s="153" t="s">
        <v>173</v>
      </c>
      <c r="AV240" s="111">
        <f>AW240+AX240</f>
      </c>
      <c r="AW240" s="111">
        <f>G240*AO240</f>
      </c>
      <c r="AX240" s="111">
        <f>G240*AP240</f>
      </c>
      <c r="AY240" s="153" t="s">
        <v>3332</v>
      </c>
      <c r="AZ240" s="153" t="s">
        <v>3333</v>
      </c>
      <c r="BA240" s="132" t="s">
        <v>2990</v>
      </c>
      <c r="BC240" s="111">
        <f>AW240+AX240</f>
      </c>
      <c r="BD240" s="111">
        <f>H240/(100-BE240)*100</f>
      </c>
      <c r="BE240" s="111" t="n">
        <v>0</v>
      </c>
      <c r="BF240" s="111">
        <f>240</f>
      </c>
      <c r="BH240" s="111">
        <f>G240*AO240</f>
      </c>
      <c r="BI240" s="111">
        <f>G240*AP240</f>
      </c>
      <c r="BJ240" s="111">
        <f>G240*H240</f>
      </c>
      <c r="BK240" s="111"/>
      <c r="BL240" s="111" t="n">
        <v>721</v>
      </c>
      <c r="BW240" s="111" t="n">
        <v>21</v>
      </c>
      <c r="BX240" s="14" t="s">
        <v>3339</v>
      </c>
    </row>
    <row r="241">
      <c r="A241" s="154"/>
      <c r="B241" s="155"/>
      <c r="C241" s="155"/>
      <c r="D241" s="156" t="s">
        <v>342</v>
      </c>
      <c r="E241" s="156" t="s">
        <v>4</v>
      </c>
      <c r="F241" s="155"/>
      <c r="G241" s="157" t="n">
        <v>30</v>
      </c>
      <c r="H241" s="155"/>
      <c r="I241" s="155"/>
      <c r="J241" s="155"/>
      <c r="K241" s="146"/>
    </row>
    <row r="242">
      <c r="A242" s="9" t="s">
        <v>665</v>
      </c>
      <c r="B242" s="10" t="s">
        <v>87</v>
      </c>
      <c r="C242" s="10" t="s">
        <v>3341</v>
      </c>
      <c r="D242" s="14" t="s">
        <v>3342</v>
      </c>
      <c r="E242" s="10"/>
      <c r="F242" s="10" t="s">
        <v>282</v>
      </c>
      <c r="G242" s="111">
        <f>'Stavební rozpočet'!G2187</f>
      </c>
      <c r="H242" s="111">
        <f>'Stavební rozpočet'!H2187</f>
      </c>
      <c r="I242" s="111">
        <f>G242*H242</f>
      </c>
      <c r="J242" s="153" t="s">
        <v>134</v>
      </c>
      <c r="K242" s="146"/>
      <c r="Z242" s="111">
        <f>IF(AQ242="5",BJ242,0)</f>
      </c>
      <c r="AB242" s="111">
        <f>IF(AQ242="1",BH242,0)</f>
      </c>
      <c r="AC242" s="111">
        <f>IF(AQ242="1",BI242,0)</f>
      </c>
      <c r="AD242" s="111">
        <f>IF(AQ242="7",BH242,0)</f>
      </c>
      <c r="AE242" s="111">
        <f>IF(AQ242="7",BI242,0)</f>
      </c>
      <c r="AF242" s="111">
        <f>IF(AQ242="2",BH242,0)</f>
      </c>
      <c r="AG242" s="111">
        <f>IF(AQ242="2",BI242,0)</f>
      </c>
      <c r="AH242" s="111">
        <f>IF(AQ242="0",BJ242,0)</f>
      </c>
      <c r="AI242" s="132" t="s">
        <v>87</v>
      </c>
      <c r="AJ242" s="111">
        <f>IF(AN242=0,I242,0)</f>
      </c>
      <c r="AK242" s="111">
        <f>IF(AN242=12,I242,0)</f>
      </c>
      <c r="AL242" s="111">
        <f>IF(AN242=21,I242,0)</f>
      </c>
      <c r="AN242" s="111" t="n">
        <v>21</v>
      </c>
      <c r="AO242" s="111">
        <f>H242*0.793751724</f>
      </c>
      <c r="AP242" s="111">
        <f>H242*(1-0.793751724)</f>
      </c>
      <c r="AQ242" s="153" t="s">
        <v>173</v>
      </c>
      <c r="AV242" s="111">
        <f>AW242+AX242</f>
      </c>
      <c r="AW242" s="111">
        <f>G242*AO242</f>
      </c>
      <c r="AX242" s="111">
        <f>G242*AP242</f>
      </c>
      <c r="AY242" s="153" t="s">
        <v>3332</v>
      </c>
      <c r="AZ242" s="153" t="s">
        <v>3333</v>
      </c>
      <c r="BA242" s="132" t="s">
        <v>2990</v>
      </c>
      <c r="BC242" s="111">
        <f>AW242+AX242</f>
      </c>
      <c r="BD242" s="111">
        <f>H242/(100-BE242)*100</f>
      </c>
      <c r="BE242" s="111" t="n">
        <v>0</v>
      </c>
      <c r="BF242" s="111">
        <f>242</f>
      </c>
      <c r="BH242" s="111">
        <f>G242*AO242</f>
      </c>
      <c r="BI242" s="111">
        <f>G242*AP242</f>
      </c>
      <c r="BJ242" s="111">
        <f>G242*H242</f>
      </c>
      <c r="BK242" s="111"/>
      <c r="BL242" s="111" t="n">
        <v>721</v>
      </c>
      <c r="BW242" s="111" t="n">
        <v>21</v>
      </c>
      <c r="BX242" s="14" t="s">
        <v>3342</v>
      </c>
    </row>
    <row r="243">
      <c r="A243" s="154"/>
      <c r="B243" s="155"/>
      <c r="C243" s="155"/>
      <c r="D243" s="156" t="s">
        <v>360</v>
      </c>
      <c r="E243" s="156" t="s">
        <v>4</v>
      </c>
      <c r="F243" s="155"/>
      <c r="G243" s="157" t="n">
        <v>33</v>
      </c>
      <c r="H243" s="155"/>
      <c r="I243" s="155"/>
      <c r="J243" s="155"/>
      <c r="K243" s="146"/>
    </row>
    <row r="244">
      <c r="A244" s="9" t="s">
        <v>669</v>
      </c>
      <c r="B244" s="10" t="s">
        <v>87</v>
      </c>
      <c r="C244" s="10" t="s">
        <v>3344</v>
      </c>
      <c r="D244" s="14" t="s">
        <v>3345</v>
      </c>
      <c r="E244" s="10"/>
      <c r="F244" s="10" t="s">
        <v>282</v>
      </c>
      <c r="G244" s="111">
        <f>'Stavební rozpočet'!G2189</f>
      </c>
      <c r="H244" s="111">
        <f>'Stavební rozpočet'!H2189</f>
      </c>
      <c r="I244" s="111">
        <f>G244*H244</f>
      </c>
      <c r="J244" s="153" t="s">
        <v>134</v>
      </c>
      <c r="K244" s="146"/>
      <c r="Z244" s="111">
        <f>IF(AQ244="5",BJ244,0)</f>
      </c>
      <c r="AB244" s="111">
        <f>IF(AQ244="1",BH244,0)</f>
      </c>
      <c r="AC244" s="111">
        <f>IF(AQ244="1",BI244,0)</f>
      </c>
      <c r="AD244" s="111">
        <f>IF(AQ244="7",BH244,0)</f>
      </c>
      <c r="AE244" s="111">
        <f>IF(AQ244="7",BI244,0)</f>
      </c>
      <c r="AF244" s="111">
        <f>IF(AQ244="2",BH244,0)</f>
      </c>
      <c r="AG244" s="111">
        <f>IF(AQ244="2",BI244,0)</f>
      </c>
      <c r="AH244" s="111">
        <f>IF(AQ244="0",BJ244,0)</f>
      </c>
      <c r="AI244" s="132" t="s">
        <v>87</v>
      </c>
      <c r="AJ244" s="111">
        <f>IF(AN244=0,I244,0)</f>
      </c>
      <c r="AK244" s="111">
        <f>IF(AN244=12,I244,0)</f>
      </c>
      <c r="AL244" s="111">
        <f>IF(AN244=21,I244,0)</f>
      </c>
      <c r="AN244" s="111" t="n">
        <v>21</v>
      </c>
      <c r="AO244" s="111">
        <f>H244*0.831643241</f>
      </c>
      <c r="AP244" s="111">
        <f>H244*(1-0.831643241)</f>
      </c>
      <c r="AQ244" s="153" t="s">
        <v>173</v>
      </c>
      <c r="AV244" s="111">
        <f>AW244+AX244</f>
      </c>
      <c r="AW244" s="111">
        <f>G244*AO244</f>
      </c>
      <c r="AX244" s="111">
        <f>G244*AP244</f>
      </c>
      <c r="AY244" s="153" t="s">
        <v>3332</v>
      </c>
      <c r="AZ244" s="153" t="s">
        <v>3333</v>
      </c>
      <c r="BA244" s="132" t="s">
        <v>2990</v>
      </c>
      <c r="BC244" s="111">
        <f>AW244+AX244</f>
      </c>
      <c r="BD244" s="111">
        <f>H244/(100-BE244)*100</f>
      </c>
      <c r="BE244" s="111" t="n">
        <v>0</v>
      </c>
      <c r="BF244" s="111">
        <f>244</f>
      </c>
      <c r="BH244" s="111">
        <f>G244*AO244</f>
      </c>
      <c r="BI244" s="111">
        <f>G244*AP244</f>
      </c>
      <c r="BJ244" s="111">
        <f>G244*H244</f>
      </c>
      <c r="BK244" s="111"/>
      <c r="BL244" s="111" t="n">
        <v>721</v>
      </c>
      <c r="BW244" s="111" t="n">
        <v>21</v>
      </c>
      <c r="BX244" s="14" t="s">
        <v>3345</v>
      </c>
    </row>
    <row r="245">
      <c r="A245" s="154"/>
      <c r="B245" s="155"/>
      <c r="C245" s="155"/>
      <c r="D245" s="156" t="s">
        <v>235</v>
      </c>
      <c r="E245" s="156" t="s">
        <v>4</v>
      </c>
      <c r="F245" s="155"/>
      <c r="G245" s="157" t="n">
        <v>18</v>
      </c>
      <c r="H245" s="155"/>
      <c r="I245" s="155"/>
      <c r="J245" s="155"/>
      <c r="K245" s="146"/>
    </row>
    <row r="246">
      <c r="A246" s="9" t="s">
        <v>675</v>
      </c>
      <c r="B246" s="10" t="s">
        <v>87</v>
      </c>
      <c r="C246" s="10" t="s">
        <v>3347</v>
      </c>
      <c r="D246" s="14" t="s">
        <v>3348</v>
      </c>
      <c r="E246" s="10"/>
      <c r="F246" s="10" t="s">
        <v>133</v>
      </c>
      <c r="G246" s="111">
        <f>'Stavební rozpočet'!G2191</f>
      </c>
      <c r="H246" s="111">
        <f>'Stavební rozpočet'!H2191</f>
      </c>
      <c r="I246" s="111">
        <f>G246*H246</f>
      </c>
      <c r="J246" s="153" t="s">
        <v>134</v>
      </c>
      <c r="K246" s="146"/>
      <c r="Z246" s="111">
        <f>IF(AQ246="5",BJ246,0)</f>
      </c>
      <c r="AB246" s="111">
        <f>IF(AQ246="1",BH246,0)</f>
      </c>
      <c r="AC246" s="111">
        <f>IF(AQ246="1",BI246,0)</f>
      </c>
      <c r="AD246" s="111">
        <f>IF(AQ246="7",BH246,0)</f>
      </c>
      <c r="AE246" s="111">
        <f>IF(AQ246="7",BI246,0)</f>
      </c>
      <c r="AF246" s="111">
        <f>IF(AQ246="2",BH246,0)</f>
      </c>
      <c r="AG246" s="111">
        <f>IF(AQ246="2",BI246,0)</f>
      </c>
      <c r="AH246" s="111">
        <f>IF(AQ246="0",BJ246,0)</f>
      </c>
      <c r="AI246" s="132" t="s">
        <v>87</v>
      </c>
      <c r="AJ246" s="111">
        <f>IF(AN246=0,I246,0)</f>
      </c>
      <c r="AK246" s="111">
        <f>IF(AN246=12,I246,0)</f>
      </c>
      <c r="AL246" s="111">
        <f>IF(AN246=21,I246,0)</f>
      </c>
      <c r="AN246" s="111" t="n">
        <v>21</v>
      </c>
      <c r="AO246" s="111">
        <f>H246*0.80527804</f>
      </c>
      <c r="AP246" s="111">
        <f>H246*(1-0.80527804)</f>
      </c>
      <c r="AQ246" s="153" t="s">
        <v>173</v>
      </c>
      <c r="AV246" s="111">
        <f>AW246+AX246</f>
      </c>
      <c r="AW246" s="111">
        <f>G246*AO246</f>
      </c>
      <c r="AX246" s="111">
        <f>G246*AP246</f>
      </c>
      <c r="AY246" s="153" t="s">
        <v>3332</v>
      </c>
      <c r="AZ246" s="153" t="s">
        <v>3333</v>
      </c>
      <c r="BA246" s="132" t="s">
        <v>2990</v>
      </c>
      <c r="BC246" s="111">
        <f>AW246+AX246</f>
      </c>
      <c r="BD246" s="111">
        <f>H246/(100-BE246)*100</f>
      </c>
      <c r="BE246" s="111" t="n">
        <v>0</v>
      </c>
      <c r="BF246" s="111">
        <f>246</f>
      </c>
      <c r="BH246" s="111">
        <f>G246*AO246</f>
      </c>
      <c r="BI246" s="111">
        <f>G246*AP246</f>
      </c>
      <c r="BJ246" s="111">
        <f>G246*H246</f>
      </c>
      <c r="BK246" s="111"/>
      <c r="BL246" s="111" t="n">
        <v>721</v>
      </c>
      <c r="BW246" s="111" t="n">
        <v>21</v>
      </c>
      <c r="BX246" s="14" t="s">
        <v>3348</v>
      </c>
    </row>
    <row r="247">
      <c r="A247" s="154"/>
      <c r="B247" s="155"/>
      <c r="C247" s="155"/>
      <c r="D247" s="156" t="s">
        <v>165</v>
      </c>
      <c r="E247" s="156" t="s">
        <v>4</v>
      </c>
      <c r="F247" s="155"/>
      <c r="G247" s="157" t="n">
        <v>6</v>
      </c>
      <c r="H247" s="155"/>
      <c r="I247" s="155"/>
      <c r="J247" s="155"/>
      <c r="K247" s="146"/>
    </row>
    <row r="248">
      <c r="A248" s="9" t="s">
        <v>688</v>
      </c>
      <c r="B248" s="10" t="s">
        <v>87</v>
      </c>
      <c r="C248" s="10" t="s">
        <v>3350</v>
      </c>
      <c r="D248" s="14" t="s">
        <v>3351</v>
      </c>
      <c r="E248" s="10"/>
      <c r="F248" s="10" t="s">
        <v>133</v>
      </c>
      <c r="G248" s="111">
        <f>'Stavební rozpočet'!G2193</f>
      </c>
      <c r="H248" s="111">
        <f>'Stavební rozpočet'!H2193</f>
      </c>
      <c r="I248" s="111">
        <f>G248*H248</f>
      </c>
      <c r="J248" s="153" t="s">
        <v>134</v>
      </c>
      <c r="K248" s="146"/>
      <c r="Z248" s="111">
        <f>IF(AQ248="5",BJ248,0)</f>
      </c>
      <c r="AB248" s="111">
        <f>IF(AQ248="1",BH248,0)</f>
      </c>
      <c r="AC248" s="111">
        <f>IF(AQ248="1",BI248,0)</f>
      </c>
      <c r="AD248" s="111">
        <f>IF(AQ248="7",BH248,0)</f>
      </c>
      <c r="AE248" s="111">
        <f>IF(AQ248="7",BI248,0)</f>
      </c>
      <c r="AF248" s="111">
        <f>IF(AQ248="2",BH248,0)</f>
      </c>
      <c r="AG248" s="111">
        <f>IF(AQ248="2",BI248,0)</f>
      </c>
      <c r="AH248" s="111">
        <f>IF(AQ248="0",BJ248,0)</f>
      </c>
      <c r="AI248" s="132" t="s">
        <v>87</v>
      </c>
      <c r="AJ248" s="111">
        <f>IF(AN248=0,I248,0)</f>
      </c>
      <c r="AK248" s="111">
        <f>IF(AN248=12,I248,0)</f>
      </c>
      <c r="AL248" s="111">
        <f>IF(AN248=21,I248,0)</f>
      </c>
      <c r="AN248" s="111" t="n">
        <v>21</v>
      </c>
      <c r="AO248" s="111">
        <f>H248*0.881970246</f>
      </c>
      <c r="AP248" s="111">
        <f>H248*(1-0.881970246)</f>
      </c>
      <c r="AQ248" s="153" t="s">
        <v>173</v>
      </c>
      <c r="AV248" s="111">
        <f>AW248+AX248</f>
      </c>
      <c r="AW248" s="111">
        <f>G248*AO248</f>
      </c>
      <c r="AX248" s="111">
        <f>G248*AP248</f>
      </c>
      <c r="AY248" s="153" t="s">
        <v>3332</v>
      </c>
      <c r="AZ248" s="153" t="s">
        <v>3333</v>
      </c>
      <c r="BA248" s="132" t="s">
        <v>2990</v>
      </c>
      <c r="BC248" s="111">
        <f>AW248+AX248</f>
      </c>
      <c r="BD248" s="111">
        <f>H248/(100-BE248)*100</f>
      </c>
      <c r="BE248" s="111" t="n">
        <v>0</v>
      </c>
      <c r="BF248" s="111">
        <f>248</f>
      </c>
      <c r="BH248" s="111">
        <f>G248*AO248</f>
      </c>
      <c r="BI248" s="111">
        <f>G248*AP248</f>
      </c>
      <c r="BJ248" s="111">
        <f>G248*H248</f>
      </c>
      <c r="BK248" s="111"/>
      <c r="BL248" s="111" t="n">
        <v>721</v>
      </c>
      <c r="BW248" s="111" t="n">
        <v>21</v>
      </c>
      <c r="BX248" s="14" t="s">
        <v>3351</v>
      </c>
    </row>
    <row r="249">
      <c r="A249" s="154"/>
      <c r="B249" s="155"/>
      <c r="C249" s="155"/>
      <c r="D249" s="156" t="s">
        <v>130</v>
      </c>
      <c r="E249" s="156" t="s">
        <v>4</v>
      </c>
      <c r="F249" s="155"/>
      <c r="G249" s="157" t="n">
        <v>1</v>
      </c>
      <c r="H249" s="155"/>
      <c r="I249" s="155"/>
      <c r="J249" s="155"/>
      <c r="K249" s="146"/>
    </row>
    <row r="250">
      <c r="A250" s="9" t="s">
        <v>698</v>
      </c>
      <c r="B250" s="10" t="s">
        <v>87</v>
      </c>
      <c r="C250" s="10" t="s">
        <v>3353</v>
      </c>
      <c r="D250" s="14" t="s">
        <v>3354</v>
      </c>
      <c r="E250" s="10"/>
      <c r="F250" s="10" t="s">
        <v>282</v>
      </c>
      <c r="G250" s="111">
        <f>'Stavební rozpočet'!G2195</f>
      </c>
      <c r="H250" s="111">
        <f>'Stavební rozpočet'!H2195</f>
      </c>
      <c r="I250" s="111">
        <f>G250*H250</f>
      </c>
      <c r="J250" s="153" t="s">
        <v>134</v>
      </c>
      <c r="K250" s="146"/>
      <c r="Z250" s="111">
        <f>IF(AQ250="5",BJ250,0)</f>
      </c>
      <c r="AB250" s="111">
        <f>IF(AQ250="1",BH250,0)</f>
      </c>
      <c r="AC250" s="111">
        <f>IF(AQ250="1",BI250,0)</f>
      </c>
      <c r="AD250" s="111">
        <f>IF(AQ250="7",BH250,0)</f>
      </c>
      <c r="AE250" s="111">
        <f>IF(AQ250="7",BI250,0)</f>
      </c>
      <c r="AF250" s="111">
        <f>IF(AQ250="2",BH250,0)</f>
      </c>
      <c r="AG250" s="111">
        <f>IF(AQ250="2",BI250,0)</f>
      </c>
      <c r="AH250" s="111">
        <f>IF(AQ250="0",BJ250,0)</f>
      </c>
      <c r="AI250" s="132" t="s">
        <v>87</v>
      </c>
      <c r="AJ250" s="111">
        <f>IF(AN250=0,I250,0)</f>
      </c>
      <c r="AK250" s="111">
        <f>IF(AN250=12,I250,0)</f>
      </c>
      <c r="AL250" s="111">
        <f>IF(AN250=21,I250,0)</f>
      </c>
      <c r="AN250" s="111" t="n">
        <v>21</v>
      </c>
      <c r="AO250" s="111">
        <f>H250*0.837864567</f>
      </c>
      <c r="AP250" s="111">
        <f>H250*(1-0.837864567)</f>
      </c>
      <c r="AQ250" s="153" t="s">
        <v>173</v>
      </c>
      <c r="AV250" s="111">
        <f>AW250+AX250</f>
      </c>
      <c r="AW250" s="111">
        <f>G250*AO250</f>
      </c>
      <c r="AX250" s="111">
        <f>G250*AP250</f>
      </c>
      <c r="AY250" s="153" t="s">
        <v>3332</v>
      </c>
      <c r="AZ250" s="153" t="s">
        <v>3333</v>
      </c>
      <c r="BA250" s="132" t="s">
        <v>2990</v>
      </c>
      <c r="BC250" s="111">
        <f>AW250+AX250</f>
      </c>
      <c r="BD250" s="111">
        <f>H250/(100-BE250)*100</f>
      </c>
      <c r="BE250" s="111" t="n">
        <v>0</v>
      </c>
      <c r="BF250" s="111">
        <f>250</f>
      </c>
      <c r="BH250" s="111">
        <f>G250*AO250</f>
      </c>
      <c r="BI250" s="111">
        <f>G250*AP250</f>
      </c>
      <c r="BJ250" s="111">
        <f>G250*H250</f>
      </c>
      <c r="BK250" s="111"/>
      <c r="BL250" s="111" t="n">
        <v>721</v>
      </c>
      <c r="BW250" s="111" t="n">
        <v>21</v>
      </c>
      <c r="BX250" s="14" t="s">
        <v>3354</v>
      </c>
    </row>
    <row r="251">
      <c r="A251" s="154"/>
      <c r="B251" s="155"/>
      <c r="C251" s="155"/>
      <c r="D251" s="156" t="s">
        <v>342</v>
      </c>
      <c r="E251" s="156" t="s">
        <v>4</v>
      </c>
      <c r="F251" s="155"/>
      <c r="G251" s="157" t="n">
        <v>30</v>
      </c>
      <c r="H251" s="155"/>
      <c r="I251" s="155"/>
      <c r="J251" s="155"/>
      <c r="K251" s="146"/>
    </row>
    <row r="252">
      <c r="A252" s="9" t="s">
        <v>704</v>
      </c>
      <c r="B252" s="10" t="s">
        <v>87</v>
      </c>
      <c r="C252" s="10" t="s">
        <v>3356</v>
      </c>
      <c r="D252" s="14" t="s">
        <v>3357</v>
      </c>
      <c r="E252" s="10"/>
      <c r="F252" s="10" t="s">
        <v>133</v>
      </c>
      <c r="G252" s="111">
        <f>'Stavební rozpočet'!G2197</f>
      </c>
      <c r="H252" s="111">
        <f>'Stavební rozpočet'!H2197</f>
      </c>
      <c r="I252" s="111">
        <f>G252*H252</f>
      </c>
      <c r="J252" s="153" t="s">
        <v>134</v>
      </c>
      <c r="K252" s="146"/>
      <c r="Z252" s="111">
        <f>IF(AQ252="5",BJ252,0)</f>
      </c>
      <c r="AB252" s="111">
        <f>IF(AQ252="1",BH252,0)</f>
      </c>
      <c r="AC252" s="111">
        <f>IF(AQ252="1",BI252,0)</f>
      </c>
      <c r="AD252" s="111">
        <f>IF(AQ252="7",BH252,0)</f>
      </c>
      <c r="AE252" s="111">
        <f>IF(AQ252="7",BI252,0)</f>
      </c>
      <c r="AF252" s="111">
        <f>IF(AQ252="2",BH252,0)</f>
      </c>
      <c r="AG252" s="111">
        <f>IF(AQ252="2",BI252,0)</f>
      </c>
      <c r="AH252" s="111">
        <f>IF(AQ252="0",BJ252,0)</f>
      </c>
      <c r="AI252" s="132" t="s">
        <v>87</v>
      </c>
      <c r="AJ252" s="111">
        <f>IF(AN252=0,I252,0)</f>
      </c>
      <c r="AK252" s="111">
        <f>IF(AN252=12,I252,0)</f>
      </c>
      <c r="AL252" s="111">
        <f>IF(AN252=21,I252,0)</f>
      </c>
      <c r="AN252" s="111" t="n">
        <v>21</v>
      </c>
      <c r="AO252" s="111">
        <f>H252*0.915385501</f>
      </c>
      <c r="AP252" s="111">
        <f>H252*(1-0.915385501)</f>
      </c>
      <c r="AQ252" s="153" t="s">
        <v>173</v>
      </c>
      <c r="AV252" s="111">
        <f>AW252+AX252</f>
      </c>
      <c r="AW252" s="111">
        <f>G252*AO252</f>
      </c>
      <c r="AX252" s="111">
        <f>G252*AP252</f>
      </c>
      <c r="AY252" s="153" t="s">
        <v>3332</v>
      </c>
      <c r="AZ252" s="153" t="s">
        <v>3333</v>
      </c>
      <c r="BA252" s="132" t="s">
        <v>2990</v>
      </c>
      <c r="BC252" s="111">
        <f>AW252+AX252</f>
      </c>
      <c r="BD252" s="111">
        <f>H252/(100-BE252)*100</f>
      </c>
      <c r="BE252" s="111" t="n">
        <v>0</v>
      </c>
      <c r="BF252" s="111">
        <f>252</f>
      </c>
      <c r="BH252" s="111">
        <f>G252*AO252</f>
      </c>
      <c r="BI252" s="111">
        <f>G252*AP252</f>
      </c>
      <c r="BJ252" s="111">
        <f>G252*H252</f>
      </c>
      <c r="BK252" s="111"/>
      <c r="BL252" s="111" t="n">
        <v>721</v>
      </c>
      <c r="BW252" s="111" t="n">
        <v>21</v>
      </c>
      <c r="BX252" s="14" t="s">
        <v>3357</v>
      </c>
    </row>
    <row r="253">
      <c r="A253" s="154"/>
      <c r="B253" s="155"/>
      <c r="C253" s="155"/>
      <c r="D253" s="156" t="s">
        <v>3358</v>
      </c>
      <c r="E253" s="156" t="s">
        <v>4</v>
      </c>
      <c r="F253" s="155"/>
      <c r="G253" s="157" t="n">
        <v>6</v>
      </c>
      <c r="H253" s="155"/>
      <c r="I253" s="155"/>
      <c r="J253" s="155"/>
      <c r="K253" s="146"/>
    </row>
    <row r="254">
      <c r="A254" s="9" t="s">
        <v>710</v>
      </c>
      <c r="B254" s="10" t="s">
        <v>87</v>
      </c>
      <c r="C254" s="10" t="s">
        <v>3360</v>
      </c>
      <c r="D254" s="14" t="s">
        <v>3361</v>
      </c>
      <c r="E254" s="10"/>
      <c r="F254" s="10" t="s">
        <v>133</v>
      </c>
      <c r="G254" s="111">
        <f>'Stavební rozpočet'!G2199</f>
      </c>
      <c r="H254" s="111">
        <f>'Stavební rozpočet'!H2199</f>
      </c>
      <c r="I254" s="111">
        <f>G254*H254</f>
      </c>
      <c r="J254" s="153" t="s">
        <v>134</v>
      </c>
      <c r="K254" s="146"/>
      <c r="Z254" s="111">
        <f>IF(AQ254="5",BJ254,0)</f>
      </c>
      <c r="AB254" s="111">
        <f>IF(AQ254="1",BH254,0)</f>
      </c>
      <c r="AC254" s="111">
        <f>IF(AQ254="1",BI254,0)</f>
      </c>
      <c r="AD254" s="111">
        <f>IF(AQ254="7",BH254,0)</f>
      </c>
      <c r="AE254" s="111">
        <f>IF(AQ254="7",BI254,0)</f>
      </c>
      <c r="AF254" s="111">
        <f>IF(AQ254="2",BH254,0)</f>
      </c>
      <c r="AG254" s="111">
        <f>IF(AQ254="2",BI254,0)</f>
      </c>
      <c r="AH254" s="111">
        <f>IF(AQ254="0",BJ254,0)</f>
      </c>
      <c r="AI254" s="132" t="s">
        <v>87</v>
      </c>
      <c r="AJ254" s="111">
        <f>IF(AN254=0,I254,0)</f>
      </c>
      <c r="AK254" s="111">
        <f>IF(AN254=12,I254,0)</f>
      </c>
      <c r="AL254" s="111">
        <f>IF(AN254=21,I254,0)</f>
      </c>
      <c r="AN254" s="111" t="n">
        <v>21</v>
      </c>
      <c r="AO254" s="111">
        <f>H254*0.992609584</f>
      </c>
      <c r="AP254" s="111">
        <f>H254*(1-0.992609584)</f>
      </c>
      <c r="AQ254" s="153" t="s">
        <v>173</v>
      </c>
      <c r="AV254" s="111">
        <f>AW254+AX254</f>
      </c>
      <c r="AW254" s="111">
        <f>G254*AO254</f>
      </c>
      <c r="AX254" s="111">
        <f>G254*AP254</f>
      </c>
      <c r="AY254" s="153" t="s">
        <v>3332</v>
      </c>
      <c r="AZ254" s="153" t="s">
        <v>3333</v>
      </c>
      <c r="BA254" s="132" t="s">
        <v>2990</v>
      </c>
      <c r="BC254" s="111">
        <f>AW254+AX254</f>
      </c>
      <c r="BD254" s="111">
        <f>H254/(100-BE254)*100</f>
      </c>
      <c r="BE254" s="111" t="n">
        <v>0</v>
      </c>
      <c r="BF254" s="111">
        <f>254</f>
      </c>
      <c r="BH254" s="111">
        <f>G254*AO254</f>
      </c>
      <c r="BI254" s="111">
        <f>G254*AP254</f>
      </c>
      <c r="BJ254" s="111">
        <f>G254*H254</f>
      </c>
      <c r="BK254" s="111"/>
      <c r="BL254" s="111" t="n">
        <v>721</v>
      </c>
      <c r="BW254" s="111" t="n">
        <v>21</v>
      </c>
      <c r="BX254" s="14" t="s">
        <v>3361</v>
      </c>
    </row>
    <row r="255">
      <c r="A255" s="154"/>
      <c r="B255" s="155"/>
      <c r="C255" s="155"/>
      <c r="D255" s="156" t="s">
        <v>130</v>
      </c>
      <c r="E255" s="156" t="s">
        <v>3362</v>
      </c>
      <c r="F255" s="155"/>
      <c r="G255" s="157" t="n">
        <v>1</v>
      </c>
      <c r="H255" s="155"/>
      <c r="I255" s="155"/>
      <c r="J255" s="155"/>
      <c r="K255" s="146"/>
    </row>
    <row r="256">
      <c r="A256" s="9" t="s">
        <v>715</v>
      </c>
      <c r="B256" s="10" t="s">
        <v>87</v>
      </c>
      <c r="C256" s="10" t="s">
        <v>3364</v>
      </c>
      <c r="D256" s="14" t="s">
        <v>3365</v>
      </c>
      <c r="E256" s="10"/>
      <c r="F256" s="10" t="s">
        <v>282</v>
      </c>
      <c r="G256" s="111">
        <f>'Stavební rozpočet'!G2201</f>
      </c>
      <c r="H256" s="111">
        <f>'Stavební rozpočet'!H2201</f>
      </c>
      <c r="I256" s="111">
        <f>G256*H256</f>
      </c>
      <c r="J256" s="153" t="s">
        <v>134</v>
      </c>
      <c r="K256" s="146"/>
      <c r="Z256" s="111">
        <f>IF(AQ256="5",BJ256,0)</f>
      </c>
      <c r="AB256" s="111">
        <f>IF(AQ256="1",BH256,0)</f>
      </c>
      <c r="AC256" s="111">
        <f>IF(AQ256="1",BI256,0)</f>
      </c>
      <c r="AD256" s="111">
        <f>IF(AQ256="7",BH256,0)</f>
      </c>
      <c r="AE256" s="111">
        <f>IF(AQ256="7",BI256,0)</f>
      </c>
      <c r="AF256" s="111">
        <f>IF(AQ256="2",BH256,0)</f>
      </c>
      <c r="AG256" s="111">
        <f>IF(AQ256="2",BI256,0)</f>
      </c>
      <c r="AH256" s="111">
        <f>IF(AQ256="0",BJ256,0)</f>
      </c>
      <c r="AI256" s="132" t="s">
        <v>87</v>
      </c>
      <c r="AJ256" s="111">
        <f>IF(AN256=0,I256,0)</f>
      </c>
      <c r="AK256" s="111">
        <f>IF(AN256=12,I256,0)</f>
      </c>
      <c r="AL256" s="111">
        <f>IF(AN256=21,I256,0)</f>
      </c>
      <c r="AN256" s="111" t="n">
        <v>21</v>
      </c>
      <c r="AO256" s="111">
        <f>H256*0.493573034</f>
      </c>
      <c r="AP256" s="111">
        <f>H256*(1-0.493573034)</f>
      </c>
      <c r="AQ256" s="153" t="s">
        <v>173</v>
      </c>
      <c r="AV256" s="111">
        <f>AW256+AX256</f>
      </c>
      <c r="AW256" s="111">
        <f>G256*AO256</f>
      </c>
      <c r="AX256" s="111">
        <f>G256*AP256</f>
      </c>
      <c r="AY256" s="153" t="s">
        <v>3332</v>
      </c>
      <c r="AZ256" s="153" t="s">
        <v>3333</v>
      </c>
      <c r="BA256" s="132" t="s">
        <v>2990</v>
      </c>
      <c r="BC256" s="111">
        <f>AW256+AX256</f>
      </c>
      <c r="BD256" s="111">
        <f>H256/(100-BE256)*100</f>
      </c>
      <c r="BE256" s="111" t="n">
        <v>0</v>
      </c>
      <c r="BF256" s="111">
        <f>256</f>
      </c>
      <c r="BH256" s="111">
        <f>G256*AO256</f>
      </c>
      <c r="BI256" s="111">
        <f>G256*AP256</f>
      </c>
      <c r="BJ256" s="111">
        <f>G256*H256</f>
      </c>
      <c r="BK256" s="111"/>
      <c r="BL256" s="111" t="n">
        <v>721</v>
      </c>
      <c r="BW256" s="111" t="n">
        <v>21</v>
      </c>
      <c r="BX256" s="14" t="s">
        <v>3365</v>
      </c>
    </row>
    <row r="257">
      <c r="A257" s="154"/>
      <c r="B257" s="155"/>
      <c r="C257" s="155"/>
      <c r="D257" s="156" t="s">
        <v>224</v>
      </c>
      <c r="E257" s="156" t="s">
        <v>4</v>
      </c>
      <c r="F257" s="155"/>
      <c r="G257" s="157" t="n">
        <v>15</v>
      </c>
      <c r="H257" s="155"/>
      <c r="I257" s="155"/>
      <c r="J257" s="155"/>
      <c r="K257" s="146"/>
    </row>
    <row r="258">
      <c r="A258" s="9" t="s">
        <v>728</v>
      </c>
      <c r="B258" s="10" t="s">
        <v>87</v>
      </c>
      <c r="C258" s="10" t="s">
        <v>3367</v>
      </c>
      <c r="D258" s="14" t="s">
        <v>3368</v>
      </c>
      <c r="E258" s="10"/>
      <c r="F258" s="10" t="s">
        <v>282</v>
      </c>
      <c r="G258" s="111">
        <f>'Stavební rozpočet'!G2203</f>
      </c>
      <c r="H258" s="111">
        <f>'Stavební rozpočet'!H2203</f>
      </c>
      <c r="I258" s="111">
        <f>G258*H258</f>
      </c>
      <c r="J258" s="153" t="s">
        <v>134</v>
      </c>
      <c r="K258" s="146"/>
      <c r="Z258" s="111">
        <f>IF(AQ258="5",BJ258,0)</f>
      </c>
      <c r="AB258" s="111">
        <f>IF(AQ258="1",BH258,0)</f>
      </c>
      <c r="AC258" s="111">
        <f>IF(AQ258="1",BI258,0)</f>
      </c>
      <c r="AD258" s="111">
        <f>IF(AQ258="7",BH258,0)</f>
      </c>
      <c r="AE258" s="111">
        <f>IF(AQ258="7",BI258,0)</f>
      </c>
      <c r="AF258" s="111">
        <f>IF(AQ258="2",BH258,0)</f>
      </c>
      <c r="AG258" s="111">
        <f>IF(AQ258="2",BI258,0)</f>
      </c>
      <c r="AH258" s="111">
        <f>IF(AQ258="0",BJ258,0)</f>
      </c>
      <c r="AI258" s="132" t="s">
        <v>87</v>
      </c>
      <c r="AJ258" s="111">
        <f>IF(AN258=0,I258,0)</f>
      </c>
      <c r="AK258" s="111">
        <f>IF(AN258=12,I258,0)</f>
      </c>
      <c r="AL258" s="111">
        <f>IF(AN258=21,I258,0)</f>
      </c>
      <c r="AN258" s="111" t="n">
        <v>21</v>
      </c>
      <c r="AO258" s="111">
        <f>H258*0.572777251</f>
      </c>
      <c r="AP258" s="111">
        <f>H258*(1-0.572777251)</f>
      </c>
      <c r="AQ258" s="153" t="s">
        <v>173</v>
      </c>
      <c r="AV258" s="111">
        <f>AW258+AX258</f>
      </c>
      <c r="AW258" s="111">
        <f>G258*AO258</f>
      </c>
      <c r="AX258" s="111">
        <f>G258*AP258</f>
      </c>
      <c r="AY258" s="153" t="s">
        <v>3332</v>
      </c>
      <c r="AZ258" s="153" t="s">
        <v>3333</v>
      </c>
      <c r="BA258" s="132" t="s">
        <v>2990</v>
      </c>
      <c r="BC258" s="111">
        <f>AW258+AX258</f>
      </c>
      <c r="BD258" s="111">
        <f>H258/(100-BE258)*100</f>
      </c>
      <c r="BE258" s="111" t="n">
        <v>0</v>
      </c>
      <c r="BF258" s="111">
        <f>258</f>
      </c>
      <c r="BH258" s="111">
        <f>G258*AO258</f>
      </c>
      <c r="BI258" s="111">
        <f>G258*AP258</f>
      </c>
      <c r="BJ258" s="111">
        <f>G258*H258</f>
      </c>
      <c r="BK258" s="111"/>
      <c r="BL258" s="111" t="n">
        <v>721</v>
      </c>
      <c r="BW258" s="111" t="n">
        <v>21</v>
      </c>
      <c r="BX258" s="14" t="s">
        <v>3368</v>
      </c>
    </row>
    <row r="259">
      <c r="A259" s="154"/>
      <c r="B259" s="155"/>
      <c r="C259" s="155"/>
      <c r="D259" s="156" t="s">
        <v>378</v>
      </c>
      <c r="E259" s="156" t="s">
        <v>4</v>
      </c>
      <c r="F259" s="155"/>
      <c r="G259" s="157" t="n">
        <v>36</v>
      </c>
      <c r="H259" s="155"/>
      <c r="I259" s="155"/>
      <c r="J259" s="155"/>
      <c r="K259" s="146"/>
    </row>
    <row r="260">
      <c r="A260" s="9" t="s">
        <v>737</v>
      </c>
      <c r="B260" s="10" t="s">
        <v>87</v>
      </c>
      <c r="C260" s="10" t="s">
        <v>3370</v>
      </c>
      <c r="D260" s="14" t="s">
        <v>3371</v>
      </c>
      <c r="E260" s="10"/>
      <c r="F260" s="10" t="s">
        <v>282</v>
      </c>
      <c r="G260" s="111">
        <f>'Stavební rozpočet'!G2205</f>
      </c>
      <c r="H260" s="111">
        <f>'Stavební rozpočet'!H2205</f>
      </c>
      <c r="I260" s="111">
        <f>G260*H260</f>
      </c>
      <c r="J260" s="153" t="s">
        <v>134</v>
      </c>
      <c r="K260" s="146"/>
      <c r="Z260" s="111">
        <f>IF(AQ260="5",BJ260,0)</f>
      </c>
      <c r="AB260" s="111">
        <f>IF(AQ260="1",BH260,0)</f>
      </c>
      <c r="AC260" s="111">
        <f>IF(AQ260="1",BI260,0)</f>
      </c>
      <c r="AD260" s="111">
        <f>IF(AQ260="7",BH260,0)</f>
      </c>
      <c r="AE260" s="111">
        <f>IF(AQ260="7",BI260,0)</f>
      </c>
      <c r="AF260" s="111">
        <f>IF(AQ260="2",BH260,0)</f>
      </c>
      <c r="AG260" s="111">
        <f>IF(AQ260="2",BI260,0)</f>
      </c>
      <c r="AH260" s="111">
        <f>IF(AQ260="0",BJ260,0)</f>
      </c>
      <c r="AI260" s="132" t="s">
        <v>87</v>
      </c>
      <c r="AJ260" s="111">
        <f>IF(AN260=0,I260,0)</f>
      </c>
      <c r="AK260" s="111">
        <f>IF(AN260=12,I260,0)</f>
      </c>
      <c r="AL260" s="111">
        <f>IF(AN260=21,I260,0)</f>
      </c>
      <c r="AN260" s="111" t="n">
        <v>21</v>
      </c>
      <c r="AO260" s="111">
        <f>H260*0.71440553</f>
      </c>
      <c r="AP260" s="111">
        <f>H260*(1-0.71440553)</f>
      </c>
      <c r="AQ260" s="153" t="s">
        <v>173</v>
      </c>
      <c r="AV260" s="111">
        <f>AW260+AX260</f>
      </c>
      <c r="AW260" s="111">
        <f>G260*AO260</f>
      </c>
      <c r="AX260" s="111">
        <f>G260*AP260</f>
      </c>
      <c r="AY260" s="153" t="s">
        <v>3332</v>
      </c>
      <c r="AZ260" s="153" t="s">
        <v>3333</v>
      </c>
      <c r="BA260" s="132" t="s">
        <v>2990</v>
      </c>
      <c r="BC260" s="111">
        <f>AW260+AX260</f>
      </c>
      <c r="BD260" s="111">
        <f>H260/(100-BE260)*100</f>
      </c>
      <c r="BE260" s="111" t="n">
        <v>0</v>
      </c>
      <c r="BF260" s="111">
        <f>260</f>
      </c>
      <c r="BH260" s="111">
        <f>G260*AO260</f>
      </c>
      <c r="BI260" s="111">
        <f>G260*AP260</f>
      </c>
      <c r="BJ260" s="111">
        <f>G260*H260</f>
      </c>
      <c r="BK260" s="111"/>
      <c r="BL260" s="111" t="n">
        <v>721</v>
      </c>
      <c r="BW260" s="111" t="n">
        <v>21</v>
      </c>
      <c r="BX260" s="14" t="s">
        <v>3371</v>
      </c>
    </row>
    <row r="261" customHeight="true" ht="13.5">
      <c r="A261" s="159"/>
      <c r="C261" s="160" t="s">
        <v>146</v>
      </c>
      <c r="D261" s="161" t="s">
        <v>3372</v>
      </c>
      <c r="E261" s="156"/>
      <c r="F261" s="156"/>
      <c r="G261" s="156"/>
      <c r="H261" s="156"/>
      <c r="I261" s="156"/>
      <c r="J261" s="156"/>
      <c r="K261" s="163"/>
    </row>
    <row r="262">
      <c r="A262" s="154"/>
      <c r="B262" s="155"/>
      <c r="C262" s="155"/>
      <c r="D262" s="156" t="s">
        <v>728</v>
      </c>
      <c r="E262" s="156" t="s">
        <v>4</v>
      </c>
      <c r="F262" s="155"/>
      <c r="G262" s="157" t="n">
        <v>89</v>
      </c>
      <c r="H262" s="155"/>
      <c r="I262" s="155"/>
      <c r="J262" s="155"/>
      <c r="K262" s="146"/>
    </row>
    <row r="263">
      <c r="A263" s="9" t="s">
        <v>745</v>
      </c>
      <c r="B263" s="10" t="s">
        <v>87</v>
      </c>
      <c r="C263" s="10" t="s">
        <v>3374</v>
      </c>
      <c r="D263" s="14" t="s">
        <v>3375</v>
      </c>
      <c r="E263" s="10"/>
      <c r="F263" s="10" t="s">
        <v>282</v>
      </c>
      <c r="G263" s="111">
        <f>'Stavební rozpočet'!G2208</f>
      </c>
      <c r="H263" s="111">
        <f>'Stavební rozpočet'!H2208</f>
      </c>
      <c r="I263" s="111">
        <f>G263*H263</f>
      </c>
      <c r="J263" s="153" t="s">
        <v>134</v>
      </c>
      <c r="K263" s="146"/>
      <c r="Z263" s="111">
        <f>IF(AQ263="5",BJ263,0)</f>
      </c>
      <c r="AB263" s="111">
        <f>IF(AQ263="1",BH263,0)</f>
      </c>
      <c r="AC263" s="111">
        <f>IF(AQ263="1",BI263,0)</f>
      </c>
      <c r="AD263" s="111">
        <f>IF(AQ263="7",BH263,0)</f>
      </c>
      <c r="AE263" s="111">
        <f>IF(AQ263="7",BI263,0)</f>
      </c>
      <c r="AF263" s="111">
        <f>IF(AQ263="2",BH263,0)</f>
      </c>
      <c r="AG263" s="111">
        <f>IF(AQ263="2",BI263,0)</f>
      </c>
      <c r="AH263" s="111">
        <f>IF(AQ263="0",BJ263,0)</f>
      </c>
      <c r="AI263" s="132" t="s">
        <v>87</v>
      </c>
      <c r="AJ263" s="111">
        <f>IF(AN263=0,I263,0)</f>
      </c>
      <c r="AK263" s="111">
        <f>IF(AN263=12,I263,0)</f>
      </c>
      <c r="AL263" s="111">
        <f>IF(AN263=21,I263,0)</f>
      </c>
      <c r="AN263" s="111" t="n">
        <v>21</v>
      </c>
      <c r="AO263" s="111">
        <f>H263*0.708837209</f>
      </c>
      <c r="AP263" s="111">
        <f>H263*(1-0.708837209)</f>
      </c>
      <c r="AQ263" s="153" t="s">
        <v>173</v>
      </c>
      <c r="AV263" s="111">
        <f>AW263+AX263</f>
      </c>
      <c r="AW263" s="111">
        <f>G263*AO263</f>
      </c>
      <c r="AX263" s="111">
        <f>G263*AP263</f>
      </c>
      <c r="AY263" s="153" t="s">
        <v>3332</v>
      </c>
      <c r="AZ263" s="153" t="s">
        <v>3333</v>
      </c>
      <c r="BA263" s="132" t="s">
        <v>2990</v>
      </c>
      <c r="BC263" s="111">
        <f>AW263+AX263</f>
      </c>
      <c r="BD263" s="111">
        <f>H263/(100-BE263)*100</f>
      </c>
      <c r="BE263" s="111" t="n">
        <v>0</v>
      </c>
      <c r="BF263" s="111">
        <f>263</f>
      </c>
      <c r="BH263" s="111">
        <f>G263*AO263</f>
      </c>
      <c r="BI263" s="111">
        <f>G263*AP263</f>
      </c>
      <c r="BJ263" s="111">
        <f>G263*H263</f>
      </c>
      <c r="BK263" s="111"/>
      <c r="BL263" s="111" t="n">
        <v>721</v>
      </c>
      <c r="BW263" s="111" t="n">
        <v>21</v>
      </c>
      <c r="BX263" s="14" t="s">
        <v>3375</v>
      </c>
    </row>
    <row r="264" customHeight="true" ht="13.5">
      <c r="A264" s="159"/>
      <c r="C264" s="160" t="s">
        <v>146</v>
      </c>
      <c r="D264" s="161" t="s">
        <v>3372</v>
      </c>
      <c r="E264" s="156"/>
      <c r="F264" s="156"/>
      <c r="G264" s="156"/>
      <c r="H264" s="156"/>
      <c r="I264" s="156"/>
      <c r="J264" s="156"/>
      <c r="K264" s="163"/>
    </row>
    <row r="265">
      <c r="A265" s="154"/>
      <c r="B265" s="155"/>
      <c r="C265" s="155"/>
      <c r="D265" s="156" t="s">
        <v>360</v>
      </c>
      <c r="E265" s="156" t="s">
        <v>4</v>
      </c>
      <c r="F265" s="155"/>
      <c r="G265" s="157" t="n">
        <v>33</v>
      </c>
      <c r="H265" s="155"/>
      <c r="I265" s="155"/>
      <c r="J265" s="155"/>
      <c r="K265" s="146"/>
    </row>
    <row r="266">
      <c r="A266" s="9" t="s">
        <v>748</v>
      </c>
      <c r="B266" s="10" t="s">
        <v>87</v>
      </c>
      <c r="C266" s="10" t="s">
        <v>3377</v>
      </c>
      <c r="D266" s="14" t="s">
        <v>3378</v>
      </c>
      <c r="E266" s="10"/>
      <c r="F266" s="10" t="s">
        <v>282</v>
      </c>
      <c r="G266" s="111">
        <f>'Stavební rozpočet'!G2211</f>
      </c>
      <c r="H266" s="111">
        <f>'Stavební rozpočet'!H2211</f>
      </c>
      <c r="I266" s="111">
        <f>G266*H266</f>
      </c>
      <c r="J266" s="153" t="s">
        <v>134</v>
      </c>
      <c r="K266" s="146"/>
      <c r="Z266" s="111">
        <f>IF(AQ266="5",BJ266,0)</f>
      </c>
      <c r="AB266" s="111">
        <f>IF(AQ266="1",BH266,0)</f>
      </c>
      <c r="AC266" s="111">
        <f>IF(AQ266="1",BI266,0)</f>
      </c>
      <c r="AD266" s="111">
        <f>IF(AQ266="7",BH266,0)</f>
      </c>
      <c r="AE266" s="111">
        <f>IF(AQ266="7",BI266,0)</f>
      </c>
      <c r="AF266" s="111">
        <f>IF(AQ266="2",BH266,0)</f>
      </c>
      <c r="AG266" s="111">
        <f>IF(AQ266="2",BI266,0)</f>
      </c>
      <c r="AH266" s="111">
        <f>IF(AQ266="0",BJ266,0)</f>
      </c>
      <c r="AI266" s="132" t="s">
        <v>87</v>
      </c>
      <c r="AJ266" s="111">
        <f>IF(AN266=0,I266,0)</f>
      </c>
      <c r="AK266" s="111">
        <f>IF(AN266=12,I266,0)</f>
      </c>
      <c r="AL266" s="111">
        <f>IF(AN266=21,I266,0)</f>
      </c>
      <c r="AN266" s="111" t="n">
        <v>21</v>
      </c>
      <c r="AO266" s="111">
        <f>H266*0.710587</f>
      </c>
      <c r="AP266" s="111">
        <f>H266*(1-0.710587)</f>
      </c>
      <c r="AQ266" s="153" t="s">
        <v>173</v>
      </c>
      <c r="AV266" s="111">
        <f>AW266+AX266</f>
      </c>
      <c r="AW266" s="111">
        <f>G266*AO266</f>
      </c>
      <c r="AX266" s="111">
        <f>G266*AP266</f>
      </c>
      <c r="AY266" s="153" t="s">
        <v>3332</v>
      </c>
      <c r="AZ266" s="153" t="s">
        <v>3333</v>
      </c>
      <c r="BA266" s="132" t="s">
        <v>2990</v>
      </c>
      <c r="BC266" s="111">
        <f>AW266+AX266</f>
      </c>
      <c r="BD266" s="111">
        <f>H266/(100-BE266)*100</f>
      </c>
      <c r="BE266" s="111" t="n">
        <v>0</v>
      </c>
      <c r="BF266" s="111">
        <f>266</f>
      </c>
      <c r="BH266" s="111">
        <f>G266*AO266</f>
      </c>
      <c r="BI266" s="111">
        <f>G266*AP266</f>
      </c>
      <c r="BJ266" s="111">
        <f>G266*H266</f>
      </c>
      <c r="BK266" s="111"/>
      <c r="BL266" s="111" t="n">
        <v>721</v>
      </c>
      <c r="BW266" s="111" t="n">
        <v>21</v>
      </c>
      <c r="BX266" s="14" t="s">
        <v>3378</v>
      </c>
    </row>
    <row r="267">
      <c r="A267" s="154"/>
      <c r="B267" s="155"/>
      <c r="C267" s="155"/>
      <c r="D267" s="156" t="s">
        <v>255</v>
      </c>
      <c r="E267" s="156" t="s">
        <v>4</v>
      </c>
      <c r="F267" s="155"/>
      <c r="G267" s="157" t="n">
        <v>20</v>
      </c>
      <c r="H267" s="155"/>
      <c r="I267" s="155"/>
      <c r="J267" s="155"/>
      <c r="K267" s="146"/>
    </row>
    <row r="268">
      <c r="A268" s="9" t="s">
        <v>756</v>
      </c>
      <c r="B268" s="10" t="s">
        <v>87</v>
      </c>
      <c r="C268" s="10" t="s">
        <v>3380</v>
      </c>
      <c r="D268" s="14" t="s">
        <v>3381</v>
      </c>
      <c r="E268" s="10"/>
      <c r="F268" s="10" t="s">
        <v>282</v>
      </c>
      <c r="G268" s="111">
        <f>'Stavební rozpočet'!G2213</f>
      </c>
      <c r="H268" s="111">
        <f>'Stavební rozpočet'!H2213</f>
      </c>
      <c r="I268" s="111">
        <f>G268*H268</f>
      </c>
      <c r="J268" s="153" t="s">
        <v>134</v>
      </c>
      <c r="K268" s="146"/>
      <c r="Z268" s="111">
        <f>IF(AQ268="5",BJ268,0)</f>
      </c>
      <c r="AB268" s="111">
        <f>IF(AQ268="1",BH268,0)</f>
      </c>
      <c r="AC268" s="111">
        <f>IF(AQ268="1",BI268,0)</f>
      </c>
      <c r="AD268" s="111">
        <f>IF(AQ268="7",BH268,0)</f>
      </c>
      <c r="AE268" s="111">
        <f>IF(AQ268="7",BI268,0)</f>
      </c>
      <c r="AF268" s="111">
        <f>IF(AQ268="2",BH268,0)</f>
      </c>
      <c r="AG268" s="111">
        <f>IF(AQ268="2",BI268,0)</f>
      </c>
      <c r="AH268" s="111">
        <f>IF(AQ268="0",BJ268,0)</f>
      </c>
      <c r="AI268" s="132" t="s">
        <v>87</v>
      </c>
      <c r="AJ268" s="111">
        <f>IF(AN268=0,I268,0)</f>
      </c>
      <c r="AK268" s="111">
        <f>IF(AN268=12,I268,0)</f>
      </c>
      <c r="AL268" s="111">
        <f>IF(AN268=21,I268,0)</f>
      </c>
      <c r="AN268" s="111" t="n">
        <v>21</v>
      </c>
      <c r="AO268" s="111">
        <f>H268*0.646472919</f>
      </c>
      <c r="AP268" s="111">
        <f>H268*(1-0.646472919)</f>
      </c>
      <c r="AQ268" s="153" t="s">
        <v>173</v>
      </c>
      <c r="AV268" s="111">
        <f>AW268+AX268</f>
      </c>
      <c r="AW268" s="111">
        <f>G268*AO268</f>
      </c>
      <c r="AX268" s="111">
        <f>G268*AP268</f>
      </c>
      <c r="AY268" s="153" t="s">
        <v>3332</v>
      </c>
      <c r="AZ268" s="153" t="s">
        <v>3333</v>
      </c>
      <c r="BA268" s="132" t="s">
        <v>2990</v>
      </c>
      <c r="BC268" s="111">
        <f>AW268+AX268</f>
      </c>
      <c r="BD268" s="111">
        <f>H268/(100-BE268)*100</f>
      </c>
      <c r="BE268" s="111" t="n">
        <v>0</v>
      </c>
      <c r="BF268" s="111">
        <f>268</f>
      </c>
      <c r="BH268" s="111">
        <f>G268*AO268</f>
      </c>
      <c r="BI268" s="111">
        <f>G268*AP268</f>
      </c>
      <c r="BJ268" s="111">
        <f>G268*H268</f>
      </c>
      <c r="BK268" s="111"/>
      <c r="BL268" s="111" t="n">
        <v>721</v>
      </c>
      <c r="BW268" s="111" t="n">
        <v>21</v>
      </c>
      <c r="BX268" s="14" t="s">
        <v>3381</v>
      </c>
    </row>
    <row r="269">
      <c r="A269" s="154"/>
      <c r="B269" s="155"/>
      <c r="C269" s="155"/>
      <c r="D269" s="156" t="s">
        <v>140</v>
      </c>
      <c r="E269" s="156" t="s">
        <v>4</v>
      </c>
      <c r="F269" s="155"/>
      <c r="G269" s="157" t="n">
        <v>2</v>
      </c>
      <c r="H269" s="155"/>
      <c r="I269" s="155"/>
      <c r="J269" s="155"/>
      <c r="K269" s="146"/>
    </row>
    <row r="270">
      <c r="A270" s="9" t="s">
        <v>761</v>
      </c>
      <c r="B270" s="10" t="s">
        <v>87</v>
      </c>
      <c r="C270" s="10" t="s">
        <v>3383</v>
      </c>
      <c r="D270" s="14" t="s">
        <v>3384</v>
      </c>
      <c r="E270" s="10"/>
      <c r="F270" s="10" t="s">
        <v>282</v>
      </c>
      <c r="G270" s="111">
        <f>'Stavební rozpočet'!G2215</f>
      </c>
      <c r="H270" s="111">
        <f>'Stavební rozpočet'!H2215</f>
      </c>
      <c r="I270" s="111">
        <f>G270*H270</f>
      </c>
      <c r="J270" s="153" t="s">
        <v>134</v>
      </c>
      <c r="K270" s="146"/>
      <c r="Z270" s="111">
        <f>IF(AQ270="5",BJ270,0)</f>
      </c>
      <c r="AB270" s="111">
        <f>IF(AQ270="1",BH270,0)</f>
      </c>
      <c r="AC270" s="111">
        <f>IF(AQ270="1",BI270,0)</f>
      </c>
      <c r="AD270" s="111">
        <f>IF(AQ270="7",BH270,0)</f>
      </c>
      <c r="AE270" s="111">
        <f>IF(AQ270="7",BI270,0)</f>
      </c>
      <c r="AF270" s="111">
        <f>IF(AQ270="2",BH270,0)</f>
      </c>
      <c r="AG270" s="111">
        <f>IF(AQ270="2",BI270,0)</f>
      </c>
      <c r="AH270" s="111">
        <f>IF(AQ270="0",BJ270,0)</f>
      </c>
      <c r="AI270" s="132" t="s">
        <v>87</v>
      </c>
      <c r="AJ270" s="111">
        <f>IF(AN270=0,I270,0)</f>
      </c>
      <c r="AK270" s="111">
        <f>IF(AN270=12,I270,0)</f>
      </c>
      <c r="AL270" s="111">
        <f>IF(AN270=21,I270,0)</f>
      </c>
      <c r="AN270" s="111" t="n">
        <v>21</v>
      </c>
      <c r="AO270" s="111">
        <f>H270*0.621608472</f>
      </c>
      <c r="AP270" s="111">
        <f>H270*(1-0.621608472)</f>
      </c>
      <c r="AQ270" s="153" t="s">
        <v>173</v>
      </c>
      <c r="AV270" s="111">
        <f>AW270+AX270</f>
      </c>
      <c r="AW270" s="111">
        <f>G270*AO270</f>
      </c>
      <c r="AX270" s="111">
        <f>G270*AP270</f>
      </c>
      <c r="AY270" s="153" t="s">
        <v>3332</v>
      </c>
      <c r="AZ270" s="153" t="s">
        <v>3333</v>
      </c>
      <c r="BA270" s="132" t="s">
        <v>2990</v>
      </c>
      <c r="BC270" s="111">
        <f>AW270+AX270</f>
      </c>
      <c r="BD270" s="111">
        <f>H270/(100-BE270)*100</f>
      </c>
      <c r="BE270" s="111" t="n">
        <v>0</v>
      </c>
      <c r="BF270" s="111">
        <f>270</f>
      </c>
      <c r="BH270" s="111">
        <f>G270*AO270</f>
      </c>
      <c r="BI270" s="111">
        <f>G270*AP270</f>
      </c>
      <c r="BJ270" s="111">
        <f>G270*H270</f>
      </c>
      <c r="BK270" s="111"/>
      <c r="BL270" s="111" t="n">
        <v>721</v>
      </c>
      <c r="BW270" s="111" t="n">
        <v>21</v>
      </c>
      <c r="BX270" s="14" t="s">
        <v>3384</v>
      </c>
    </row>
    <row r="271">
      <c r="A271" s="154"/>
      <c r="B271" s="155"/>
      <c r="C271" s="155"/>
      <c r="D271" s="156" t="s">
        <v>128</v>
      </c>
      <c r="E271" s="156" t="s">
        <v>4</v>
      </c>
      <c r="F271" s="155"/>
      <c r="G271" s="157" t="n">
        <v>11</v>
      </c>
      <c r="H271" s="155"/>
      <c r="I271" s="155"/>
      <c r="J271" s="155"/>
      <c r="K271" s="146"/>
    </row>
    <row r="272">
      <c r="A272" s="9" t="s">
        <v>765</v>
      </c>
      <c r="B272" s="10" t="s">
        <v>87</v>
      </c>
      <c r="C272" s="10" t="s">
        <v>3386</v>
      </c>
      <c r="D272" s="14" t="s">
        <v>3387</v>
      </c>
      <c r="E272" s="10"/>
      <c r="F272" s="10" t="s">
        <v>282</v>
      </c>
      <c r="G272" s="111">
        <f>'Stavební rozpočet'!G2217</f>
      </c>
      <c r="H272" s="111">
        <f>'Stavební rozpočet'!H2217</f>
      </c>
      <c r="I272" s="111">
        <f>G272*H272</f>
      </c>
      <c r="J272" s="153" t="s">
        <v>134</v>
      </c>
      <c r="K272" s="146"/>
      <c r="Z272" s="111">
        <f>IF(AQ272="5",BJ272,0)</f>
      </c>
      <c r="AB272" s="111">
        <f>IF(AQ272="1",BH272,0)</f>
      </c>
      <c r="AC272" s="111">
        <f>IF(AQ272="1",BI272,0)</f>
      </c>
      <c r="AD272" s="111">
        <f>IF(AQ272="7",BH272,0)</f>
      </c>
      <c r="AE272" s="111">
        <f>IF(AQ272="7",BI272,0)</f>
      </c>
      <c r="AF272" s="111">
        <f>IF(AQ272="2",BH272,0)</f>
      </c>
      <c r="AG272" s="111">
        <f>IF(AQ272="2",BI272,0)</f>
      </c>
      <c r="AH272" s="111">
        <f>IF(AQ272="0",BJ272,0)</f>
      </c>
      <c r="AI272" s="132" t="s">
        <v>87</v>
      </c>
      <c r="AJ272" s="111">
        <f>IF(AN272=0,I272,0)</f>
      </c>
      <c r="AK272" s="111">
        <f>IF(AN272=12,I272,0)</f>
      </c>
      <c r="AL272" s="111">
        <f>IF(AN272=21,I272,0)</f>
      </c>
      <c r="AN272" s="111" t="n">
        <v>21</v>
      </c>
      <c r="AO272" s="111">
        <f>H272*0.508317757</f>
      </c>
      <c r="AP272" s="111">
        <f>H272*(1-0.508317757)</f>
      </c>
      <c r="AQ272" s="153" t="s">
        <v>173</v>
      </c>
      <c r="AV272" s="111">
        <f>AW272+AX272</f>
      </c>
      <c r="AW272" s="111">
        <f>G272*AO272</f>
      </c>
      <c r="AX272" s="111">
        <f>G272*AP272</f>
      </c>
      <c r="AY272" s="153" t="s">
        <v>3332</v>
      </c>
      <c r="AZ272" s="153" t="s">
        <v>3333</v>
      </c>
      <c r="BA272" s="132" t="s">
        <v>2990</v>
      </c>
      <c r="BC272" s="111">
        <f>AW272+AX272</f>
      </c>
      <c r="BD272" s="111">
        <f>H272/(100-BE272)*100</f>
      </c>
      <c r="BE272" s="111" t="n">
        <v>0</v>
      </c>
      <c r="BF272" s="111">
        <f>272</f>
      </c>
      <c r="BH272" s="111">
        <f>G272*AO272</f>
      </c>
      <c r="BI272" s="111">
        <f>G272*AP272</f>
      </c>
      <c r="BJ272" s="111">
        <f>G272*H272</f>
      </c>
      <c r="BK272" s="111"/>
      <c r="BL272" s="111" t="n">
        <v>721</v>
      </c>
      <c r="BW272" s="111" t="n">
        <v>21</v>
      </c>
      <c r="BX272" s="14" t="s">
        <v>3387</v>
      </c>
    </row>
    <row r="273">
      <c r="A273" s="154"/>
      <c r="B273" s="155"/>
      <c r="C273" s="155"/>
      <c r="D273" s="156" t="s">
        <v>261</v>
      </c>
      <c r="E273" s="156" t="s">
        <v>4</v>
      </c>
      <c r="F273" s="155"/>
      <c r="G273" s="157" t="n">
        <v>21</v>
      </c>
      <c r="H273" s="155"/>
      <c r="I273" s="155"/>
      <c r="J273" s="155"/>
      <c r="K273" s="146"/>
    </row>
    <row r="274">
      <c r="A274" s="9" t="s">
        <v>768</v>
      </c>
      <c r="B274" s="10" t="s">
        <v>87</v>
      </c>
      <c r="C274" s="10" t="s">
        <v>3389</v>
      </c>
      <c r="D274" s="14" t="s">
        <v>3390</v>
      </c>
      <c r="E274" s="10"/>
      <c r="F274" s="10" t="s">
        <v>282</v>
      </c>
      <c r="G274" s="111">
        <f>'Stavební rozpočet'!G2219</f>
      </c>
      <c r="H274" s="111">
        <f>'Stavební rozpočet'!H2219</f>
      </c>
      <c r="I274" s="111">
        <f>G274*H274</f>
      </c>
      <c r="J274" s="153" t="s">
        <v>134</v>
      </c>
      <c r="K274" s="146"/>
      <c r="Z274" s="111">
        <f>IF(AQ274="5",BJ274,0)</f>
      </c>
      <c r="AB274" s="111">
        <f>IF(AQ274="1",BH274,0)</f>
      </c>
      <c r="AC274" s="111">
        <f>IF(AQ274="1",BI274,0)</f>
      </c>
      <c r="AD274" s="111">
        <f>IF(AQ274="7",BH274,0)</f>
      </c>
      <c r="AE274" s="111">
        <f>IF(AQ274="7",BI274,0)</f>
      </c>
      <c r="AF274" s="111">
        <f>IF(AQ274="2",BH274,0)</f>
      </c>
      <c r="AG274" s="111">
        <f>IF(AQ274="2",BI274,0)</f>
      </c>
      <c r="AH274" s="111">
        <f>IF(AQ274="0",BJ274,0)</f>
      </c>
      <c r="AI274" s="132" t="s">
        <v>87</v>
      </c>
      <c r="AJ274" s="111">
        <f>IF(AN274=0,I274,0)</f>
      </c>
      <c r="AK274" s="111">
        <f>IF(AN274=12,I274,0)</f>
      </c>
      <c r="AL274" s="111">
        <f>IF(AN274=21,I274,0)</f>
      </c>
      <c r="AN274" s="111" t="n">
        <v>21</v>
      </c>
      <c r="AO274" s="111">
        <f>H274*0.628957816</f>
      </c>
      <c r="AP274" s="111">
        <f>H274*(1-0.628957816)</f>
      </c>
      <c r="AQ274" s="153" t="s">
        <v>173</v>
      </c>
      <c r="AV274" s="111">
        <f>AW274+AX274</f>
      </c>
      <c r="AW274" s="111">
        <f>G274*AO274</f>
      </c>
      <c r="AX274" s="111">
        <f>G274*AP274</f>
      </c>
      <c r="AY274" s="153" t="s">
        <v>3332</v>
      </c>
      <c r="AZ274" s="153" t="s">
        <v>3333</v>
      </c>
      <c r="BA274" s="132" t="s">
        <v>2990</v>
      </c>
      <c r="BC274" s="111">
        <f>AW274+AX274</f>
      </c>
      <c r="BD274" s="111">
        <f>H274/(100-BE274)*100</f>
      </c>
      <c r="BE274" s="111" t="n">
        <v>0</v>
      </c>
      <c r="BF274" s="111">
        <f>274</f>
      </c>
      <c r="BH274" s="111">
        <f>G274*AO274</f>
      </c>
      <c r="BI274" s="111">
        <f>G274*AP274</f>
      </c>
      <c r="BJ274" s="111">
        <f>G274*H274</f>
      </c>
      <c r="BK274" s="111"/>
      <c r="BL274" s="111" t="n">
        <v>721</v>
      </c>
      <c r="BW274" s="111" t="n">
        <v>21</v>
      </c>
      <c r="BX274" s="14" t="s">
        <v>3390</v>
      </c>
    </row>
    <row r="275">
      <c r="A275" s="154"/>
      <c r="B275" s="155"/>
      <c r="C275" s="155"/>
      <c r="D275" s="156" t="s">
        <v>360</v>
      </c>
      <c r="E275" s="156" t="s">
        <v>4</v>
      </c>
      <c r="F275" s="155"/>
      <c r="G275" s="157" t="n">
        <v>33</v>
      </c>
      <c r="H275" s="155"/>
      <c r="I275" s="155"/>
      <c r="J275" s="155"/>
      <c r="K275" s="146"/>
    </row>
    <row r="276">
      <c r="A276" s="9" t="s">
        <v>783</v>
      </c>
      <c r="B276" s="10" t="s">
        <v>87</v>
      </c>
      <c r="C276" s="10" t="s">
        <v>3392</v>
      </c>
      <c r="D276" s="14" t="s">
        <v>3393</v>
      </c>
      <c r="E276" s="10"/>
      <c r="F276" s="10" t="s">
        <v>282</v>
      </c>
      <c r="G276" s="111">
        <f>'Stavební rozpočet'!G2221</f>
      </c>
      <c r="H276" s="111">
        <f>'Stavební rozpočet'!H2221</f>
      </c>
      <c r="I276" s="111">
        <f>G276*H276</f>
      </c>
      <c r="J276" s="153" t="s">
        <v>134</v>
      </c>
      <c r="K276" s="146"/>
      <c r="Z276" s="111">
        <f>IF(AQ276="5",BJ276,0)</f>
      </c>
      <c r="AB276" s="111">
        <f>IF(AQ276="1",BH276,0)</f>
      </c>
      <c r="AC276" s="111">
        <f>IF(AQ276="1",BI276,0)</f>
      </c>
      <c r="AD276" s="111">
        <f>IF(AQ276="7",BH276,0)</f>
      </c>
      <c r="AE276" s="111">
        <f>IF(AQ276="7",BI276,0)</f>
      </c>
      <c r="AF276" s="111">
        <f>IF(AQ276="2",BH276,0)</f>
      </c>
      <c r="AG276" s="111">
        <f>IF(AQ276="2",BI276,0)</f>
      </c>
      <c r="AH276" s="111">
        <f>IF(AQ276="0",BJ276,0)</f>
      </c>
      <c r="AI276" s="132" t="s">
        <v>87</v>
      </c>
      <c r="AJ276" s="111">
        <f>IF(AN276=0,I276,0)</f>
      </c>
      <c r="AK276" s="111">
        <f>IF(AN276=12,I276,0)</f>
      </c>
      <c r="AL276" s="111">
        <f>IF(AN276=21,I276,0)</f>
      </c>
      <c r="AN276" s="111" t="n">
        <v>21</v>
      </c>
      <c r="AO276" s="111">
        <f>H276*0.77072602</f>
      </c>
      <c r="AP276" s="111">
        <f>H276*(1-0.77072602)</f>
      </c>
      <c r="AQ276" s="153" t="s">
        <v>173</v>
      </c>
      <c r="AV276" s="111">
        <f>AW276+AX276</f>
      </c>
      <c r="AW276" s="111">
        <f>G276*AO276</f>
      </c>
      <c r="AX276" s="111">
        <f>G276*AP276</f>
      </c>
      <c r="AY276" s="153" t="s">
        <v>3332</v>
      </c>
      <c r="AZ276" s="153" t="s">
        <v>3333</v>
      </c>
      <c r="BA276" s="132" t="s">
        <v>2990</v>
      </c>
      <c r="BC276" s="111">
        <f>AW276+AX276</f>
      </c>
      <c r="BD276" s="111">
        <f>H276/(100-BE276)*100</f>
      </c>
      <c r="BE276" s="111" t="n">
        <v>0</v>
      </c>
      <c r="BF276" s="111">
        <f>276</f>
      </c>
      <c r="BH276" s="111">
        <f>G276*AO276</f>
      </c>
      <c r="BI276" s="111">
        <f>G276*AP276</f>
      </c>
      <c r="BJ276" s="111">
        <f>G276*H276</f>
      </c>
      <c r="BK276" s="111"/>
      <c r="BL276" s="111" t="n">
        <v>721</v>
      </c>
      <c r="BW276" s="111" t="n">
        <v>21</v>
      </c>
      <c r="BX276" s="14" t="s">
        <v>3393</v>
      </c>
    </row>
    <row r="277">
      <c r="A277" s="154"/>
      <c r="B277" s="155"/>
      <c r="C277" s="155"/>
      <c r="D277" s="156" t="s">
        <v>176</v>
      </c>
      <c r="E277" s="156" t="s">
        <v>4</v>
      </c>
      <c r="F277" s="155"/>
      <c r="G277" s="157" t="n">
        <v>8</v>
      </c>
      <c r="H277" s="155"/>
      <c r="I277" s="155"/>
      <c r="J277" s="155"/>
      <c r="K277" s="146"/>
    </row>
    <row r="278">
      <c r="A278" s="9" t="s">
        <v>793</v>
      </c>
      <c r="B278" s="10" t="s">
        <v>87</v>
      </c>
      <c r="C278" s="10" t="s">
        <v>3395</v>
      </c>
      <c r="D278" s="14" t="s">
        <v>3396</v>
      </c>
      <c r="E278" s="10"/>
      <c r="F278" s="10" t="s">
        <v>282</v>
      </c>
      <c r="G278" s="111">
        <f>'Stavební rozpočet'!G2223</f>
      </c>
      <c r="H278" s="111">
        <f>'Stavební rozpočet'!H2223</f>
      </c>
      <c r="I278" s="111">
        <f>G278*H278</f>
      </c>
      <c r="J278" s="153" t="s">
        <v>134</v>
      </c>
      <c r="K278" s="146"/>
      <c r="Z278" s="111">
        <f>IF(AQ278="5",BJ278,0)</f>
      </c>
      <c r="AB278" s="111">
        <f>IF(AQ278="1",BH278,0)</f>
      </c>
      <c r="AC278" s="111">
        <f>IF(AQ278="1",BI278,0)</f>
      </c>
      <c r="AD278" s="111">
        <f>IF(AQ278="7",BH278,0)</f>
      </c>
      <c r="AE278" s="111">
        <f>IF(AQ278="7",BI278,0)</f>
      </c>
      <c r="AF278" s="111">
        <f>IF(AQ278="2",BH278,0)</f>
      </c>
      <c r="AG278" s="111">
        <f>IF(AQ278="2",BI278,0)</f>
      </c>
      <c r="AH278" s="111">
        <f>IF(AQ278="0",BJ278,0)</f>
      </c>
      <c r="AI278" s="132" t="s">
        <v>87</v>
      </c>
      <c r="AJ278" s="111">
        <f>IF(AN278=0,I278,0)</f>
      </c>
      <c r="AK278" s="111">
        <f>IF(AN278=12,I278,0)</f>
      </c>
      <c r="AL278" s="111">
        <f>IF(AN278=21,I278,0)</f>
      </c>
      <c r="AN278" s="111" t="n">
        <v>21</v>
      </c>
      <c r="AO278" s="111">
        <f>H278*0.852150877</f>
      </c>
      <c r="AP278" s="111">
        <f>H278*(1-0.852150877)</f>
      </c>
      <c r="AQ278" s="153" t="s">
        <v>173</v>
      </c>
      <c r="AV278" s="111">
        <f>AW278+AX278</f>
      </c>
      <c r="AW278" s="111">
        <f>G278*AO278</f>
      </c>
      <c r="AX278" s="111">
        <f>G278*AP278</f>
      </c>
      <c r="AY278" s="153" t="s">
        <v>3332</v>
      </c>
      <c r="AZ278" s="153" t="s">
        <v>3333</v>
      </c>
      <c r="BA278" s="132" t="s">
        <v>2990</v>
      </c>
      <c r="BC278" s="111">
        <f>AW278+AX278</f>
      </c>
      <c r="BD278" s="111">
        <f>H278/(100-BE278)*100</f>
      </c>
      <c r="BE278" s="111" t="n">
        <v>0</v>
      </c>
      <c r="BF278" s="111">
        <f>278</f>
      </c>
      <c r="BH278" s="111">
        <f>G278*AO278</f>
      </c>
      <c r="BI278" s="111">
        <f>G278*AP278</f>
      </c>
      <c r="BJ278" s="111">
        <f>G278*H278</f>
      </c>
      <c r="BK278" s="111"/>
      <c r="BL278" s="111" t="n">
        <v>721</v>
      </c>
      <c r="BW278" s="111" t="n">
        <v>21</v>
      </c>
      <c r="BX278" s="14" t="s">
        <v>3396</v>
      </c>
    </row>
    <row r="279">
      <c r="A279" s="154"/>
      <c r="B279" s="155"/>
      <c r="C279" s="155"/>
      <c r="D279" s="156" t="s">
        <v>163</v>
      </c>
      <c r="E279" s="156" t="s">
        <v>4</v>
      </c>
      <c r="F279" s="155"/>
      <c r="G279" s="157" t="n">
        <v>13</v>
      </c>
      <c r="H279" s="155"/>
      <c r="I279" s="155"/>
      <c r="J279" s="155"/>
      <c r="K279" s="146"/>
    </row>
    <row r="280">
      <c r="A280" s="9" t="s">
        <v>802</v>
      </c>
      <c r="B280" s="10" t="s">
        <v>87</v>
      </c>
      <c r="C280" s="10" t="s">
        <v>3398</v>
      </c>
      <c r="D280" s="14" t="s">
        <v>3399</v>
      </c>
      <c r="E280" s="10"/>
      <c r="F280" s="10" t="s">
        <v>133</v>
      </c>
      <c r="G280" s="111">
        <f>'Stavební rozpočet'!G2225</f>
      </c>
      <c r="H280" s="111">
        <f>'Stavební rozpočet'!H2225</f>
      </c>
      <c r="I280" s="111">
        <f>G280*H280</f>
      </c>
      <c r="J280" s="153" t="s">
        <v>134</v>
      </c>
      <c r="K280" s="146"/>
      <c r="Z280" s="111">
        <f>IF(AQ280="5",BJ280,0)</f>
      </c>
      <c r="AB280" s="111">
        <f>IF(AQ280="1",BH280,0)</f>
      </c>
      <c r="AC280" s="111">
        <f>IF(AQ280="1",BI280,0)</f>
      </c>
      <c r="AD280" s="111">
        <f>IF(AQ280="7",BH280,0)</f>
      </c>
      <c r="AE280" s="111">
        <f>IF(AQ280="7",BI280,0)</f>
      </c>
      <c r="AF280" s="111">
        <f>IF(AQ280="2",BH280,0)</f>
      </c>
      <c r="AG280" s="111">
        <f>IF(AQ280="2",BI280,0)</f>
      </c>
      <c r="AH280" s="111">
        <f>IF(AQ280="0",BJ280,0)</f>
      </c>
      <c r="AI280" s="132" t="s">
        <v>87</v>
      </c>
      <c r="AJ280" s="111">
        <f>IF(AN280=0,I280,0)</f>
      </c>
      <c r="AK280" s="111">
        <f>IF(AN280=12,I280,0)</f>
      </c>
      <c r="AL280" s="111">
        <f>IF(AN280=21,I280,0)</f>
      </c>
      <c r="AN280" s="111" t="n">
        <v>21</v>
      </c>
      <c r="AO280" s="111">
        <f>H280*0.738682746</f>
      </c>
      <c r="AP280" s="111">
        <f>H280*(1-0.738682746)</f>
      </c>
      <c r="AQ280" s="153" t="s">
        <v>173</v>
      </c>
      <c r="AV280" s="111">
        <f>AW280+AX280</f>
      </c>
      <c r="AW280" s="111">
        <f>G280*AO280</f>
      </c>
      <c r="AX280" s="111">
        <f>G280*AP280</f>
      </c>
      <c r="AY280" s="153" t="s">
        <v>3332</v>
      </c>
      <c r="AZ280" s="153" t="s">
        <v>3333</v>
      </c>
      <c r="BA280" s="132" t="s">
        <v>2990</v>
      </c>
      <c r="BC280" s="111">
        <f>AW280+AX280</f>
      </c>
      <c r="BD280" s="111">
        <f>H280/(100-BE280)*100</f>
      </c>
      <c r="BE280" s="111" t="n">
        <v>0</v>
      </c>
      <c r="BF280" s="111">
        <f>280</f>
      </c>
      <c r="BH280" s="111">
        <f>G280*AO280</f>
      </c>
      <c r="BI280" s="111">
        <f>G280*AP280</f>
      </c>
      <c r="BJ280" s="111">
        <f>G280*H280</f>
      </c>
      <c r="BK280" s="111"/>
      <c r="BL280" s="111" t="n">
        <v>721</v>
      </c>
      <c r="BW280" s="111" t="n">
        <v>21</v>
      </c>
      <c r="BX280" s="14" t="s">
        <v>3399</v>
      </c>
    </row>
    <row r="281">
      <c r="A281" s="154"/>
      <c r="B281" s="155"/>
      <c r="C281" s="155"/>
      <c r="D281" s="156" t="s">
        <v>138</v>
      </c>
      <c r="E281" s="156" t="s">
        <v>4</v>
      </c>
      <c r="F281" s="155"/>
      <c r="G281" s="157" t="n">
        <v>3</v>
      </c>
      <c r="H281" s="155"/>
      <c r="I281" s="155"/>
      <c r="J281" s="155"/>
      <c r="K281" s="146"/>
    </row>
    <row r="282">
      <c r="A282" s="9" t="s">
        <v>805</v>
      </c>
      <c r="B282" s="10" t="s">
        <v>87</v>
      </c>
      <c r="C282" s="10" t="s">
        <v>3401</v>
      </c>
      <c r="D282" s="14" t="s">
        <v>3402</v>
      </c>
      <c r="E282" s="10"/>
      <c r="F282" s="10" t="s">
        <v>133</v>
      </c>
      <c r="G282" s="111">
        <f>'Stavební rozpočet'!G2227</f>
      </c>
      <c r="H282" s="111">
        <f>'Stavební rozpočet'!H2227</f>
      </c>
      <c r="I282" s="111">
        <f>G282*H282</f>
      </c>
      <c r="J282" s="153" t="s">
        <v>134</v>
      </c>
      <c r="K282" s="146"/>
      <c r="Z282" s="111">
        <f>IF(AQ282="5",BJ282,0)</f>
      </c>
      <c r="AB282" s="111">
        <f>IF(AQ282="1",BH282,0)</f>
      </c>
      <c r="AC282" s="111">
        <f>IF(AQ282="1",BI282,0)</f>
      </c>
      <c r="AD282" s="111">
        <f>IF(AQ282="7",BH282,0)</f>
      </c>
      <c r="AE282" s="111">
        <f>IF(AQ282="7",BI282,0)</f>
      </c>
      <c r="AF282" s="111">
        <f>IF(AQ282="2",BH282,0)</f>
      </c>
      <c r="AG282" s="111">
        <f>IF(AQ282="2",BI282,0)</f>
      </c>
      <c r="AH282" s="111">
        <f>IF(AQ282="0",BJ282,0)</f>
      </c>
      <c r="AI282" s="132" t="s">
        <v>87</v>
      </c>
      <c r="AJ282" s="111">
        <f>IF(AN282=0,I282,0)</f>
      </c>
      <c r="AK282" s="111">
        <f>IF(AN282=12,I282,0)</f>
      </c>
      <c r="AL282" s="111">
        <f>IF(AN282=21,I282,0)</f>
      </c>
      <c r="AN282" s="111" t="n">
        <v>21</v>
      </c>
      <c r="AO282" s="111">
        <f>H282*0.73991195</f>
      </c>
      <c r="AP282" s="111">
        <f>H282*(1-0.73991195)</f>
      </c>
      <c r="AQ282" s="153" t="s">
        <v>173</v>
      </c>
      <c r="AV282" s="111">
        <f>AW282+AX282</f>
      </c>
      <c r="AW282" s="111">
        <f>G282*AO282</f>
      </c>
      <c r="AX282" s="111">
        <f>G282*AP282</f>
      </c>
      <c r="AY282" s="153" t="s">
        <v>3332</v>
      </c>
      <c r="AZ282" s="153" t="s">
        <v>3333</v>
      </c>
      <c r="BA282" s="132" t="s">
        <v>2990</v>
      </c>
      <c r="BC282" s="111">
        <f>AW282+AX282</f>
      </c>
      <c r="BD282" s="111">
        <f>H282/(100-BE282)*100</f>
      </c>
      <c r="BE282" s="111" t="n">
        <v>0</v>
      </c>
      <c r="BF282" s="111">
        <f>282</f>
      </c>
      <c r="BH282" s="111">
        <f>G282*AO282</f>
      </c>
      <c r="BI282" s="111">
        <f>G282*AP282</f>
      </c>
      <c r="BJ282" s="111">
        <f>G282*H282</f>
      </c>
      <c r="BK282" s="111"/>
      <c r="BL282" s="111" t="n">
        <v>721</v>
      </c>
      <c r="BW282" s="111" t="n">
        <v>21</v>
      </c>
      <c r="BX282" s="14" t="s">
        <v>3402</v>
      </c>
    </row>
    <row r="283">
      <c r="A283" s="154"/>
      <c r="B283" s="155"/>
      <c r="C283" s="155"/>
      <c r="D283" s="156" t="s">
        <v>149</v>
      </c>
      <c r="E283" s="156" t="s">
        <v>4</v>
      </c>
      <c r="F283" s="155"/>
      <c r="G283" s="157" t="n">
        <v>4</v>
      </c>
      <c r="H283" s="155"/>
      <c r="I283" s="155"/>
      <c r="J283" s="155"/>
      <c r="K283" s="146"/>
    </row>
    <row r="284">
      <c r="A284" s="9" t="s">
        <v>812</v>
      </c>
      <c r="B284" s="10" t="s">
        <v>87</v>
      </c>
      <c r="C284" s="10" t="s">
        <v>3404</v>
      </c>
      <c r="D284" s="14" t="s">
        <v>3405</v>
      </c>
      <c r="E284" s="10"/>
      <c r="F284" s="10" t="s">
        <v>133</v>
      </c>
      <c r="G284" s="111">
        <f>'Stavební rozpočet'!G2229</f>
      </c>
      <c r="H284" s="111">
        <f>'Stavební rozpočet'!H2229</f>
      </c>
      <c r="I284" s="111">
        <f>G284*H284</f>
      </c>
      <c r="J284" s="153" t="s">
        <v>134</v>
      </c>
      <c r="K284" s="146"/>
      <c r="Z284" s="111">
        <f>IF(AQ284="5",BJ284,0)</f>
      </c>
      <c r="AB284" s="111">
        <f>IF(AQ284="1",BH284,0)</f>
      </c>
      <c r="AC284" s="111">
        <f>IF(AQ284="1",BI284,0)</f>
      </c>
      <c r="AD284" s="111">
        <f>IF(AQ284="7",BH284,0)</f>
      </c>
      <c r="AE284" s="111">
        <f>IF(AQ284="7",BI284,0)</f>
      </c>
      <c r="AF284" s="111">
        <f>IF(AQ284="2",BH284,0)</f>
      </c>
      <c r="AG284" s="111">
        <f>IF(AQ284="2",BI284,0)</f>
      </c>
      <c r="AH284" s="111">
        <f>IF(AQ284="0",BJ284,0)</f>
      </c>
      <c r="AI284" s="132" t="s">
        <v>87</v>
      </c>
      <c r="AJ284" s="111">
        <f>IF(AN284=0,I284,0)</f>
      </c>
      <c r="AK284" s="111">
        <f>IF(AN284=12,I284,0)</f>
      </c>
      <c r="AL284" s="111">
        <f>IF(AN284=21,I284,0)</f>
      </c>
      <c r="AN284" s="111" t="n">
        <v>21</v>
      </c>
      <c r="AO284" s="111">
        <f>H284*0</f>
      </c>
      <c r="AP284" s="111">
        <f>H284*(1-0)</f>
      </c>
      <c r="AQ284" s="153" t="s">
        <v>173</v>
      </c>
      <c r="AV284" s="111">
        <f>AW284+AX284</f>
      </c>
      <c r="AW284" s="111">
        <f>G284*AO284</f>
      </c>
      <c r="AX284" s="111">
        <f>G284*AP284</f>
      </c>
      <c r="AY284" s="153" t="s">
        <v>3332</v>
      </c>
      <c r="AZ284" s="153" t="s">
        <v>3333</v>
      </c>
      <c r="BA284" s="132" t="s">
        <v>2990</v>
      </c>
      <c r="BC284" s="111">
        <f>AW284+AX284</f>
      </c>
      <c r="BD284" s="111">
        <f>H284/(100-BE284)*100</f>
      </c>
      <c r="BE284" s="111" t="n">
        <v>0</v>
      </c>
      <c r="BF284" s="111">
        <f>284</f>
      </c>
      <c r="BH284" s="111">
        <f>G284*AO284</f>
      </c>
      <c r="BI284" s="111">
        <f>G284*AP284</f>
      </c>
      <c r="BJ284" s="111">
        <f>G284*H284</f>
      </c>
      <c r="BK284" s="111"/>
      <c r="BL284" s="111" t="n">
        <v>721</v>
      </c>
      <c r="BW284" s="111" t="n">
        <v>21</v>
      </c>
      <c r="BX284" s="14" t="s">
        <v>3405</v>
      </c>
    </row>
    <row r="285">
      <c r="A285" s="154"/>
      <c r="B285" s="155"/>
      <c r="C285" s="155"/>
      <c r="D285" s="156" t="s">
        <v>3406</v>
      </c>
      <c r="E285" s="156" t="s">
        <v>4</v>
      </c>
      <c r="F285" s="155"/>
      <c r="G285" s="157" t="n">
        <v>12</v>
      </c>
      <c r="H285" s="155"/>
      <c r="I285" s="155"/>
      <c r="J285" s="155"/>
      <c r="K285" s="146"/>
    </row>
    <row r="286">
      <c r="A286" s="9" t="s">
        <v>815</v>
      </c>
      <c r="B286" s="10" t="s">
        <v>87</v>
      </c>
      <c r="C286" s="10" t="s">
        <v>3408</v>
      </c>
      <c r="D286" s="14" t="s">
        <v>3409</v>
      </c>
      <c r="E286" s="10"/>
      <c r="F286" s="10" t="s">
        <v>133</v>
      </c>
      <c r="G286" s="111">
        <f>'Stavební rozpočet'!G2231</f>
      </c>
      <c r="H286" s="111">
        <f>'Stavební rozpočet'!H2231</f>
      </c>
      <c r="I286" s="111">
        <f>G286*H286</f>
      </c>
      <c r="J286" s="153" t="s">
        <v>134</v>
      </c>
      <c r="K286" s="146"/>
      <c r="Z286" s="111">
        <f>IF(AQ286="5",BJ286,0)</f>
      </c>
      <c r="AB286" s="111">
        <f>IF(AQ286="1",BH286,0)</f>
      </c>
      <c r="AC286" s="111">
        <f>IF(AQ286="1",BI286,0)</f>
      </c>
      <c r="AD286" s="111">
        <f>IF(AQ286="7",BH286,0)</f>
      </c>
      <c r="AE286" s="111">
        <f>IF(AQ286="7",BI286,0)</f>
      </c>
      <c r="AF286" s="111">
        <f>IF(AQ286="2",BH286,0)</f>
      </c>
      <c r="AG286" s="111">
        <f>IF(AQ286="2",BI286,0)</f>
      </c>
      <c r="AH286" s="111">
        <f>IF(AQ286="0",BJ286,0)</f>
      </c>
      <c r="AI286" s="132" t="s">
        <v>87</v>
      </c>
      <c r="AJ286" s="111">
        <f>IF(AN286=0,I286,0)</f>
      </c>
      <c r="AK286" s="111">
        <f>IF(AN286=12,I286,0)</f>
      </c>
      <c r="AL286" s="111">
        <f>IF(AN286=21,I286,0)</f>
      </c>
      <c r="AN286" s="111" t="n">
        <v>21</v>
      </c>
      <c r="AO286" s="111">
        <f>H286*0</f>
      </c>
      <c r="AP286" s="111">
        <f>H286*(1-0)</f>
      </c>
      <c r="AQ286" s="153" t="s">
        <v>173</v>
      </c>
      <c r="AV286" s="111">
        <f>AW286+AX286</f>
      </c>
      <c r="AW286" s="111">
        <f>G286*AO286</f>
      </c>
      <c r="AX286" s="111">
        <f>G286*AP286</f>
      </c>
      <c r="AY286" s="153" t="s">
        <v>3332</v>
      </c>
      <c r="AZ286" s="153" t="s">
        <v>3333</v>
      </c>
      <c r="BA286" s="132" t="s">
        <v>2990</v>
      </c>
      <c r="BC286" s="111">
        <f>AW286+AX286</f>
      </c>
      <c r="BD286" s="111">
        <f>H286/(100-BE286)*100</f>
      </c>
      <c r="BE286" s="111" t="n">
        <v>0</v>
      </c>
      <c r="BF286" s="111">
        <f>286</f>
      </c>
      <c r="BH286" s="111">
        <f>G286*AO286</f>
      </c>
      <c r="BI286" s="111">
        <f>G286*AP286</f>
      </c>
      <c r="BJ286" s="111">
        <f>G286*H286</f>
      </c>
      <c r="BK286" s="111"/>
      <c r="BL286" s="111" t="n">
        <v>721</v>
      </c>
      <c r="BW286" s="111" t="n">
        <v>21</v>
      </c>
      <c r="BX286" s="14" t="s">
        <v>3409</v>
      </c>
    </row>
    <row r="287">
      <c r="A287" s="154"/>
      <c r="B287" s="155"/>
      <c r="C287" s="155"/>
      <c r="D287" s="156" t="s">
        <v>149</v>
      </c>
      <c r="E287" s="156" t="s">
        <v>4</v>
      </c>
      <c r="F287" s="155"/>
      <c r="G287" s="157" t="n">
        <v>4</v>
      </c>
      <c r="H287" s="155"/>
      <c r="I287" s="155"/>
      <c r="J287" s="155"/>
      <c r="K287" s="146"/>
    </row>
    <row r="288">
      <c r="A288" s="9" t="s">
        <v>822</v>
      </c>
      <c r="B288" s="10" t="s">
        <v>87</v>
      </c>
      <c r="C288" s="10" t="s">
        <v>3411</v>
      </c>
      <c r="D288" s="14" t="s">
        <v>3412</v>
      </c>
      <c r="E288" s="10"/>
      <c r="F288" s="10" t="s">
        <v>133</v>
      </c>
      <c r="G288" s="111">
        <f>'Stavební rozpočet'!G2233</f>
      </c>
      <c r="H288" s="111">
        <f>'Stavební rozpočet'!H2233</f>
      </c>
      <c r="I288" s="111">
        <f>G288*H288</f>
      </c>
      <c r="J288" s="153" t="s">
        <v>134</v>
      </c>
      <c r="K288" s="146"/>
      <c r="Z288" s="111">
        <f>IF(AQ288="5",BJ288,0)</f>
      </c>
      <c r="AB288" s="111">
        <f>IF(AQ288="1",BH288,0)</f>
      </c>
      <c r="AC288" s="111">
        <f>IF(AQ288="1",BI288,0)</f>
      </c>
      <c r="AD288" s="111">
        <f>IF(AQ288="7",BH288,0)</f>
      </c>
      <c r="AE288" s="111">
        <f>IF(AQ288="7",BI288,0)</f>
      </c>
      <c r="AF288" s="111">
        <f>IF(AQ288="2",BH288,0)</f>
      </c>
      <c r="AG288" s="111">
        <f>IF(AQ288="2",BI288,0)</f>
      </c>
      <c r="AH288" s="111">
        <f>IF(AQ288="0",BJ288,0)</f>
      </c>
      <c r="AI288" s="132" t="s">
        <v>87</v>
      </c>
      <c r="AJ288" s="111">
        <f>IF(AN288=0,I288,0)</f>
      </c>
      <c r="AK288" s="111">
        <f>IF(AN288=12,I288,0)</f>
      </c>
      <c r="AL288" s="111">
        <f>IF(AN288=21,I288,0)</f>
      </c>
      <c r="AN288" s="111" t="n">
        <v>21</v>
      </c>
      <c r="AO288" s="111">
        <f>H288*0</f>
      </c>
      <c r="AP288" s="111">
        <f>H288*(1-0)</f>
      </c>
      <c r="AQ288" s="153" t="s">
        <v>173</v>
      </c>
      <c r="AV288" s="111">
        <f>AW288+AX288</f>
      </c>
      <c r="AW288" s="111">
        <f>G288*AO288</f>
      </c>
      <c r="AX288" s="111">
        <f>G288*AP288</f>
      </c>
      <c r="AY288" s="153" t="s">
        <v>3332</v>
      </c>
      <c r="AZ288" s="153" t="s">
        <v>3333</v>
      </c>
      <c r="BA288" s="132" t="s">
        <v>2990</v>
      </c>
      <c r="BC288" s="111">
        <f>AW288+AX288</f>
      </c>
      <c r="BD288" s="111">
        <f>H288/(100-BE288)*100</f>
      </c>
      <c r="BE288" s="111" t="n">
        <v>0</v>
      </c>
      <c r="BF288" s="111">
        <f>288</f>
      </c>
      <c r="BH288" s="111">
        <f>G288*AO288</f>
      </c>
      <c r="BI288" s="111">
        <f>G288*AP288</f>
      </c>
      <c r="BJ288" s="111">
        <f>G288*H288</f>
      </c>
      <c r="BK288" s="111"/>
      <c r="BL288" s="111" t="n">
        <v>721</v>
      </c>
      <c r="BW288" s="111" t="n">
        <v>21</v>
      </c>
      <c r="BX288" s="14" t="s">
        <v>3412</v>
      </c>
    </row>
    <row r="289">
      <c r="A289" s="154"/>
      <c r="B289" s="155"/>
      <c r="C289" s="155"/>
      <c r="D289" s="156" t="s">
        <v>3413</v>
      </c>
      <c r="E289" s="156" t="s">
        <v>4</v>
      </c>
      <c r="F289" s="155"/>
      <c r="G289" s="157" t="n">
        <v>6</v>
      </c>
      <c r="H289" s="155"/>
      <c r="I289" s="155"/>
      <c r="J289" s="155"/>
      <c r="K289" s="146"/>
    </row>
    <row r="290">
      <c r="A290" s="9" t="s">
        <v>825</v>
      </c>
      <c r="B290" s="10" t="s">
        <v>87</v>
      </c>
      <c r="C290" s="10" t="s">
        <v>3415</v>
      </c>
      <c r="D290" s="14" t="s">
        <v>3416</v>
      </c>
      <c r="E290" s="10"/>
      <c r="F290" s="10" t="s">
        <v>133</v>
      </c>
      <c r="G290" s="111">
        <f>'Stavební rozpočet'!G2235</f>
      </c>
      <c r="H290" s="111">
        <f>'Stavební rozpočet'!H2235</f>
      </c>
      <c r="I290" s="111">
        <f>G290*H290</f>
      </c>
      <c r="J290" s="153" t="s">
        <v>134</v>
      </c>
      <c r="K290" s="146"/>
      <c r="Z290" s="111">
        <f>IF(AQ290="5",BJ290,0)</f>
      </c>
      <c r="AB290" s="111">
        <f>IF(AQ290="1",BH290,0)</f>
      </c>
      <c r="AC290" s="111">
        <f>IF(AQ290="1",BI290,0)</f>
      </c>
      <c r="AD290" s="111">
        <f>IF(AQ290="7",BH290,0)</f>
      </c>
      <c r="AE290" s="111">
        <f>IF(AQ290="7",BI290,0)</f>
      </c>
      <c r="AF290" s="111">
        <f>IF(AQ290="2",BH290,0)</f>
      </c>
      <c r="AG290" s="111">
        <f>IF(AQ290="2",BI290,0)</f>
      </c>
      <c r="AH290" s="111">
        <f>IF(AQ290="0",BJ290,0)</f>
      </c>
      <c r="AI290" s="132" t="s">
        <v>87</v>
      </c>
      <c r="AJ290" s="111">
        <f>IF(AN290=0,I290,0)</f>
      </c>
      <c r="AK290" s="111">
        <f>IF(AN290=12,I290,0)</f>
      </c>
      <c r="AL290" s="111">
        <f>IF(AN290=21,I290,0)</f>
      </c>
      <c r="AN290" s="111" t="n">
        <v>21</v>
      </c>
      <c r="AO290" s="111">
        <f>H290*0.948121547</f>
      </c>
      <c r="AP290" s="111">
        <f>H290*(1-0.948121547)</f>
      </c>
      <c r="AQ290" s="153" t="s">
        <v>173</v>
      </c>
      <c r="AV290" s="111">
        <f>AW290+AX290</f>
      </c>
      <c r="AW290" s="111">
        <f>G290*AO290</f>
      </c>
      <c r="AX290" s="111">
        <f>G290*AP290</f>
      </c>
      <c r="AY290" s="153" t="s">
        <v>3332</v>
      </c>
      <c r="AZ290" s="153" t="s">
        <v>3333</v>
      </c>
      <c r="BA290" s="132" t="s">
        <v>2990</v>
      </c>
      <c r="BC290" s="111">
        <f>AW290+AX290</f>
      </c>
      <c r="BD290" s="111">
        <f>H290/(100-BE290)*100</f>
      </c>
      <c r="BE290" s="111" t="n">
        <v>0</v>
      </c>
      <c r="BF290" s="111">
        <f>290</f>
      </c>
      <c r="BH290" s="111">
        <f>G290*AO290</f>
      </c>
      <c r="BI290" s="111">
        <f>G290*AP290</f>
      </c>
      <c r="BJ290" s="111">
        <f>G290*H290</f>
      </c>
      <c r="BK290" s="111"/>
      <c r="BL290" s="111" t="n">
        <v>721</v>
      </c>
      <c r="BW290" s="111" t="n">
        <v>21</v>
      </c>
      <c r="BX290" s="14" t="s">
        <v>3416</v>
      </c>
    </row>
    <row r="291" customHeight="true" ht="13.5">
      <c r="A291" s="159"/>
      <c r="C291" s="160" t="s">
        <v>146</v>
      </c>
      <c r="D291" s="161" t="s">
        <v>3417</v>
      </c>
      <c r="E291" s="156"/>
      <c r="F291" s="156"/>
      <c r="G291" s="156"/>
      <c r="H291" s="156"/>
      <c r="I291" s="156"/>
      <c r="J291" s="156"/>
      <c r="K291" s="163"/>
    </row>
    <row r="292">
      <c r="A292" s="154"/>
      <c r="B292" s="155"/>
      <c r="C292" s="155"/>
      <c r="D292" s="156" t="s">
        <v>140</v>
      </c>
      <c r="E292" s="156" t="s">
        <v>4</v>
      </c>
      <c r="F292" s="155"/>
      <c r="G292" s="157" t="n">
        <v>2</v>
      </c>
      <c r="H292" s="155"/>
      <c r="I292" s="155"/>
      <c r="J292" s="155"/>
      <c r="K292" s="146"/>
    </row>
    <row r="293">
      <c r="A293" s="9" t="s">
        <v>831</v>
      </c>
      <c r="B293" s="10" t="s">
        <v>87</v>
      </c>
      <c r="C293" s="10" t="s">
        <v>3419</v>
      </c>
      <c r="D293" s="14" t="s">
        <v>3420</v>
      </c>
      <c r="E293" s="10"/>
      <c r="F293" s="10" t="s">
        <v>133</v>
      </c>
      <c r="G293" s="111">
        <f>'Stavební rozpočet'!G2238</f>
      </c>
      <c r="H293" s="111">
        <f>'Stavební rozpočet'!H2238</f>
      </c>
      <c r="I293" s="111">
        <f>G293*H293</f>
      </c>
      <c r="J293" s="153" t="s">
        <v>134</v>
      </c>
      <c r="K293" s="146"/>
      <c r="Z293" s="111">
        <f>IF(AQ293="5",BJ293,0)</f>
      </c>
      <c r="AB293" s="111">
        <f>IF(AQ293="1",BH293,0)</f>
      </c>
      <c r="AC293" s="111">
        <f>IF(AQ293="1",BI293,0)</f>
      </c>
      <c r="AD293" s="111">
        <f>IF(AQ293="7",BH293,0)</f>
      </c>
      <c r="AE293" s="111">
        <f>IF(AQ293="7",BI293,0)</f>
      </c>
      <c r="AF293" s="111">
        <f>IF(AQ293="2",BH293,0)</f>
      </c>
      <c r="AG293" s="111">
        <f>IF(AQ293="2",BI293,0)</f>
      </c>
      <c r="AH293" s="111">
        <f>IF(AQ293="0",BJ293,0)</f>
      </c>
      <c r="AI293" s="132" t="s">
        <v>87</v>
      </c>
      <c r="AJ293" s="111">
        <f>IF(AN293=0,I293,0)</f>
      </c>
      <c r="AK293" s="111">
        <f>IF(AN293=12,I293,0)</f>
      </c>
      <c r="AL293" s="111">
        <f>IF(AN293=21,I293,0)</f>
      </c>
      <c r="AN293" s="111" t="n">
        <v>21</v>
      </c>
      <c r="AO293" s="111">
        <f>H293*0.943376884</f>
      </c>
      <c r="AP293" s="111">
        <f>H293*(1-0.943376884)</f>
      </c>
      <c r="AQ293" s="153" t="s">
        <v>173</v>
      </c>
      <c r="AV293" s="111">
        <f>AW293+AX293</f>
      </c>
      <c r="AW293" s="111">
        <f>G293*AO293</f>
      </c>
      <c r="AX293" s="111">
        <f>G293*AP293</f>
      </c>
      <c r="AY293" s="153" t="s">
        <v>3332</v>
      </c>
      <c r="AZ293" s="153" t="s">
        <v>3333</v>
      </c>
      <c r="BA293" s="132" t="s">
        <v>2990</v>
      </c>
      <c r="BC293" s="111">
        <f>AW293+AX293</f>
      </c>
      <c r="BD293" s="111">
        <f>H293/(100-BE293)*100</f>
      </c>
      <c r="BE293" s="111" t="n">
        <v>0</v>
      </c>
      <c r="BF293" s="111">
        <f>293</f>
      </c>
      <c r="BH293" s="111">
        <f>G293*AO293</f>
      </c>
      <c r="BI293" s="111">
        <f>G293*AP293</f>
      </c>
      <c r="BJ293" s="111">
        <f>G293*H293</f>
      </c>
      <c r="BK293" s="111"/>
      <c r="BL293" s="111" t="n">
        <v>721</v>
      </c>
      <c r="BW293" s="111" t="n">
        <v>21</v>
      </c>
      <c r="BX293" s="14" t="s">
        <v>3420</v>
      </c>
    </row>
    <row r="294" customHeight="true" ht="13.5">
      <c r="A294" s="159"/>
      <c r="C294" s="160" t="s">
        <v>146</v>
      </c>
      <c r="D294" s="161" t="s">
        <v>3421</v>
      </c>
      <c r="E294" s="156"/>
      <c r="F294" s="156"/>
      <c r="G294" s="156"/>
      <c r="H294" s="156"/>
      <c r="I294" s="156"/>
      <c r="J294" s="156"/>
      <c r="K294" s="163"/>
    </row>
    <row r="295">
      <c r="A295" s="154"/>
      <c r="B295" s="155"/>
      <c r="C295" s="155"/>
      <c r="D295" s="156" t="s">
        <v>140</v>
      </c>
      <c r="E295" s="156" t="s">
        <v>4</v>
      </c>
      <c r="F295" s="155"/>
      <c r="G295" s="157" t="n">
        <v>2</v>
      </c>
      <c r="H295" s="155"/>
      <c r="I295" s="155"/>
      <c r="J295" s="155"/>
      <c r="K295" s="146"/>
    </row>
    <row r="296">
      <c r="A296" s="9" t="s">
        <v>837</v>
      </c>
      <c r="B296" s="10" t="s">
        <v>87</v>
      </c>
      <c r="C296" s="10" t="s">
        <v>3423</v>
      </c>
      <c r="D296" s="14" t="s">
        <v>3424</v>
      </c>
      <c r="E296" s="10"/>
      <c r="F296" s="10" t="s">
        <v>133</v>
      </c>
      <c r="G296" s="111">
        <f>'Stavební rozpočet'!G2241</f>
      </c>
      <c r="H296" s="111">
        <f>'Stavební rozpočet'!H2241</f>
      </c>
      <c r="I296" s="111">
        <f>G296*H296</f>
      </c>
      <c r="J296" s="153" t="s">
        <v>134</v>
      </c>
      <c r="K296" s="146"/>
      <c r="Z296" s="111">
        <f>IF(AQ296="5",BJ296,0)</f>
      </c>
      <c r="AB296" s="111">
        <f>IF(AQ296="1",BH296,0)</f>
      </c>
      <c r="AC296" s="111">
        <f>IF(AQ296="1",BI296,0)</f>
      </c>
      <c r="AD296" s="111">
        <f>IF(AQ296="7",BH296,0)</f>
      </c>
      <c r="AE296" s="111">
        <f>IF(AQ296="7",BI296,0)</f>
      </c>
      <c r="AF296" s="111">
        <f>IF(AQ296="2",BH296,0)</f>
      </c>
      <c r="AG296" s="111">
        <f>IF(AQ296="2",BI296,0)</f>
      </c>
      <c r="AH296" s="111">
        <f>IF(AQ296="0",BJ296,0)</f>
      </c>
      <c r="AI296" s="132" t="s">
        <v>87</v>
      </c>
      <c r="AJ296" s="111">
        <f>IF(AN296=0,I296,0)</f>
      </c>
      <c r="AK296" s="111">
        <f>IF(AN296=12,I296,0)</f>
      </c>
      <c r="AL296" s="111">
        <f>IF(AN296=21,I296,0)</f>
      </c>
      <c r="AN296" s="111" t="n">
        <v>21</v>
      </c>
      <c r="AO296" s="111">
        <f>H296*0.872874779</f>
      </c>
      <c r="AP296" s="111">
        <f>H296*(1-0.872874779)</f>
      </c>
      <c r="AQ296" s="153" t="s">
        <v>173</v>
      </c>
      <c r="AV296" s="111">
        <f>AW296+AX296</f>
      </c>
      <c r="AW296" s="111">
        <f>G296*AO296</f>
      </c>
      <c r="AX296" s="111">
        <f>G296*AP296</f>
      </c>
      <c r="AY296" s="153" t="s">
        <v>3332</v>
      </c>
      <c r="AZ296" s="153" t="s">
        <v>3333</v>
      </c>
      <c r="BA296" s="132" t="s">
        <v>2990</v>
      </c>
      <c r="BC296" s="111">
        <f>AW296+AX296</f>
      </c>
      <c r="BD296" s="111">
        <f>H296/(100-BE296)*100</f>
      </c>
      <c r="BE296" s="111" t="n">
        <v>0</v>
      </c>
      <c r="BF296" s="111">
        <f>296</f>
      </c>
      <c r="BH296" s="111">
        <f>G296*AO296</f>
      </c>
      <c r="BI296" s="111">
        <f>G296*AP296</f>
      </c>
      <c r="BJ296" s="111">
        <f>G296*H296</f>
      </c>
      <c r="BK296" s="111"/>
      <c r="BL296" s="111" t="n">
        <v>721</v>
      </c>
      <c r="BW296" s="111" t="n">
        <v>21</v>
      </c>
      <c r="BX296" s="14" t="s">
        <v>3424</v>
      </c>
    </row>
    <row r="297" customHeight="true" ht="13.5">
      <c r="A297" s="159"/>
      <c r="C297" s="160" t="s">
        <v>146</v>
      </c>
      <c r="D297" s="161" t="s">
        <v>3425</v>
      </c>
      <c r="E297" s="156"/>
      <c r="F297" s="156"/>
      <c r="G297" s="156"/>
      <c r="H297" s="156"/>
      <c r="I297" s="156"/>
      <c r="J297" s="156"/>
      <c r="K297" s="163"/>
    </row>
    <row r="298">
      <c r="A298" s="154"/>
      <c r="B298" s="155"/>
      <c r="C298" s="155"/>
      <c r="D298" s="156" t="s">
        <v>212</v>
      </c>
      <c r="E298" s="156" t="s">
        <v>4</v>
      </c>
      <c r="F298" s="155"/>
      <c r="G298" s="157" t="n">
        <v>14</v>
      </c>
      <c r="H298" s="155"/>
      <c r="I298" s="155"/>
      <c r="J298" s="155"/>
      <c r="K298" s="146"/>
    </row>
    <row r="299">
      <c r="A299" s="9" t="s">
        <v>842</v>
      </c>
      <c r="B299" s="10" t="s">
        <v>87</v>
      </c>
      <c r="C299" s="10" t="s">
        <v>3427</v>
      </c>
      <c r="D299" s="14" t="s">
        <v>3428</v>
      </c>
      <c r="E299" s="10"/>
      <c r="F299" s="10" t="s">
        <v>133</v>
      </c>
      <c r="G299" s="111">
        <f>'Stavební rozpočet'!G2244</f>
      </c>
      <c r="H299" s="111">
        <f>'Stavební rozpočet'!H2244</f>
      </c>
      <c r="I299" s="111">
        <f>G299*H299</f>
      </c>
      <c r="J299" s="153" t="s">
        <v>134</v>
      </c>
      <c r="K299" s="146"/>
      <c r="Z299" s="111">
        <f>IF(AQ299="5",BJ299,0)</f>
      </c>
      <c r="AB299" s="111">
        <f>IF(AQ299="1",BH299,0)</f>
      </c>
      <c r="AC299" s="111">
        <f>IF(AQ299="1",BI299,0)</f>
      </c>
      <c r="AD299" s="111">
        <f>IF(AQ299="7",BH299,0)</f>
      </c>
      <c r="AE299" s="111">
        <f>IF(AQ299="7",BI299,0)</f>
      </c>
      <c r="AF299" s="111">
        <f>IF(AQ299="2",BH299,0)</f>
      </c>
      <c r="AG299" s="111">
        <f>IF(AQ299="2",BI299,0)</f>
      </c>
      <c r="AH299" s="111">
        <f>IF(AQ299="0",BJ299,0)</f>
      </c>
      <c r="AI299" s="132" t="s">
        <v>87</v>
      </c>
      <c r="AJ299" s="111">
        <f>IF(AN299=0,I299,0)</f>
      </c>
      <c r="AK299" s="111">
        <f>IF(AN299=12,I299,0)</f>
      </c>
      <c r="AL299" s="111">
        <f>IF(AN299=21,I299,0)</f>
      </c>
      <c r="AN299" s="111" t="n">
        <v>21</v>
      </c>
      <c r="AO299" s="111">
        <f>H299*0.923864865</f>
      </c>
      <c r="AP299" s="111">
        <f>H299*(1-0.923864865)</f>
      </c>
      <c r="AQ299" s="153" t="s">
        <v>173</v>
      </c>
      <c r="AV299" s="111">
        <f>AW299+AX299</f>
      </c>
      <c r="AW299" s="111">
        <f>G299*AO299</f>
      </c>
      <c r="AX299" s="111">
        <f>G299*AP299</f>
      </c>
      <c r="AY299" s="153" t="s">
        <v>3332</v>
      </c>
      <c r="AZ299" s="153" t="s">
        <v>3333</v>
      </c>
      <c r="BA299" s="132" t="s">
        <v>2990</v>
      </c>
      <c r="BC299" s="111">
        <f>AW299+AX299</f>
      </c>
      <c r="BD299" s="111">
        <f>H299/(100-BE299)*100</f>
      </c>
      <c r="BE299" s="111" t="n">
        <v>0</v>
      </c>
      <c r="BF299" s="111">
        <f>299</f>
      </c>
      <c r="BH299" s="111">
        <f>G299*AO299</f>
      </c>
      <c r="BI299" s="111">
        <f>G299*AP299</f>
      </c>
      <c r="BJ299" s="111">
        <f>G299*H299</f>
      </c>
      <c r="BK299" s="111"/>
      <c r="BL299" s="111" t="n">
        <v>721</v>
      </c>
      <c r="BW299" s="111" t="n">
        <v>21</v>
      </c>
      <c r="BX299" s="14" t="s">
        <v>3428</v>
      </c>
    </row>
    <row r="300" customHeight="true" ht="13.5">
      <c r="A300" s="159"/>
      <c r="C300" s="160" t="s">
        <v>146</v>
      </c>
      <c r="D300" s="161" t="s">
        <v>3429</v>
      </c>
      <c r="E300" s="156"/>
      <c r="F300" s="156"/>
      <c r="G300" s="156"/>
      <c r="H300" s="156"/>
      <c r="I300" s="156"/>
      <c r="J300" s="156"/>
      <c r="K300" s="163"/>
    </row>
    <row r="301">
      <c r="A301" s="154"/>
      <c r="B301" s="155"/>
      <c r="C301" s="155"/>
      <c r="D301" s="156" t="s">
        <v>130</v>
      </c>
      <c r="E301" s="156" t="s">
        <v>4</v>
      </c>
      <c r="F301" s="155"/>
      <c r="G301" s="157" t="n">
        <v>1</v>
      </c>
      <c r="H301" s="155"/>
      <c r="I301" s="155"/>
      <c r="J301" s="155"/>
      <c r="K301" s="146"/>
    </row>
    <row r="302">
      <c r="A302" s="154"/>
      <c r="B302" s="155"/>
      <c r="C302" s="155"/>
      <c r="D302" s="156" t="s">
        <v>165</v>
      </c>
      <c r="E302" s="156" t="s">
        <v>3430</v>
      </c>
      <c r="F302" s="155"/>
      <c r="G302" s="157" t="n">
        <v>6</v>
      </c>
      <c r="H302" s="155"/>
      <c r="I302" s="155"/>
      <c r="J302" s="155"/>
      <c r="K302" s="146"/>
    </row>
    <row r="303">
      <c r="A303" s="9" t="s">
        <v>847</v>
      </c>
      <c r="B303" s="10" t="s">
        <v>87</v>
      </c>
      <c r="C303" s="10" t="s">
        <v>3432</v>
      </c>
      <c r="D303" s="14" t="s">
        <v>3433</v>
      </c>
      <c r="E303" s="10"/>
      <c r="F303" s="10" t="s">
        <v>133</v>
      </c>
      <c r="G303" s="111">
        <f>'Stavební rozpočet'!G2248</f>
      </c>
      <c r="H303" s="111">
        <f>'Stavební rozpočet'!H2248</f>
      </c>
      <c r="I303" s="111">
        <f>G303*H303</f>
      </c>
      <c r="J303" s="153" t="s">
        <v>134</v>
      </c>
      <c r="K303" s="146"/>
      <c r="Z303" s="111">
        <f>IF(AQ303="5",BJ303,0)</f>
      </c>
      <c r="AB303" s="111">
        <f>IF(AQ303="1",BH303,0)</f>
      </c>
      <c r="AC303" s="111">
        <f>IF(AQ303="1",BI303,0)</f>
      </c>
      <c r="AD303" s="111">
        <f>IF(AQ303="7",BH303,0)</f>
      </c>
      <c r="AE303" s="111">
        <f>IF(AQ303="7",BI303,0)</f>
      </c>
      <c r="AF303" s="111">
        <f>IF(AQ303="2",BH303,0)</f>
      </c>
      <c r="AG303" s="111">
        <f>IF(AQ303="2",BI303,0)</f>
      </c>
      <c r="AH303" s="111">
        <f>IF(AQ303="0",BJ303,0)</f>
      </c>
      <c r="AI303" s="132" t="s">
        <v>87</v>
      </c>
      <c r="AJ303" s="111">
        <f>IF(AN303=0,I303,0)</f>
      </c>
      <c r="AK303" s="111">
        <f>IF(AN303=12,I303,0)</f>
      </c>
      <c r="AL303" s="111">
        <f>IF(AN303=21,I303,0)</f>
      </c>
      <c r="AN303" s="111" t="n">
        <v>21</v>
      </c>
      <c r="AO303" s="111">
        <f>H303*0</f>
      </c>
      <c r="AP303" s="111">
        <f>H303*(1-0)</f>
      </c>
      <c r="AQ303" s="153" t="s">
        <v>173</v>
      </c>
      <c r="AV303" s="111">
        <f>AW303+AX303</f>
      </c>
      <c r="AW303" s="111">
        <f>G303*AO303</f>
      </c>
      <c r="AX303" s="111">
        <f>G303*AP303</f>
      </c>
      <c r="AY303" s="153" t="s">
        <v>3332</v>
      </c>
      <c r="AZ303" s="153" t="s">
        <v>3333</v>
      </c>
      <c r="BA303" s="132" t="s">
        <v>2990</v>
      </c>
      <c r="BC303" s="111">
        <f>AW303+AX303</f>
      </c>
      <c r="BD303" s="111">
        <f>H303/(100-BE303)*100</f>
      </c>
      <c r="BE303" s="111" t="n">
        <v>0</v>
      </c>
      <c r="BF303" s="111">
        <f>303</f>
      </c>
      <c r="BH303" s="111">
        <f>G303*AO303</f>
      </c>
      <c r="BI303" s="111">
        <f>G303*AP303</f>
      </c>
      <c r="BJ303" s="111">
        <f>G303*H303</f>
      </c>
      <c r="BK303" s="111"/>
      <c r="BL303" s="111" t="n">
        <v>721</v>
      </c>
      <c r="BW303" s="111" t="n">
        <v>21</v>
      </c>
      <c r="BX303" s="14" t="s">
        <v>3433</v>
      </c>
    </row>
    <row r="304">
      <c r="A304" s="154"/>
      <c r="B304" s="155"/>
      <c r="C304" s="155"/>
      <c r="D304" s="156" t="s">
        <v>165</v>
      </c>
      <c r="E304" s="156" t="s">
        <v>4</v>
      </c>
      <c r="F304" s="155"/>
      <c r="G304" s="157" t="n">
        <v>6</v>
      </c>
      <c r="H304" s="155"/>
      <c r="I304" s="155"/>
      <c r="J304" s="155"/>
      <c r="K304" s="146"/>
    </row>
    <row r="305">
      <c r="A305" s="9" t="s">
        <v>852</v>
      </c>
      <c r="B305" s="10" t="s">
        <v>87</v>
      </c>
      <c r="C305" s="10" t="s">
        <v>3435</v>
      </c>
      <c r="D305" s="14" t="s">
        <v>3436</v>
      </c>
      <c r="E305" s="10"/>
      <c r="F305" s="10" t="s">
        <v>133</v>
      </c>
      <c r="G305" s="111">
        <f>'Stavební rozpočet'!G2250</f>
      </c>
      <c r="H305" s="111">
        <f>'Stavební rozpočet'!H2250</f>
      </c>
      <c r="I305" s="111">
        <f>G305*H305</f>
      </c>
      <c r="J305" s="153" t="s">
        <v>134</v>
      </c>
      <c r="K305" s="146"/>
      <c r="Z305" s="111">
        <f>IF(AQ305="5",BJ305,0)</f>
      </c>
      <c r="AB305" s="111">
        <f>IF(AQ305="1",BH305,0)</f>
      </c>
      <c r="AC305" s="111">
        <f>IF(AQ305="1",BI305,0)</f>
      </c>
      <c r="AD305" s="111">
        <f>IF(AQ305="7",BH305,0)</f>
      </c>
      <c r="AE305" s="111">
        <f>IF(AQ305="7",BI305,0)</f>
      </c>
      <c r="AF305" s="111">
        <f>IF(AQ305="2",BH305,0)</f>
      </c>
      <c r="AG305" s="111">
        <f>IF(AQ305="2",BI305,0)</f>
      </c>
      <c r="AH305" s="111">
        <f>IF(AQ305="0",BJ305,0)</f>
      </c>
      <c r="AI305" s="132" t="s">
        <v>87</v>
      </c>
      <c r="AJ305" s="111">
        <f>IF(AN305=0,I305,0)</f>
      </c>
      <c r="AK305" s="111">
        <f>IF(AN305=12,I305,0)</f>
      </c>
      <c r="AL305" s="111">
        <f>IF(AN305=21,I305,0)</f>
      </c>
      <c r="AN305" s="111" t="n">
        <v>21</v>
      </c>
      <c r="AO305" s="111">
        <f>H305*0.959427391</f>
      </c>
      <c r="AP305" s="111">
        <f>H305*(1-0.959427391)</f>
      </c>
      <c r="AQ305" s="153" t="s">
        <v>173</v>
      </c>
      <c r="AV305" s="111">
        <f>AW305+AX305</f>
      </c>
      <c r="AW305" s="111">
        <f>G305*AO305</f>
      </c>
      <c r="AX305" s="111">
        <f>G305*AP305</f>
      </c>
      <c r="AY305" s="153" t="s">
        <v>3332</v>
      </c>
      <c r="AZ305" s="153" t="s">
        <v>3333</v>
      </c>
      <c r="BA305" s="132" t="s">
        <v>2990</v>
      </c>
      <c r="BC305" s="111">
        <f>AW305+AX305</f>
      </c>
      <c r="BD305" s="111">
        <f>H305/(100-BE305)*100</f>
      </c>
      <c r="BE305" s="111" t="n">
        <v>0</v>
      </c>
      <c r="BF305" s="111">
        <f>305</f>
      </c>
      <c r="BH305" s="111">
        <f>G305*AO305</f>
      </c>
      <c r="BI305" s="111">
        <f>G305*AP305</f>
      </c>
      <c r="BJ305" s="111">
        <f>G305*H305</f>
      </c>
      <c r="BK305" s="111"/>
      <c r="BL305" s="111" t="n">
        <v>721</v>
      </c>
      <c r="BW305" s="111" t="n">
        <v>21</v>
      </c>
      <c r="BX305" s="14" t="s">
        <v>3436</v>
      </c>
    </row>
    <row r="306" customHeight="true" ht="13.5">
      <c r="A306" s="159"/>
      <c r="C306" s="160" t="s">
        <v>146</v>
      </c>
      <c r="D306" s="161" t="s">
        <v>3437</v>
      </c>
      <c r="E306" s="156"/>
      <c r="F306" s="156"/>
      <c r="G306" s="156"/>
      <c r="H306" s="156"/>
      <c r="I306" s="156"/>
      <c r="J306" s="156"/>
      <c r="K306" s="163"/>
    </row>
    <row r="307">
      <c r="A307" s="154"/>
      <c r="B307" s="155"/>
      <c r="C307" s="155"/>
      <c r="D307" s="156" t="s">
        <v>140</v>
      </c>
      <c r="E307" s="156" t="s">
        <v>4</v>
      </c>
      <c r="F307" s="155"/>
      <c r="G307" s="157" t="n">
        <v>2</v>
      </c>
      <c r="H307" s="155"/>
      <c r="I307" s="155"/>
      <c r="J307" s="155"/>
      <c r="K307" s="146"/>
    </row>
    <row r="308">
      <c r="A308" s="9" t="s">
        <v>856</v>
      </c>
      <c r="B308" s="10" t="s">
        <v>87</v>
      </c>
      <c r="C308" s="10" t="s">
        <v>3439</v>
      </c>
      <c r="D308" s="14" t="s">
        <v>3440</v>
      </c>
      <c r="E308" s="10"/>
      <c r="F308" s="10" t="s">
        <v>282</v>
      </c>
      <c r="G308" s="111">
        <f>'Stavební rozpočet'!G2253</f>
      </c>
      <c r="H308" s="111">
        <f>'Stavební rozpočet'!H2253</f>
      </c>
      <c r="I308" s="111">
        <f>G308*H308</f>
      </c>
      <c r="J308" s="153" t="s">
        <v>134</v>
      </c>
      <c r="K308" s="146"/>
      <c r="Z308" s="111">
        <f>IF(AQ308="5",BJ308,0)</f>
      </c>
      <c r="AB308" s="111">
        <f>IF(AQ308="1",BH308,0)</f>
      </c>
      <c r="AC308" s="111">
        <f>IF(AQ308="1",BI308,0)</f>
      </c>
      <c r="AD308" s="111">
        <f>IF(AQ308="7",BH308,0)</f>
      </c>
      <c r="AE308" s="111">
        <f>IF(AQ308="7",BI308,0)</f>
      </c>
      <c r="AF308" s="111">
        <f>IF(AQ308="2",BH308,0)</f>
      </c>
      <c r="AG308" s="111">
        <f>IF(AQ308="2",BI308,0)</f>
      </c>
      <c r="AH308" s="111">
        <f>IF(AQ308="0",BJ308,0)</f>
      </c>
      <c r="AI308" s="132" t="s">
        <v>87</v>
      </c>
      <c r="AJ308" s="111">
        <f>IF(AN308=0,I308,0)</f>
      </c>
      <c r="AK308" s="111">
        <f>IF(AN308=12,I308,0)</f>
      </c>
      <c r="AL308" s="111">
        <f>IF(AN308=21,I308,0)</f>
      </c>
      <c r="AN308" s="111" t="n">
        <v>21</v>
      </c>
      <c r="AO308" s="111">
        <f>H308*0.029749104</f>
      </c>
      <c r="AP308" s="111">
        <f>H308*(1-0.029749104)</f>
      </c>
      <c r="AQ308" s="153" t="s">
        <v>173</v>
      </c>
      <c r="AV308" s="111">
        <f>AW308+AX308</f>
      </c>
      <c r="AW308" s="111">
        <f>G308*AO308</f>
      </c>
      <c r="AX308" s="111">
        <f>G308*AP308</f>
      </c>
      <c r="AY308" s="153" t="s">
        <v>3332</v>
      </c>
      <c r="AZ308" s="153" t="s">
        <v>3333</v>
      </c>
      <c r="BA308" s="132" t="s">
        <v>2990</v>
      </c>
      <c r="BC308" s="111">
        <f>AW308+AX308</f>
      </c>
      <c r="BD308" s="111">
        <f>H308/(100-BE308)*100</f>
      </c>
      <c r="BE308" s="111" t="n">
        <v>0</v>
      </c>
      <c r="BF308" s="111">
        <f>308</f>
      </c>
      <c r="BH308" s="111">
        <f>G308*AO308</f>
      </c>
      <c r="BI308" s="111">
        <f>G308*AP308</f>
      </c>
      <c r="BJ308" s="111">
        <f>G308*H308</f>
      </c>
      <c r="BK308" s="111"/>
      <c r="BL308" s="111" t="n">
        <v>721</v>
      </c>
      <c r="BW308" s="111" t="n">
        <v>21</v>
      </c>
      <c r="BX308" s="14" t="s">
        <v>3440</v>
      </c>
    </row>
    <row r="309">
      <c r="A309" s="154"/>
      <c r="B309" s="155"/>
      <c r="C309" s="155"/>
      <c r="D309" s="156" t="s">
        <v>3441</v>
      </c>
      <c r="E309" s="156" t="s">
        <v>4</v>
      </c>
      <c r="F309" s="155"/>
      <c r="G309" s="157" t="n">
        <v>227</v>
      </c>
      <c r="H309" s="155"/>
      <c r="I309" s="155"/>
      <c r="J309" s="155"/>
      <c r="K309" s="146"/>
    </row>
    <row r="310">
      <c r="A310" s="9" t="s">
        <v>859</v>
      </c>
      <c r="B310" s="10" t="s">
        <v>87</v>
      </c>
      <c r="C310" s="10" t="s">
        <v>3443</v>
      </c>
      <c r="D310" s="14" t="s">
        <v>3444</v>
      </c>
      <c r="E310" s="10"/>
      <c r="F310" s="10" t="s">
        <v>282</v>
      </c>
      <c r="G310" s="111">
        <f>'Stavební rozpočet'!G2255</f>
      </c>
      <c r="H310" s="111">
        <f>'Stavební rozpočet'!H2255</f>
      </c>
      <c r="I310" s="111">
        <f>G310*H310</f>
      </c>
      <c r="J310" s="153" t="s">
        <v>134</v>
      </c>
      <c r="K310" s="146"/>
      <c r="Z310" s="111">
        <f>IF(AQ310="5",BJ310,0)</f>
      </c>
      <c r="AB310" s="111">
        <f>IF(AQ310="1",BH310,0)</f>
      </c>
      <c r="AC310" s="111">
        <f>IF(AQ310="1",BI310,0)</f>
      </c>
      <c r="AD310" s="111">
        <f>IF(AQ310="7",BH310,0)</f>
      </c>
      <c r="AE310" s="111">
        <f>IF(AQ310="7",BI310,0)</f>
      </c>
      <c r="AF310" s="111">
        <f>IF(AQ310="2",BH310,0)</f>
      </c>
      <c r="AG310" s="111">
        <f>IF(AQ310="2",BI310,0)</f>
      </c>
      <c r="AH310" s="111">
        <f>IF(AQ310="0",BJ310,0)</f>
      </c>
      <c r="AI310" s="132" t="s">
        <v>87</v>
      </c>
      <c r="AJ310" s="111">
        <f>IF(AN310=0,I310,0)</f>
      </c>
      <c r="AK310" s="111">
        <f>IF(AN310=12,I310,0)</f>
      </c>
      <c r="AL310" s="111">
        <f>IF(AN310=21,I310,0)</f>
      </c>
      <c r="AN310" s="111" t="n">
        <v>21</v>
      </c>
      <c r="AO310" s="111">
        <f>H310*0.090710383</f>
      </c>
      <c r="AP310" s="111">
        <f>H310*(1-0.090710383)</f>
      </c>
      <c r="AQ310" s="153" t="s">
        <v>173</v>
      </c>
      <c r="AV310" s="111">
        <f>AW310+AX310</f>
      </c>
      <c r="AW310" s="111">
        <f>G310*AO310</f>
      </c>
      <c r="AX310" s="111">
        <f>G310*AP310</f>
      </c>
      <c r="AY310" s="153" t="s">
        <v>3332</v>
      </c>
      <c r="AZ310" s="153" t="s">
        <v>3333</v>
      </c>
      <c r="BA310" s="132" t="s">
        <v>2990</v>
      </c>
      <c r="BC310" s="111">
        <f>AW310+AX310</f>
      </c>
      <c r="BD310" s="111">
        <f>H310/(100-BE310)*100</f>
      </c>
      <c r="BE310" s="111" t="n">
        <v>0</v>
      </c>
      <c r="BF310" s="111">
        <f>310</f>
      </c>
      <c r="BH310" s="111">
        <f>G310*AO310</f>
      </c>
      <c r="BI310" s="111">
        <f>G310*AP310</f>
      </c>
      <c r="BJ310" s="111">
        <f>G310*H310</f>
      </c>
      <c r="BK310" s="111"/>
      <c r="BL310" s="111" t="n">
        <v>721</v>
      </c>
      <c r="BW310" s="111" t="n">
        <v>21</v>
      </c>
      <c r="BX310" s="14" t="s">
        <v>3444</v>
      </c>
    </row>
    <row r="311">
      <c r="A311" s="154"/>
      <c r="B311" s="155"/>
      <c r="C311" s="155"/>
      <c r="D311" s="156" t="s">
        <v>3445</v>
      </c>
      <c r="E311" s="156" t="s">
        <v>4</v>
      </c>
      <c r="F311" s="155"/>
      <c r="G311" s="157" t="n">
        <v>185</v>
      </c>
      <c r="H311" s="155"/>
      <c r="I311" s="155"/>
      <c r="J311" s="155"/>
      <c r="K311" s="146"/>
    </row>
    <row r="312">
      <c r="A312" s="147" t="s">
        <v>4</v>
      </c>
      <c r="B312" s="148" t="s">
        <v>87</v>
      </c>
      <c r="C312" s="148" t="s">
        <v>1944</v>
      </c>
      <c r="D312" s="149" t="s">
        <v>1945</v>
      </c>
      <c r="E312" s="148"/>
      <c r="F312" s="150" t="s">
        <v>79</v>
      </c>
      <c r="G312" s="150" t="s">
        <v>79</v>
      </c>
      <c r="H312" s="150" t="s">
        <v>79</v>
      </c>
      <c r="I312" s="117">
        <f>SUM(I313:I475)</f>
      </c>
      <c r="J312" s="132" t="s">
        <v>4</v>
      </c>
      <c r="K312" s="146"/>
      <c r="AI312" s="132" t="s">
        <v>87</v>
      </c>
      <c r="AS312" s="117">
        <f>SUM(AJ313:AJ475)</f>
      </c>
      <c r="AT312" s="117">
        <f>SUM(AK313:AK475)</f>
      </c>
      <c r="AU312" s="117">
        <f>SUM(AL313:AL475)</f>
      </c>
    </row>
    <row r="313">
      <c r="A313" s="9" t="s">
        <v>878</v>
      </c>
      <c r="B313" s="10" t="s">
        <v>87</v>
      </c>
      <c r="C313" s="10" t="s">
        <v>3447</v>
      </c>
      <c r="D313" s="14" t="s">
        <v>3448</v>
      </c>
      <c r="E313" s="10"/>
      <c r="F313" s="10" t="s">
        <v>282</v>
      </c>
      <c r="G313" s="111">
        <f>'Stavební rozpočet'!G2258</f>
      </c>
      <c r="H313" s="111">
        <f>'Stavební rozpočet'!H2258</f>
      </c>
      <c r="I313" s="111">
        <f>G313*H313</f>
      </c>
      <c r="J313" s="153" t="s">
        <v>134</v>
      </c>
      <c r="K313" s="146"/>
      <c r="Z313" s="111">
        <f>IF(AQ313="5",BJ313,0)</f>
      </c>
      <c r="AB313" s="111">
        <f>IF(AQ313="1",BH313,0)</f>
      </c>
      <c r="AC313" s="111">
        <f>IF(AQ313="1",BI313,0)</f>
      </c>
      <c r="AD313" s="111">
        <f>IF(AQ313="7",BH313,0)</f>
      </c>
      <c r="AE313" s="111">
        <f>IF(AQ313="7",BI313,0)</f>
      </c>
      <c r="AF313" s="111">
        <f>IF(AQ313="2",BH313,0)</f>
      </c>
      <c r="AG313" s="111">
        <f>IF(AQ313="2",BI313,0)</f>
      </c>
      <c r="AH313" s="111">
        <f>IF(AQ313="0",BJ313,0)</f>
      </c>
      <c r="AI313" s="132" t="s">
        <v>87</v>
      </c>
      <c r="AJ313" s="111">
        <f>IF(AN313=0,I313,0)</f>
      </c>
      <c r="AK313" s="111">
        <f>IF(AN313=12,I313,0)</f>
      </c>
      <c r="AL313" s="111">
        <f>IF(AN313=21,I313,0)</f>
      </c>
      <c r="AN313" s="111" t="n">
        <v>21</v>
      </c>
      <c r="AO313" s="111">
        <f>H313*0.476426077</f>
      </c>
      <c r="AP313" s="111">
        <f>H313*(1-0.476426077)</f>
      </c>
      <c r="AQ313" s="153" t="s">
        <v>173</v>
      </c>
      <c r="AV313" s="111">
        <f>AW313+AX313</f>
      </c>
      <c r="AW313" s="111">
        <f>G313*AO313</f>
      </c>
      <c r="AX313" s="111">
        <f>G313*AP313</f>
      </c>
      <c r="AY313" s="153" t="s">
        <v>1949</v>
      </c>
      <c r="AZ313" s="153" t="s">
        <v>3333</v>
      </c>
      <c r="BA313" s="132" t="s">
        <v>2990</v>
      </c>
      <c r="BC313" s="111">
        <f>AW313+AX313</f>
      </c>
      <c r="BD313" s="111">
        <f>H313/(100-BE313)*100</f>
      </c>
      <c r="BE313" s="111" t="n">
        <v>0</v>
      </c>
      <c r="BF313" s="111">
        <f>313</f>
      </c>
      <c r="BH313" s="111">
        <f>G313*AO313</f>
      </c>
      <c r="BI313" s="111">
        <f>G313*AP313</f>
      </c>
      <c r="BJ313" s="111">
        <f>G313*H313</f>
      </c>
      <c r="BK313" s="111"/>
      <c r="BL313" s="111" t="n">
        <v>722</v>
      </c>
      <c r="BW313" s="111" t="n">
        <v>21</v>
      </c>
      <c r="BX313" s="14" t="s">
        <v>3448</v>
      </c>
    </row>
    <row r="314">
      <c r="A314" s="154"/>
      <c r="B314" s="155"/>
      <c r="C314" s="155"/>
      <c r="D314" s="156" t="s">
        <v>288</v>
      </c>
      <c r="E314" s="156" t="s">
        <v>4</v>
      </c>
      <c r="F314" s="155"/>
      <c r="G314" s="157" t="n">
        <v>27</v>
      </c>
      <c r="H314" s="155"/>
      <c r="I314" s="155"/>
      <c r="J314" s="155"/>
      <c r="K314" s="146"/>
    </row>
    <row r="315">
      <c r="A315" s="9" t="s">
        <v>881</v>
      </c>
      <c r="B315" s="10" t="s">
        <v>87</v>
      </c>
      <c r="C315" s="10" t="s">
        <v>3450</v>
      </c>
      <c r="D315" s="14" t="s">
        <v>3451</v>
      </c>
      <c r="E315" s="10"/>
      <c r="F315" s="10" t="s">
        <v>282</v>
      </c>
      <c r="G315" s="111">
        <f>'Stavební rozpočet'!G2260</f>
      </c>
      <c r="H315" s="111">
        <f>'Stavební rozpočet'!H2260</f>
      </c>
      <c r="I315" s="111">
        <f>G315*H315</f>
      </c>
      <c r="J315" s="153" t="s">
        <v>134</v>
      </c>
      <c r="K315" s="146"/>
      <c r="Z315" s="111">
        <f>IF(AQ315="5",BJ315,0)</f>
      </c>
      <c r="AB315" s="111">
        <f>IF(AQ315="1",BH315,0)</f>
      </c>
      <c r="AC315" s="111">
        <f>IF(AQ315="1",BI315,0)</f>
      </c>
      <c r="AD315" s="111">
        <f>IF(AQ315="7",BH315,0)</f>
      </c>
      <c r="AE315" s="111">
        <f>IF(AQ315="7",BI315,0)</f>
      </c>
      <c r="AF315" s="111">
        <f>IF(AQ315="2",BH315,0)</f>
      </c>
      <c r="AG315" s="111">
        <f>IF(AQ315="2",BI315,0)</f>
      </c>
      <c r="AH315" s="111">
        <f>IF(AQ315="0",BJ315,0)</f>
      </c>
      <c r="AI315" s="132" t="s">
        <v>87</v>
      </c>
      <c r="AJ315" s="111">
        <f>IF(AN315=0,I315,0)</f>
      </c>
      <c r="AK315" s="111">
        <f>IF(AN315=12,I315,0)</f>
      </c>
      <c r="AL315" s="111">
        <f>IF(AN315=21,I315,0)</f>
      </c>
      <c r="AN315" s="111" t="n">
        <v>21</v>
      </c>
      <c r="AO315" s="111">
        <f>H315*0.546155718</f>
      </c>
      <c r="AP315" s="111">
        <f>H315*(1-0.546155718)</f>
      </c>
      <c r="AQ315" s="153" t="s">
        <v>173</v>
      </c>
      <c r="AV315" s="111">
        <f>AW315+AX315</f>
      </c>
      <c r="AW315" s="111">
        <f>G315*AO315</f>
      </c>
      <c r="AX315" s="111">
        <f>G315*AP315</f>
      </c>
      <c r="AY315" s="153" t="s">
        <v>1949</v>
      </c>
      <c r="AZ315" s="153" t="s">
        <v>3333</v>
      </c>
      <c r="BA315" s="132" t="s">
        <v>2990</v>
      </c>
      <c r="BC315" s="111">
        <f>AW315+AX315</f>
      </c>
      <c r="BD315" s="111">
        <f>H315/(100-BE315)*100</f>
      </c>
      <c r="BE315" s="111" t="n">
        <v>0</v>
      </c>
      <c r="BF315" s="111">
        <f>315</f>
      </c>
      <c r="BH315" s="111">
        <f>G315*AO315</f>
      </c>
      <c r="BI315" s="111">
        <f>G315*AP315</f>
      </c>
      <c r="BJ315" s="111">
        <f>G315*H315</f>
      </c>
      <c r="BK315" s="111"/>
      <c r="BL315" s="111" t="n">
        <v>722</v>
      </c>
      <c r="BW315" s="111" t="n">
        <v>21</v>
      </c>
      <c r="BX315" s="14" t="s">
        <v>3451</v>
      </c>
    </row>
    <row r="316">
      <c r="A316" s="154"/>
      <c r="B316" s="155"/>
      <c r="C316" s="155"/>
      <c r="D316" s="156" t="s">
        <v>138</v>
      </c>
      <c r="E316" s="156" t="s">
        <v>4</v>
      </c>
      <c r="F316" s="155"/>
      <c r="G316" s="157" t="n">
        <v>3</v>
      </c>
      <c r="H316" s="155"/>
      <c r="I316" s="155"/>
      <c r="J316" s="155"/>
      <c r="K316" s="146"/>
    </row>
    <row r="317">
      <c r="A317" s="9" t="s">
        <v>884</v>
      </c>
      <c r="B317" s="10" t="s">
        <v>87</v>
      </c>
      <c r="C317" s="10" t="s">
        <v>3453</v>
      </c>
      <c r="D317" s="14" t="s">
        <v>3454</v>
      </c>
      <c r="E317" s="10"/>
      <c r="F317" s="10" t="s">
        <v>1962</v>
      </c>
      <c r="G317" s="111">
        <f>'Stavební rozpočet'!G2262</f>
      </c>
      <c r="H317" s="111">
        <f>'Stavební rozpočet'!H2262</f>
      </c>
      <c r="I317" s="111">
        <f>G317*H317</f>
      </c>
      <c r="J317" s="153" t="s">
        <v>134</v>
      </c>
      <c r="K317" s="146"/>
      <c r="Z317" s="111">
        <f>IF(AQ317="5",BJ317,0)</f>
      </c>
      <c r="AB317" s="111">
        <f>IF(AQ317="1",BH317,0)</f>
      </c>
      <c r="AC317" s="111">
        <f>IF(AQ317="1",BI317,0)</f>
      </c>
      <c r="AD317" s="111">
        <f>IF(AQ317="7",BH317,0)</f>
      </c>
      <c r="AE317" s="111">
        <f>IF(AQ317="7",BI317,0)</f>
      </c>
      <c r="AF317" s="111">
        <f>IF(AQ317="2",BH317,0)</f>
      </c>
      <c r="AG317" s="111">
        <f>IF(AQ317="2",BI317,0)</f>
      </c>
      <c r="AH317" s="111">
        <f>IF(AQ317="0",BJ317,0)</f>
      </c>
      <c r="AI317" s="132" t="s">
        <v>87</v>
      </c>
      <c r="AJ317" s="111">
        <f>IF(AN317=0,I317,0)</f>
      </c>
      <c r="AK317" s="111">
        <f>IF(AN317=12,I317,0)</f>
      </c>
      <c r="AL317" s="111">
        <f>IF(AN317=21,I317,0)</f>
      </c>
      <c r="AN317" s="111" t="n">
        <v>21</v>
      </c>
      <c r="AO317" s="111">
        <f>H317*0.534862903</f>
      </c>
      <c r="AP317" s="111">
        <f>H317*(1-0.534862903)</f>
      </c>
      <c r="AQ317" s="153" t="s">
        <v>173</v>
      </c>
      <c r="AV317" s="111">
        <f>AW317+AX317</f>
      </c>
      <c r="AW317" s="111">
        <f>G317*AO317</f>
      </c>
      <c r="AX317" s="111">
        <f>G317*AP317</f>
      </c>
      <c r="AY317" s="153" t="s">
        <v>1949</v>
      </c>
      <c r="AZ317" s="153" t="s">
        <v>3333</v>
      </c>
      <c r="BA317" s="132" t="s">
        <v>2990</v>
      </c>
      <c r="BC317" s="111">
        <f>AW317+AX317</f>
      </c>
      <c r="BD317" s="111">
        <f>H317/(100-BE317)*100</f>
      </c>
      <c r="BE317" s="111" t="n">
        <v>0</v>
      </c>
      <c r="BF317" s="111">
        <f>317</f>
      </c>
      <c r="BH317" s="111">
        <f>G317*AO317</f>
      </c>
      <c r="BI317" s="111">
        <f>G317*AP317</f>
      </c>
      <c r="BJ317" s="111">
        <f>G317*H317</f>
      </c>
      <c r="BK317" s="111"/>
      <c r="BL317" s="111" t="n">
        <v>722</v>
      </c>
      <c r="BW317" s="111" t="n">
        <v>21</v>
      </c>
      <c r="BX317" s="14" t="s">
        <v>3454</v>
      </c>
    </row>
    <row r="318">
      <c r="A318" s="154"/>
      <c r="B318" s="155"/>
      <c r="C318" s="155"/>
      <c r="D318" s="156" t="s">
        <v>130</v>
      </c>
      <c r="E318" s="156" t="s">
        <v>3455</v>
      </c>
      <c r="F318" s="155"/>
      <c r="G318" s="157" t="n">
        <v>1</v>
      </c>
      <c r="H318" s="155"/>
      <c r="I318" s="155"/>
      <c r="J318" s="155"/>
      <c r="K318" s="146"/>
    </row>
    <row r="319">
      <c r="A319" s="9" t="s">
        <v>887</v>
      </c>
      <c r="B319" s="10" t="s">
        <v>87</v>
      </c>
      <c r="C319" s="10" t="s">
        <v>3457</v>
      </c>
      <c r="D319" s="14" t="s">
        <v>3458</v>
      </c>
      <c r="E319" s="10"/>
      <c r="F319" s="10" t="s">
        <v>133</v>
      </c>
      <c r="G319" s="111">
        <f>'Stavební rozpočet'!G2264</f>
      </c>
      <c r="H319" s="111">
        <f>'Stavební rozpočet'!H2264</f>
      </c>
      <c r="I319" s="111">
        <f>G319*H319</f>
      </c>
      <c r="J319" s="153" t="s">
        <v>134</v>
      </c>
      <c r="K319" s="146"/>
      <c r="Z319" s="111">
        <f>IF(AQ319="5",BJ319,0)</f>
      </c>
      <c r="AB319" s="111">
        <f>IF(AQ319="1",BH319,0)</f>
      </c>
      <c r="AC319" s="111">
        <f>IF(AQ319="1",BI319,0)</f>
      </c>
      <c r="AD319" s="111">
        <f>IF(AQ319="7",BH319,0)</f>
      </c>
      <c r="AE319" s="111">
        <f>IF(AQ319="7",BI319,0)</f>
      </c>
      <c r="AF319" s="111">
        <f>IF(AQ319="2",BH319,0)</f>
      </c>
      <c r="AG319" s="111">
        <f>IF(AQ319="2",BI319,0)</f>
      </c>
      <c r="AH319" s="111">
        <f>IF(AQ319="0",BJ319,0)</f>
      </c>
      <c r="AI319" s="132" t="s">
        <v>87</v>
      </c>
      <c r="AJ319" s="111">
        <f>IF(AN319=0,I319,0)</f>
      </c>
      <c r="AK319" s="111">
        <f>IF(AN319=12,I319,0)</f>
      </c>
      <c r="AL319" s="111">
        <f>IF(AN319=21,I319,0)</f>
      </c>
      <c r="AN319" s="111" t="n">
        <v>21</v>
      </c>
      <c r="AO319" s="111">
        <f>H319*0.721435794</f>
      </c>
      <c r="AP319" s="111">
        <f>H319*(1-0.721435794)</f>
      </c>
      <c r="AQ319" s="153" t="s">
        <v>173</v>
      </c>
      <c r="AV319" s="111">
        <f>AW319+AX319</f>
      </c>
      <c r="AW319" s="111">
        <f>G319*AO319</f>
      </c>
      <c r="AX319" s="111">
        <f>G319*AP319</f>
      </c>
      <c r="AY319" s="153" t="s">
        <v>1949</v>
      </c>
      <c r="AZ319" s="153" t="s">
        <v>3333</v>
      </c>
      <c r="BA319" s="132" t="s">
        <v>2990</v>
      </c>
      <c r="BC319" s="111">
        <f>AW319+AX319</f>
      </c>
      <c r="BD319" s="111">
        <f>H319/(100-BE319)*100</f>
      </c>
      <c r="BE319" s="111" t="n">
        <v>0</v>
      </c>
      <c r="BF319" s="111">
        <f>319</f>
      </c>
      <c r="BH319" s="111">
        <f>G319*AO319</f>
      </c>
      <c r="BI319" s="111">
        <f>G319*AP319</f>
      </c>
      <c r="BJ319" s="111">
        <f>G319*H319</f>
      </c>
      <c r="BK319" s="111"/>
      <c r="BL319" s="111" t="n">
        <v>722</v>
      </c>
      <c r="BW319" s="111" t="n">
        <v>21</v>
      </c>
      <c r="BX319" s="14" t="s">
        <v>3458</v>
      </c>
    </row>
    <row r="320">
      <c r="A320" s="154"/>
      <c r="B320" s="155"/>
      <c r="C320" s="155"/>
      <c r="D320" s="156" t="s">
        <v>513</v>
      </c>
      <c r="E320" s="156" t="s">
        <v>3459</v>
      </c>
      <c r="F320" s="155"/>
      <c r="G320" s="157" t="n">
        <v>2</v>
      </c>
      <c r="H320" s="155"/>
      <c r="I320" s="155"/>
      <c r="J320" s="155"/>
      <c r="K320" s="146"/>
    </row>
    <row r="321">
      <c r="A321" s="9" t="s">
        <v>894</v>
      </c>
      <c r="B321" s="10" t="s">
        <v>87</v>
      </c>
      <c r="C321" s="10" t="s">
        <v>3461</v>
      </c>
      <c r="D321" s="14" t="s">
        <v>3462</v>
      </c>
      <c r="E321" s="10"/>
      <c r="F321" s="10" t="s">
        <v>282</v>
      </c>
      <c r="G321" s="111">
        <f>'Stavební rozpočet'!G2266</f>
      </c>
      <c r="H321" s="111">
        <f>'Stavební rozpočet'!H2266</f>
      </c>
      <c r="I321" s="111">
        <f>G321*H321</f>
      </c>
      <c r="J321" s="153" t="s">
        <v>134</v>
      </c>
      <c r="K321" s="146"/>
      <c r="Z321" s="111">
        <f>IF(AQ321="5",BJ321,0)</f>
      </c>
      <c r="AB321" s="111">
        <f>IF(AQ321="1",BH321,0)</f>
      </c>
      <c r="AC321" s="111">
        <f>IF(AQ321="1",BI321,0)</f>
      </c>
      <c r="AD321" s="111">
        <f>IF(AQ321="7",BH321,0)</f>
      </c>
      <c r="AE321" s="111">
        <f>IF(AQ321="7",BI321,0)</f>
      </c>
      <c r="AF321" s="111">
        <f>IF(AQ321="2",BH321,0)</f>
      </c>
      <c r="AG321" s="111">
        <f>IF(AQ321="2",BI321,0)</f>
      </c>
      <c r="AH321" s="111">
        <f>IF(AQ321="0",BJ321,0)</f>
      </c>
      <c r="AI321" s="132" t="s">
        <v>87</v>
      </c>
      <c r="AJ321" s="111">
        <f>IF(AN321=0,I321,0)</f>
      </c>
      <c r="AK321" s="111">
        <f>IF(AN321=12,I321,0)</f>
      </c>
      <c r="AL321" s="111">
        <f>IF(AN321=21,I321,0)</f>
      </c>
      <c r="AN321" s="111" t="n">
        <v>21</v>
      </c>
      <c r="AO321" s="111">
        <f>H321*0.699814815</f>
      </c>
      <c r="AP321" s="111">
        <f>H321*(1-0.699814815)</f>
      </c>
      <c r="AQ321" s="153" t="s">
        <v>173</v>
      </c>
      <c r="AV321" s="111">
        <f>AW321+AX321</f>
      </c>
      <c r="AW321" s="111">
        <f>G321*AO321</f>
      </c>
      <c r="AX321" s="111">
        <f>G321*AP321</f>
      </c>
      <c r="AY321" s="153" t="s">
        <v>1949</v>
      </c>
      <c r="AZ321" s="153" t="s">
        <v>3333</v>
      </c>
      <c r="BA321" s="132" t="s">
        <v>2990</v>
      </c>
      <c r="BC321" s="111">
        <f>AW321+AX321</f>
      </c>
      <c r="BD321" s="111">
        <f>H321/(100-BE321)*100</f>
      </c>
      <c r="BE321" s="111" t="n">
        <v>0</v>
      </c>
      <c r="BF321" s="111">
        <f>321</f>
      </c>
      <c r="BH321" s="111">
        <f>G321*AO321</f>
      </c>
      <c r="BI321" s="111">
        <f>G321*AP321</f>
      </c>
      <c r="BJ321" s="111">
        <f>G321*H321</f>
      </c>
      <c r="BK321" s="111"/>
      <c r="BL321" s="111" t="n">
        <v>722</v>
      </c>
      <c r="BW321" s="111" t="n">
        <v>21</v>
      </c>
      <c r="BX321" s="14" t="s">
        <v>3462</v>
      </c>
    </row>
    <row r="322" customHeight="true" ht="13.5">
      <c r="A322" s="159"/>
      <c r="C322" s="160" t="s">
        <v>146</v>
      </c>
      <c r="D322" s="161" t="s">
        <v>3463</v>
      </c>
      <c r="E322" s="156"/>
      <c r="F322" s="156"/>
      <c r="G322" s="156"/>
      <c r="H322" s="156"/>
      <c r="I322" s="156"/>
      <c r="J322" s="156"/>
      <c r="K322" s="163"/>
    </row>
    <row r="323">
      <c r="A323" s="154"/>
      <c r="B323" s="155"/>
      <c r="C323" s="155"/>
      <c r="D323" s="156" t="s">
        <v>3464</v>
      </c>
      <c r="E323" s="156" t="s">
        <v>4</v>
      </c>
      <c r="F323" s="155"/>
      <c r="G323" s="157" t="n">
        <v>100</v>
      </c>
      <c r="H323" s="155"/>
      <c r="I323" s="155"/>
      <c r="J323" s="155"/>
      <c r="K323" s="146"/>
    </row>
    <row r="324">
      <c r="A324" s="9" t="s">
        <v>899</v>
      </c>
      <c r="B324" s="10" t="s">
        <v>87</v>
      </c>
      <c r="C324" s="10" t="s">
        <v>3466</v>
      </c>
      <c r="D324" s="14" t="s">
        <v>3467</v>
      </c>
      <c r="E324" s="10"/>
      <c r="F324" s="10" t="s">
        <v>282</v>
      </c>
      <c r="G324" s="111">
        <f>'Stavební rozpočet'!G2269</f>
      </c>
      <c r="H324" s="111">
        <f>'Stavební rozpočet'!H2269</f>
      </c>
      <c r="I324" s="111">
        <f>G324*H324</f>
      </c>
      <c r="J324" s="153" t="s">
        <v>134</v>
      </c>
      <c r="K324" s="146"/>
      <c r="Z324" s="111">
        <f>IF(AQ324="5",BJ324,0)</f>
      </c>
      <c r="AB324" s="111">
        <f>IF(AQ324="1",BH324,0)</f>
      </c>
      <c r="AC324" s="111">
        <f>IF(AQ324="1",BI324,0)</f>
      </c>
      <c r="AD324" s="111">
        <f>IF(AQ324="7",BH324,0)</f>
      </c>
      <c r="AE324" s="111">
        <f>IF(AQ324="7",BI324,0)</f>
      </c>
      <c r="AF324" s="111">
        <f>IF(AQ324="2",BH324,0)</f>
      </c>
      <c r="AG324" s="111">
        <f>IF(AQ324="2",BI324,0)</f>
      </c>
      <c r="AH324" s="111">
        <f>IF(AQ324="0",BJ324,0)</f>
      </c>
      <c r="AI324" s="132" t="s">
        <v>87</v>
      </c>
      <c r="AJ324" s="111">
        <f>IF(AN324=0,I324,0)</f>
      </c>
      <c r="AK324" s="111">
        <f>IF(AN324=12,I324,0)</f>
      </c>
      <c r="AL324" s="111">
        <f>IF(AN324=21,I324,0)</f>
      </c>
      <c r="AN324" s="111" t="n">
        <v>21</v>
      </c>
      <c r="AO324" s="111">
        <f>H324*0.755511921</f>
      </c>
      <c r="AP324" s="111">
        <f>H324*(1-0.755511921)</f>
      </c>
      <c r="AQ324" s="153" t="s">
        <v>173</v>
      </c>
      <c r="AV324" s="111">
        <f>AW324+AX324</f>
      </c>
      <c r="AW324" s="111">
        <f>G324*AO324</f>
      </c>
      <c r="AX324" s="111">
        <f>G324*AP324</f>
      </c>
      <c r="AY324" s="153" t="s">
        <v>1949</v>
      </c>
      <c r="AZ324" s="153" t="s">
        <v>3333</v>
      </c>
      <c r="BA324" s="132" t="s">
        <v>2990</v>
      </c>
      <c r="BC324" s="111">
        <f>AW324+AX324</f>
      </c>
      <c r="BD324" s="111">
        <f>H324/(100-BE324)*100</f>
      </c>
      <c r="BE324" s="111" t="n">
        <v>0</v>
      </c>
      <c r="BF324" s="111">
        <f>324</f>
      </c>
      <c r="BH324" s="111">
        <f>G324*AO324</f>
      </c>
      <c r="BI324" s="111">
        <f>G324*AP324</f>
      </c>
      <c r="BJ324" s="111">
        <f>G324*H324</f>
      </c>
      <c r="BK324" s="111"/>
      <c r="BL324" s="111" t="n">
        <v>722</v>
      </c>
      <c r="BW324" s="111" t="n">
        <v>21</v>
      </c>
      <c r="BX324" s="14" t="s">
        <v>3467</v>
      </c>
    </row>
    <row r="325" customHeight="true" ht="13.5">
      <c r="A325" s="159"/>
      <c r="C325" s="160" t="s">
        <v>146</v>
      </c>
      <c r="D325" s="161" t="s">
        <v>3463</v>
      </c>
      <c r="E325" s="156"/>
      <c r="F325" s="156"/>
      <c r="G325" s="156"/>
      <c r="H325" s="156"/>
      <c r="I325" s="156"/>
      <c r="J325" s="156"/>
      <c r="K325" s="163"/>
    </row>
    <row r="326">
      <c r="A326" s="154"/>
      <c r="B326" s="155"/>
      <c r="C326" s="155"/>
      <c r="D326" s="156" t="s">
        <v>3468</v>
      </c>
      <c r="E326" s="156" t="s">
        <v>4</v>
      </c>
      <c r="F326" s="155"/>
      <c r="G326" s="157" t="n">
        <v>81</v>
      </c>
      <c r="H326" s="155"/>
      <c r="I326" s="155"/>
      <c r="J326" s="155"/>
      <c r="K326" s="146"/>
    </row>
    <row r="327">
      <c r="A327" s="9" t="s">
        <v>904</v>
      </c>
      <c r="B327" s="10" t="s">
        <v>87</v>
      </c>
      <c r="C327" s="10" t="s">
        <v>3470</v>
      </c>
      <c r="D327" s="14" t="s">
        <v>3471</v>
      </c>
      <c r="E327" s="10"/>
      <c r="F327" s="10" t="s">
        <v>282</v>
      </c>
      <c r="G327" s="111">
        <f>'Stavební rozpočet'!G2272</f>
      </c>
      <c r="H327" s="111">
        <f>'Stavební rozpočet'!H2272</f>
      </c>
      <c r="I327" s="111">
        <f>G327*H327</f>
      </c>
      <c r="J327" s="153" t="s">
        <v>134</v>
      </c>
      <c r="K327" s="146"/>
      <c r="Z327" s="111">
        <f>IF(AQ327="5",BJ327,0)</f>
      </c>
      <c r="AB327" s="111">
        <f>IF(AQ327="1",BH327,0)</f>
      </c>
      <c r="AC327" s="111">
        <f>IF(AQ327="1",BI327,0)</f>
      </c>
      <c r="AD327" s="111">
        <f>IF(AQ327="7",BH327,0)</f>
      </c>
      <c r="AE327" s="111">
        <f>IF(AQ327="7",BI327,0)</f>
      </c>
      <c r="AF327" s="111">
        <f>IF(AQ327="2",BH327,0)</f>
      </c>
      <c r="AG327" s="111">
        <f>IF(AQ327="2",BI327,0)</f>
      </c>
      <c r="AH327" s="111">
        <f>IF(AQ327="0",BJ327,0)</f>
      </c>
      <c r="AI327" s="132" t="s">
        <v>87</v>
      </c>
      <c r="AJ327" s="111">
        <f>IF(AN327=0,I327,0)</f>
      </c>
      <c r="AK327" s="111">
        <f>IF(AN327=12,I327,0)</f>
      </c>
      <c r="AL327" s="111">
        <f>IF(AN327=21,I327,0)</f>
      </c>
      <c r="AN327" s="111" t="n">
        <v>21</v>
      </c>
      <c r="AO327" s="111">
        <f>H327*0.784810912</f>
      </c>
      <c r="AP327" s="111">
        <f>H327*(1-0.784810912)</f>
      </c>
      <c r="AQ327" s="153" t="s">
        <v>173</v>
      </c>
      <c r="AV327" s="111">
        <f>AW327+AX327</f>
      </c>
      <c r="AW327" s="111">
        <f>G327*AO327</f>
      </c>
      <c r="AX327" s="111">
        <f>G327*AP327</f>
      </c>
      <c r="AY327" s="153" t="s">
        <v>1949</v>
      </c>
      <c r="AZ327" s="153" t="s">
        <v>3333</v>
      </c>
      <c r="BA327" s="132" t="s">
        <v>2990</v>
      </c>
      <c r="BC327" s="111">
        <f>AW327+AX327</f>
      </c>
      <c r="BD327" s="111">
        <f>H327/(100-BE327)*100</f>
      </c>
      <c r="BE327" s="111" t="n">
        <v>0</v>
      </c>
      <c r="BF327" s="111">
        <f>327</f>
      </c>
      <c r="BH327" s="111">
        <f>G327*AO327</f>
      </c>
      <c r="BI327" s="111">
        <f>G327*AP327</f>
      </c>
      <c r="BJ327" s="111">
        <f>G327*H327</f>
      </c>
      <c r="BK327" s="111"/>
      <c r="BL327" s="111" t="n">
        <v>722</v>
      </c>
      <c r="BW327" s="111" t="n">
        <v>21</v>
      </c>
      <c r="BX327" s="14" t="s">
        <v>3471</v>
      </c>
    </row>
    <row r="328" customHeight="true" ht="13.5">
      <c r="A328" s="159"/>
      <c r="C328" s="160" t="s">
        <v>146</v>
      </c>
      <c r="D328" s="161" t="s">
        <v>3463</v>
      </c>
      <c r="E328" s="156"/>
      <c r="F328" s="156"/>
      <c r="G328" s="156"/>
      <c r="H328" s="156"/>
      <c r="I328" s="156"/>
      <c r="J328" s="156"/>
      <c r="K328" s="163"/>
    </row>
    <row r="329">
      <c r="A329" s="154"/>
      <c r="B329" s="155"/>
      <c r="C329" s="155"/>
      <c r="D329" s="156" t="s">
        <v>3472</v>
      </c>
      <c r="E329" s="156" t="s">
        <v>4</v>
      </c>
      <c r="F329" s="155"/>
      <c r="G329" s="157" t="n">
        <v>67</v>
      </c>
      <c r="H329" s="155"/>
      <c r="I329" s="155"/>
      <c r="J329" s="155"/>
      <c r="K329" s="146"/>
    </row>
    <row r="330">
      <c r="A330" s="9" t="s">
        <v>908</v>
      </c>
      <c r="B330" s="10" t="s">
        <v>87</v>
      </c>
      <c r="C330" s="10" t="s">
        <v>3474</v>
      </c>
      <c r="D330" s="14" t="s">
        <v>3475</v>
      </c>
      <c r="E330" s="10"/>
      <c r="F330" s="10" t="s">
        <v>282</v>
      </c>
      <c r="G330" s="111">
        <f>'Stavební rozpočet'!G2275</f>
      </c>
      <c r="H330" s="111">
        <f>'Stavební rozpočet'!H2275</f>
      </c>
      <c r="I330" s="111">
        <f>G330*H330</f>
      </c>
      <c r="J330" s="153" t="s">
        <v>134</v>
      </c>
      <c r="K330" s="146"/>
      <c r="Z330" s="111">
        <f>IF(AQ330="5",BJ330,0)</f>
      </c>
      <c r="AB330" s="111">
        <f>IF(AQ330="1",BH330,0)</f>
      </c>
      <c r="AC330" s="111">
        <f>IF(AQ330="1",BI330,0)</f>
      </c>
      <c r="AD330" s="111">
        <f>IF(AQ330="7",BH330,0)</f>
      </c>
      <c r="AE330" s="111">
        <f>IF(AQ330="7",BI330,0)</f>
      </c>
      <c r="AF330" s="111">
        <f>IF(AQ330="2",BH330,0)</f>
      </c>
      <c r="AG330" s="111">
        <f>IF(AQ330="2",BI330,0)</f>
      </c>
      <c r="AH330" s="111">
        <f>IF(AQ330="0",BJ330,0)</f>
      </c>
      <c r="AI330" s="132" t="s">
        <v>87</v>
      </c>
      <c r="AJ330" s="111">
        <f>IF(AN330=0,I330,0)</f>
      </c>
      <c r="AK330" s="111">
        <f>IF(AN330=12,I330,0)</f>
      </c>
      <c r="AL330" s="111">
        <f>IF(AN330=21,I330,0)</f>
      </c>
      <c r="AN330" s="111" t="n">
        <v>21</v>
      </c>
      <c r="AO330" s="111">
        <f>H330*0.83902965</f>
      </c>
      <c r="AP330" s="111">
        <f>H330*(1-0.83902965)</f>
      </c>
      <c r="AQ330" s="153" t="s">
        <v>173</v>
      </c>
      <c r="AV330" s="111">
        <f>AW330+AX330</f>
      </c>
      <c r="AW330" s="111">
        <f>G330*AO330</f>
      </c>
      <c r="AX330" s="111">
        <f>G330*AP330</f>
      </c>
      <c r="AY330" s="153" t="s">
        <v>1949</v>
      </c>
      <c r="AZ330" s="153" t="s">
        <v>3333</v>
      </c>
      <c r="BA330" s="132" t="s">
        <v>2990</v>
      </c>
      <c r="BC330" s="111">
        <f>AW330+AX330</f>
      </c>
      <c r="BD330" s="111">
        <f>H330/(100-BE330)*100</f>
      </c>
      <c r="BE330" s="111" t="n">
        <v>0</v>
      </c>
      <c r="BF330" s="111">
        <f>330</f>
      </c>
      <c r="BH330" s="111">
        <f>G330*AO330</f>
      </c>
      <c r="BI330" s="111">
        <f>G330*AP330</f>
      </c>
      <c r="BJ330" s="111">
        <f>G330*H330</f>
      </c>
      <c r="BK330" s="111"/>
      <c r="BL330" s="111" t="n">
        <v>722</v>
      </c>
      <c r="BW330" s="111" t="n">
        <v>21</v>
      </c>
      <c r="BX330" s="14" t="s">
        <v>3475</v>
      </c>
    </row>
    <row r="331" customHeight="true" ht="13.5">
      <c r="A331" s="159"/>
      <c r="C331" s="160" t="s">
        <v>146</v>
      </c>
      <c r="D331" s="161" t="s">
        <v>3463</v>
      </c>
      <c r="E331" s="156"/>
      <c r="F331" s="156"/>
      <c r="G331" s="156"/>
      <c r="H331" s="156"/>
      <c r="I331" s="156"/>
      <c r="J331" s="156"/>
      <c r="K331" s="163"/>
    </row>
    <row r="332">
      <c r="A332" s="154"/>
      <c r="B332" s="155"/>
      <c r="C332" s="155"/>
      <c r="D332" s="156" t="s">
        <v>3476</v>
      </c>
      <c r="E332" s="156" t="s">
        <v>4</v>
      </c>
      <c r="F332" s="155"/>
      <c r="G332" s="157" t="n">
        <v>23</v>
      </c>
      <c r="H332" s="155"/>
      <c r="I332" s="155"/>
      <c r="J332" s="155"/>
      <c r="K332" s="146"/>
    </row>
    <row r="333">
      <c r="A333" s="9" t="s">
        <v>914</v>
      </c>
      <c r="B333" s="10" t="s">
        <v>87</v>
      </c>
      <c r="C333" s="10" t="s">
        <v>3478</v>
      </c>
      <c r="D333" s="14" t="s">
        <v>3479</v>
      </c>
      <c r="E333" s="10"/>
      <c r="F333" s="10" t="s">
        <v>282</v>
      </c>
      <c r="G333" s="111">
        <f>'Stavební rozpočet'!G2278</f>
      </c>
      <c r="H333" s="111">
        <f>'Stavební rozpočet'!H2278</f>
      </c>
      <c r="I333" s="111">
        <f>G333*H333</f>
      </c>
      <c r="J333" s="153" t="s">
        <v>134</v>
      </c>
      <c r="K333" s="146"/>
      <c r="Z333" s="111">
        <f>IF(AQ333="5",BJ333,0)</f>
      </c>
      <c r="AB333" s="111">
        <f>IF(AQ333="1",BH333,0)</f>
      </c>
      <c r="AC333" s="111">
        <f>IF(AQ333="1",BI333,0)</f>
      </c>
      <c r="AD333" s="111">
        <f>IF(AQ333="7",BH333,0)</f>
      </c>
      <c r="AE333" s="111">
        <f>IF(AQ333="7",BI333,0)</f>
      </c>
      <c r="AF333" s="111">
        <f>IF(AQ333="2",BH333,0)</f>
      </c>
      <c r="AG333" s="111">
        <f>IF(AQ333="2",BI333,0)</f>
      </c>
      <c r="AH333" s="111">
        <f>IF(AQ333="0",BJ333,0)</f>
      </c>
      <c r="AI333" s="132" t="s">
        <v>87</v>
      </c>
      <c r="AJ333" s="111">
        <f>IF(AN333=0,I333,0)</f>
      </c>
      <c r="AK333" s="111">
        <f>IF(AN333=12,I333,0)</f>
      </c>
      <c r="AL333" s="111">
        <f>IF(AN333=21,I333,0)</f>
      </c>
      <c r="AN333" s="111" t="n">
        <v>21</v>
      </c>
      <c r="AO333" s="111">
        <f>H333*0.843212996</f>
      </c>
      <c r="AP333" s="111">
        <f>H333*(1-0.843212996)</f>
      </c>
      <c r="AQ333" s="153" t="s">
        <v>173</v>
      </c>
      <c r="AV333" s="111">
        <f>AW333+AX333</f>
      </c>
      <c r="AW333" s="111">
        <f>G333*AO333</f>
      </c>
      <c r="AX333" s="111">
        <f>G333*AP333</f>
      </c>
      <c r="AY333" s="153" t="s">
        <v>1949</v>
      </c>
      <c r="AZ333" s="153" t="s">
        <v>3333</v>
      </c>
      <c r="BA333" s="132" t="s">
        <v>2990</v>
      </c>
      <c r="BC333" s="111">
        <f>AW333+AX333</f>
      </c>
      <c r="BD333" s="111">
        <f>H333/(100-BE333)*100</f>
      </c>
      <c r="BE333" s="111" t="n">
        <v>0</v>
      </c>
      <c r="BF333" s="111">
        <f>333</f>
      </c>
      <c r="BH333" s="111">
        <f>G333*AO333</f>
      </c>
      <c r="BI333" s="111">
        <f>G333*AP333</f>
      </c>
      <c r="BJ333" s="111">
        <f>G333*H333</f>
      </c>
      <c r="BK333" s="111"/>
      <c r="BL333" s="111" t="n">
        <v>722</v>
      </c>
      <c r="BW333" s="111" t="n">
        <v>21</v>
      </c>
      <c r="BX333" s="14" t="s">
        <v>3479</v>
      </c>
    </row>
    <row r="334" customHeight="true" ht="13.5">
      <c r="A334" s="159"/>
      <c r="C334" s="160" t="s">
        <v>146</v>
      </c>
      <c r="D334" s="161" t="s">
        <v>3463</v>
      </c>
      <c r="E334" s="156"/>
      <c r="F334" s="156"/>
      <c r="G334" s="156"/>
      <c r="H334" s="156"/>
      <c r="I334" s="156"/>
      <c r="J334" s="156"/>
      <c r="K334" s="163"/>
    </row>
    <row r="335">
      <c r="A335" s="154"/>
      <c r="B335" s="155"/>
      <c r="C335" s="155"/>
      <c r="D335" s="156" t="s">
        <v>3480</v>
      </c>
      <c r="E335" s="156" t="s">
        <v>4</v>
      </c>
      <c r="F335" s="155"/>
      <c r="G335" s="157" t="n">
        <v>88</v>
      </c>
      <c r="H335" s="155"/>
      <c r="I335" s="155"/>
      <c r="J335" s="155"/>
      <c r="K335" s="146"/>
    </row>
    <row r="336">
      <c r="A336" s="9" t="s">
        <v>917</v>
      </c>
      <c r="B336" s="10" t="s">
        <v>87</v>
      </c>
      <c r="C336" s="10" t="s">
        <v>3482</v>
      </c>
      <c r="D336" s="14" t="s">
        <v>3483</v>
      </c>
      <c r="E336" s="10"/>
      <c r="F336" s="10" t="s">
        <v>282</v>
      </c>
      <c r="G336" s="111">
        <f>'Stavební rozpočet'!G2281</f>
      </c>
      <c r="H336" s="111">
        <f>'Stavební rozpočet'!H2281</f>
      </c>
      <c r="I336" s="111">
        <f>G336*H336</f>
      </c>
      <c r="J336" s="153" t="s">
        <v>134</v>
      </c>
      <c r="K336" s="146"/>
      <c r="Z336" s="111">
        <f>IF(AQ336="5",BJ336,0)</f>
      </c>
      <c r="AB336" s="111">
        <f>IF(AQ336="1",BH336,0)</f>
      </c>
      <c r="AC336" s="111">
        <f>IF(AQ336="1",BI336,0)</f>
      </c>
      <c r="AD336" s="111">
        <f>IF(AQ336="7",BH336,0)</f>
      </c>
      <c r="AE336" s="111">
        <f>IF(AQ336="7",BI336,0)</f>
      </c>
      <c r="AF336" s="111">
        <f>IF(AQ336="2",BH336,0)</f>
      </c>
      <c r="AG336" s="111">
        <f>IF(AQ336="2",BI336,0)</f>
      </c>
      <c r="AH336" s="111">
        <f>IF(AQ336="0",BJ336,0)</f>
      </c>
      <c r="AI336" s="132" t="s">
        <v>87</v>
      </c>
      <c r="AJ336" s="111">
        <f>IF(AN336=0,I336,0)</f>
      </c>
      <c r="AK336" s="111">
        <f>IF(AN336=12,I336,0)</f>
      </c>
      <c r="AL336" s="111">
        <f>IF(AN336=21,I336,0)</f>
      </c>
      <c r="AN336" s="111" t="n">
        <v>21</v>
      </c>
      <c r="AO336" s="111">
        <f>H336*0.877932432</f>
      </c>
      <c r="AP336" s="111">
        <f>H336*(1-0.877932432)</f>
      </c>
      <c r="AQ336" s="153" t="s">
        <v>173</v>
      </c>
      <c r="AV336" s="111">
        <f>AW336+AX336</f>
      </c>
      <c r="AW336" s="111">
        <f>G336*AO336</f>
      </c>
      <c r="AX336" s="111">
        <f>G336*AP336</f>
      </c>
      <c r="AY336" s="153" t="s">
        <v>1949</v>
      </c>
      <c r="AZ336" s="153" t="s">
        <v>3333</v>
      </c>
      <c r="BA336" s="132" t="s">
        <v>2990</v>
      </c>
      <c r="BC336" s="111">
        <f>AW336+AX336</f>
      </c>
      <c r="BD336" s="111">
        <f>H336/(100-BE336)*100</f>
      </c>
      <c r="BE336" s="111" t="n">
        <v>0</v>
      </c>
      <c r="BF336" s="111">
        <f>336</f>
      </c>
      <c r="BH336" s="111">
        <f>G336*AO336</f>
      </c>
      <c r="BI336" s="111">
        <f>G336*AP336</f>
      </c>
      <c r="BJ336" s="111">
        <f>G336*H336</f>
      </c>
      <c r="BK336" s="111"/>
      <c r="BL336" s="111" t="n">
        <v>722</v>
      </c>
      <c r="BW336" s="111" t="n">
        <v>21</v>
      </c>
      <c r="BX336" s="14" t="s">
        <v>3483</v>
      </c>
    </row>
    <row r="337" customHeight="true" ht="13.5">
      <c r="A337" s="159"/>
      <c r="C337" s="160" t="s">
        <v>146</v>
      </c>
      <c r="D337" s="161" t="s">
        <v>3463</v>
      </c>
      <c r="E337" s="156"/>
      <c r="F337" s="156"/>
      <c r="G337" s="156"/>
      <c r="H337" s="156"/>
      <c r="I337" s="156"/>
      <c r="J337" s="156"/>
      <c r="K337" s="163"/>
    </row>
    <row r="338">
      <c r="A338" s="154"/>
      <c r="B338" s="155"/>
      <c r="C338" s="155"/>
      <c r="D338" s="156" t="s">
        <v>156</v>
      </c>
      <c r="E338" s="156" t="s">
        <v>4</v>
      </c>
      <c r="F338" s="155"/>
      <c r="G338" s="157" t="n">
        <v>5</v>
      </c>
      <c r="H338" s="155"/>
      <c r="I338" s="155"/>
      <c r="J338" s="155"/>
      <c r="K338" s="146"/>
    </row>
    <row r="339">
      <c r="A339" s="9" t="s">
        <v>920</v>
      </c>
      <c r="B339" s="10" t="s">
        <v>87</v>
      </c>
      <c r="C339" s="10" t="s">
        <v>3485</v>
      </c>
      <c r="D339" s="14" t="s">
        <v>3486</v>
      </c>
      <c r="E339" s="10"/>
      <c r="F339" s="10" t="s">
        <v>282</v>
      </c>
      <c r="G339" s="111">
        <f>'Stavební rozpočet'!G2284</f>
      </c>
      <c r="H339" s="111">
        <f>'Stavební rozpočet'!H2284</f>
      </c>
      <c r="I339" s="111">
        <f>G339*H339</f>
      </c>
      <c r="J339" s="153" t="s">
        <v>134</v>
      </c>
      <c r="K339" s="146"/>
      <c r="Z339" s="111">
        <f>IF(AQ339="5",BJ339,0)</f>
      </c>
      <c r="AB339" s="111">
        <f>IF(AQ339="1",BH339,0)</f>
      </c>
      <c r="AC339" s="111">
        <f>IF(AQ339="1",BI339,0)</f>
      </c>
      <c r="AD339" s="111">
        <f>IF(AQ339="7",BH339,0)</f>
      </c>
      <c r="AE339" s="111">
        <f>IF(AQ339="7",BI339,0)</f>
      </c>
      <c r="AF339" s="111">
        <f>IF(AQ339="2",BH339,0)</f>
      </c>
      <c r="AG339" s="111">
        <f>IF(AQ339="2",BI339,0)</f>
      </c>
      <c r="AH339" s="111">
        <f>IF(AQ339="0",BJ339,0)</f>
      </c>
      <c r="AI339" s="132" t="s">
        <v>87</v>
      </c>
      <c r="AJ339" s="111">
        <f>IF(AN339=0,I339,0)</f>
      </c>
      <c r="AK339" s="111">
        <f>IF(AN339=12,I339,0)</f>
      </c>
      <c r="AL339" s="111">
        <f>IF(AN339=21,I339,0)</f>
      </c>
      <c r="AN339" s="111" t="n">
        <v>21</v>
      </c>
      <c r="AO339" s="111">
        <f>H339*0.207158996</f>
      </c>
      <c r="AP339" s="111">
        <f>H339*(1-0.207158996)</f>
      </c>
      <c r="AQ339" s="153" t="s">
        <v>173</v>
      </c>
      <c r="AV339" s="111">
        <f>AW339+AX339</f>
      </c>
      <c r="AW339" s="111">
        <f>G339*AO339</f>
      </c>
      <c r="AX339" s="111">
        <f>G339*AP339</f>
      </c>
      <c r="AY339" s="153" t="s">
        <v>1949</v>
      </c>
      <c r="AZ339" s="153" t="s">
        <v>3333</v>
      </c>
      <c r="BA339" s="132" t="s">
        <v>2990</v>
      </c>
      <c r="BC339" s="111">
        <f>AW339+AX339</f>
      </c>
      <c r="BD339" s="111">
        <f>H339/(100-BE339)*100</f>
      </c>
      <c r="BE339" s="111" t="n">
        <v>0</v>
      </c>
      <c r="BF339" s="111">
        <f>339</f>
      </c>
      <c r="BH339" s="111">
        <f>G339*AO339</f>
      </c>
      <c r="BI339" s="111">
        <f>G339*AP339</f>
      </c>
      <c r="BJ339" s="111">
        <f>G339*H339</f>
      </c>
      <c r="BK339" s="111"/>
      <c r="BL339" s="111" t="n">
        <v>722</v>
      </c>
      <c r="BW339" s="111" t="n">
        <v>21</v>
      </c>
      <c r="BX339" s="14" t="s">
        <v>3486</v>
      </c>
    </row>
    <row r="340" customHeight="true" ht="13.5">
      <c r="A340" s="159"/>
      <c r="C340" s="160" t="s">
        <v>146</v>
      </c>
      <c r="D340" s="161" t="s">
        <v>3487</v>
      </c>
      <c r="E340" s="156"/>
      <c r="F340" s="156"/>
      <c r="G340" s="156"/>
      <c r="H340" s="156"/>
      <c r="I340" s="156"/>
      <c r="J340" s="156"/>
      <c r="K340" s="163"/>
    </row>
    <row r="341">
      <c r="A341" s="154"/>
      <c r="B341" s="155"/>
      <c r="C341" s="155"/>
      <c r="D341" s="156" t="s">
        <v>342</v>
      </c>
      <c r="E341" s="156" t="s">
        <v>4</v>
      </c>
      <c r="F341" s="155"/>
      <c r="G341" s="157" t="n">
        <v>30</v>
      </c>
      <c r="H341" s="155"/>
      <c r="I341" s="155"/>
      <c r="J341" s="155"/>
      <c r="K341" s="146"/>
    </row>
    <row r="342">
      <c r="A342" s="9" t="s">
        <v>927</v>
      </c>
      <c r="B342" s="10" t="s">
        <v>87</v>
      </c>
      <c r="C342" s="10" t="s">
        <v>3489</v>
      </c>
      <c r="D342" s="14" t="s">
        <v>3486</v>
      </c>
      <c r="E342" s="10"/>
      <c r="F342" s="10" t="s">
        <v>282</v>
      </c>
      <c r="G342" s="111">
        <f>'Stavební rozpočet'!G2287</f>
      </c>
      <c r="H342" s="111">
        <f>'Stavební rozpočet'!H2287</f>
      </c>
      <c r="I342" s="111">
        <f>G342*H342</f>
      </c>
      <c r="J342" s="153" t="s">
        <v>134</v>
      </c>
      <c r="K342" s="146"/>
      <c r="Z342" s="111">
        <f>IF(AQ342="5",BJ342,0)</f>
      </c>
      <c r="AB342" s="111">
        <f>IF(AQ342="1",BH342,0)</f>
      </c>
      <c r="AC342" s="111">
        <f>IF(AQ342="1",BI342,0)</f>
      </c>
      <c r="AD342" s="111">
        <f>IF(AQ342="7",BH342,0)</f>
      </c>
      <c r="AE342" s="111">
        <f>IF(AQ342="7",BI342,0)</f>
      </c>
      <c r="AF342" s="111">
        <f>IF(AQ342="2",BH342,0)</f>
      </c>
      <c r="AG342" s="111">
        <f>IF(AQ342="2",BI342,0)</f>
      </c>
      <c r="AH342" s="111">
        <f>IF(AQ342="0",BJ342,0)</f>
      </c>
      <c r="AI342" s="132" t="s">
        <v>87</v>
      </c>
      <c r="AJ342" s="111">
        <f>IF(AN342=0,I342,0)</f>
      </c>
      <c r="AK342" s="111">
        <f>IF(AN342=12,I342,0)</f>
      </c>
      <c r="AL342" s="111">
        <f>IF(AN342=21,I342,0)</f>
      </c>
      <c r="AN342" s="111" t="n">
        <v>21</v>
      </c>
      <c r="AO342" s="111">
        <f>H342*0.212540193</f>
      </c>
      <c r="AP342" s="111">
        <f>H342*(1-0.212540193)</f>
      </c>
      <c r="AQ342" s="153" t="s">
        <v>173</v>
      </c>
      <c r="AV342" s="111">
        <f>AW342+AX342</f>
      </c>
      <c r="AW342" s="111">
        <f>G342*AO342</f>
      </c>
      <c r="AX342" s="111">
        <f>G342*AP342</f>
      </c>
      <c r="AY342" s="153" t="s">
        <v>1949</v>
      </c>
      <c r="AZ342" s="153" t="s">
        <v>3333</v>
      </c>
      <c r="BA342" s="132" t="s">
        <v>2990</v>
      </c>
      <c r="BC342" s="111">
        <f>AW342+AX342</f>
      </c>
      <c r="BD342" s="111">
        <f>H342/(100-BE342)*100</f>
      </c>
      <c r="BE342" s="111" t="n">
        <v>0</v>
      </c>
      <c r="BF342" s="111">
        <f>342</f>
      </c>
      <c r="BH342" s="111">
        <f>G342*AO342</f>
      </c>
      <c r="BI342" s="111">
        <f>G342*AP342</f>
      </c>
      <c r="BJ342" s="111">
        <f>G342*H342</f>
      </c>
      <c r="BK342" s="111"/>
      <c r="BL342" s="111" t="n">
        <v>722</v>
      </c>
      <c r="BW342" s="111" t="n">
        <v>21</v>
      </c>
      <c r="BX342" s="14" t="s">
        <v>3486</v>
      </c>
    </row>
    <row r="343" customHeight="true" ht="13.5">
      <c r="A343" s="159"/>
      <c r="C343" s="160" t="s">
        <v>146</v>
      </c>
      <c r="D343" s="161" t="s">
        <v>3490</v>
      </c>
      <c r="E343" s="156"/>
      <c r="F343" s="156"/>
      <c r="G343" s="156"/>
      <c r="H343" s="156"/>
      <c r="I343" s="156"/>
      <c r="J343" s="156"/>
      <c r="K343" s="163"/>
    </row>
    <row r="344">
      <c r="A344" s="154"/>
      <c r="B344" s="155"/>
      <c r="C344" s="155"/>
      <c r="D344" s="156" t="s">
        <v>224</v>
      </c>
      <c r="E344" s="156" t="s">
        <v>4</v>
      </c>
      <c r="F344" s="155"/>
      <c r="G344" s="157" t="n">
        <v>15</v>
      </c>
      <c r="H344" s="155"/>
      <c r="I344" s="155"/>
      <c r="J344" s="155"/>
      <c r="K344" s="146"/>
    </row>
    <row r="345">
      <c r="A345" s="9" t="s">
        <v>935</v>
      </c>
      <c r="B345" s="10" t="s">
        <v>87</v>
      </c>
      <c r="C345" s="10" t="s">
        <v>3492</v>
      </c>
      <c r="D345" s="14" t="s">
        <v>3486</v>
      </c>
      <c r="E345" s="10"/>
      <c r="F345" s="10" t="s">
        <v>282</v>
      </c>
      <c r="G345" s="111">
        <f>'Stavební rozpočet'!G2290</f>
      </c>
      <c r="H345" s="111">
        <f>'Stavební rozpočet'!H2290</f>
      </c>
      <c r="I345" s="111">
        <f>G345*H345</f>
      </c>
      <c r="J345" s="153" t="s">
        <v>134</v>
      </c>
      <c r="K345" s="146"/>
      <c r="Z345" s="111">
        <f>IF(AQ345="5",BJ345,0)</f>
      </c>
      <c r="AB345" s="111">
        <f>IF(AQ345="1",BH345,0)</f>
      </c>
      <c r="AC345" s="111">
        <f>IF(AQ345="1",BI345,0)</f>
      </c>
      <c r="AD345" s="111">
        <f>IF(AQ345="7",BH345,0)</f>
      </c>
      <c r="AE345" s="111">
        <f>IF(AQ345="7",BI345,0)</f>
      </c>
      <c r="AF345" s="111">
        <f>IF(AQ345="2",BH345,0)</f>
      </c>
      <c r="AG345" s="111">
        <f>IF(AQ345="2",BI345,0)</f>
      </c>
      <c r="AH345" s="111">
        <f>IF(AQ345="0",BJ345,0)</f>
      </c>
      <c r="AI345" s="132" t="s">
        <v>87</v>
      </c>
      <c r="AJ345" s="111">
        <f>IF(AN345=0,I345,0)</f>
      </c>
      <c r="AK345" s="111">
        <f>IF(AN345=12,I345,0)</f>
      </c>
      <c r="AL345" s="111">
        <f>IF(AN345=21,I345,0)</f>
      </c>
      <c r="AN345" s="111" t="n">
        <v>21</v>
      </c>
      <c r="AO345" s="111">
        <f>H345*0.217164179</f>
      </c>
      <c r="AP345" s="111">
        <f>H345*(1-0.217164179)</f>
      </c>
      <c r="AQ345" s="153" t="s">
        <v>173</v>
      </c>
      <c r="AV345" s="111">
        <f>AW345+AX345</f>
      </c>
      <c r="AW345" s="111">
        <f>G345*AO345</f>
      </c>
      <c r="AX345" s="111">
        <f>G345*AP345</f>
      </c>
      <c r="AY345" s="153" t="s">
        <v>1949</v>
      </c>
      <c r="AZ345" s="153" t="s">
        <v>3333</v>
      </c>
      <c r="BA345" s="132" t="s">
        <v>2990</v>
      </c>
      <c r="BC345" s="111">
        <f>AW345+AX345</f>
      </c>
      <c r="BD345" s="111">
        <f>H345/(100-BE345)*100</f>
      </c>
      <c r="BE345" s="111" t="n">
        <v>0</v>
      </c>
      <c r="BF345" s="111">
        <f>345</f>
      </c>
      <c r="BH345" s="111">
        <f>G345*AO345</f>
      </c>
      <c r="BI345" s="111">
        <f>G345*AP345</f>
      </c>
      <c r="BJ345" s="111">
        <f>G345*H345</f>
      </c>
      <c r="BK345" s="111"/>
      <c r="BL345" s="111" t="n">
        <v>722</v>
      </c>
      <c r="BW345" s="111" t="n">
        <v>21</v>
      </c>
      <c r="BX345" s="14" t="s">
        <v>3486</v>
      </c>
    </row>
    <row r="346" customHeight="true" ht="13.5">
      <c r="A346" s="159"/>
      <c r="C346" s="160" t="s">
        <v>146</v>
      </c>
      <c r="D346" s="161" t="s">
        <v>3493</v>
      </c>
      <c r="E346" s="156"/>
      <c r="F346" s="156"/>
      <c r="G346" s="156"/>
      <c r="H346" s="156"/>
      <c r="I346" s="156"/>
      <c r="J346" s="156"/>
      <c r="K346" s="163"/>
    </row>
    <row r="347">
      <c r="A347" s="154"/>
      <c r="B347" s="155"/>
      <c r="C347" s="155"/>
      <c r="D347" s="156" t="s">
        <v>288</v>
      </c>
      <c r="E347" s="156" t="s">
        <v>4</v>
      </c>
      <c r="F347" s="155"/>
      <c r="G347" s="157" t="n">
        <v>27</v>
      </c>
      <c r="H347" s="155"/>
      <c r="I347" s="155"/>
      <c r="J347" s="155"/>
      <c r="K347" s="146"/>
    </row>
    <row r="348">
      <c r="A348" s="9" t="s">
        <v>948</v>
      </c>
      <c r="B348" s="10" t="s">
        <v>87</v>
      </c>
      <c r="C348" s="10" t="s">
        <v>3495</v>
      </c>
      <c r="D348" s="14" t="s">
        <v>3486</v>
      </c>
      <c r="E348" s="10"/>
      <c r="F348" s="10" t="s">
        <v>282</v>
      </c>
      <c r="G348" s="111">
        <f>'Stavební rozpočet'!G2293</f>
      </c>
      <c r="H348" s="111">
        <f>'Stavební rozpočet'!H2293</f>
      </c>
      <c r="I348" s="111">
        <f>G348*H348</f>
      </c>
      <c r="J348" s="153" t="s">
        <v>134</v>
      </c>
      <c r="K348" s="146"/>
      <c r="Z348" s="111">
        <f>IF(AQ348="5",BJ348,0)</f>
      </c>
      <c r="AB348" s="111">
        <f>IF(AQ348="1",BH348,0)</f>
      </c>
      <c r="AC348" s="111">
        <f>IF(AQ348="1",BI348,0)</f>
      </c>
      <c r="AD348" s="111">
        <f>IF(AQ348="7",BH348,0)</f>
      </c>
      <c r="AE348" s="111">
        <f>IF(AQ348="7",BI348,0)</f>
      </c>
      <c r="AF348" s="111">
        <f>IF(AQ348="2",BH348,0)</f>
      </c>
      <c r="AG348" s="111">
        <f>IF(AQ348="2",BI348,0)</f>
      </c>
      <c r="AH348" s="111">
        <f>IF(AQ348="0",BJ348,0)</f>
      </c>
      <c r="AI348" s="132" t="s">
        <v>87</v>
      </c>
      <c r="AJ348" s="111">
        <f>IF(AN348=0,I348,0)</f>
      </c>
      <c r="AK348" s="111">
        <f>IF(AN348=12,I348,0)</f>
      </c>
      <c r="AL348" s="111">
        <f>IF(AN348=21,I348,0)</f>
      </c>
      <c r="AN348" s="111" t="n">
        <v>21</v>
      </c>
      <c r="AO348" s="111">
        <f>H348*0.270648372</f>
      </c>
      <c r="AP348" s="111">
        <f>H348*(1-0.270648372)</f>
      </c>
      <c r="AQ348" s="153" t="s">
        <v>173</v>
      </c>
      <c r="AV348" s="111">
        <f>AW348+AX348</f>
      </c>
      <c r="AW348" s="111">
        <f>G348*AO348</f>
      </c>
      <c r="AX348" s="111">
        <f>G348*AP348</f>
      </c>
      <c r="AY348" s="153" t="s">
        <v>1949</v>
      </c>
      <c r="AZ348" s="153" t="s">
        <v>3333</v>
      </c>
      <c r="BA348" s="132" t="s">
        <v>2990</v>
      </c>
      <c r="BC348" s="111">
        <f>AW348+AX348</f>
      </c>
      <c r="BD348" s="111">
        <f>H348/(100-BE348)*100</f>
      </c>
      <c r="BE348" s="111" t="n">
        <v>0</v>
      </c>
      <c r="BF348" s="111">
        <f>348</f>
      </c>
      <c r="BH348" s="111">
        <f>G348*AO348</f>
      </c>
      <c r="BI348" s="111">
        <f>G348*AP348</f>
      </c>
      <c r="BJ348" s="111">
        <f>G348*H348</f>
      </c>
      <c r="BK348" s="111"/>
      <c r="BL348" s="111" t="n">
        <v>722</v>
      </c>
      <c r="BW348" s="111" t="n">
        <v>21</v>
      </c>
      <c r="BX348" s="14" t="s">
        <v>3486</v>
      </c>
    </row>
    <row r="349" customHeight="true" ht="13.5">
      <c r="A349" s="159"/>
      <c r="C349" s="160" t="s">
        <v>146</v>
      </c>
      <c r="D349" s="161" t="s">
        <v>3496</v>
      </c>
      <c r="E349" s="156"/>
      <c r="F349" s="156"/>
      <c r="G349" s="156"/>
      <c r="H349" s="156"/>
      <c r="I349" s="156"/>
      <c r="J349" s="156"/>
      <c r="K349" s="163"/>
    </row>
    <row r="350">
      <c r="A350" s="154"/>
      <c r="B350" s="155"/>
      <c r="C350" s="155"/>
      <c r="D350" s="156" t="s">
        <v>274</v>
      </c>
      <c r="E350" s="156" t="s">
        <v>4</v>
      </c>
      <c r="F350" s="155"/>
      <c r="G350" s="157" t="n">
        <v>23</v>
      </c>
      <c r="H350" s="155"/>
      <c r="I350" s="155"/>
      <c r="J350" s="155"/>
      <c r="K350" s="146"/>
    </row>
    <row r="351">
      <c r="A351" s="9" t="s">
        <v>951</v>
      </c>
      <c r="B351" s="10" t="s">
        <v>87</v>
      </c>
      <c r="C351" s="10" t="s">
        <v>3498</v>
      </c>
      <c r="D351" s="14" t="s">
        <v>3486</v>
      </c>
      <c r="E351" s="10"/>
      <c r="F351" s="10" t="s">
        <v>282</v>
      </c>
      <c r="G351" s="111">
        <f>'Stavební rozpočet'!G2296</f>
      </c>
      <c r="H351" s="111">
        <f>'Stavební rozpočet'!H2296</f>
      </c>
      <c r="I351" s="111">
        <f>G351*H351</f>
      </c>
      <c r="J351" s="153" t="s">
        <v>134</v>
      </c>
      <c r="K351" s="146"/>
      <c r="Z351" s="111">
        <f>IF(AQ351="5",BJ351,0)</f>
      </c>
      <c r="AB351" s="111">
        <f>IF(AQ351="1",BH351,0)</f>
      </c>
      <c r="AC351" s="111">
        <f>IF(AQ351="1",BI351,0)</f>
      </c>
      <c r="AD351" s="111">
        <f>IF(AQ351="7",BH351,0)</f>
      </c>
      <c r="AE351" s="111">
        <f>IF(AQ351="7",BI351,0)</f>
      </c>
      <c r="AF351" s="111">
        <f>IF(AQ351="2",BH351,0)</f>
      </c>
      <c r="AG351" s="111">
        <f>IF(AQ351="2",BI351,0)</f>
      </c>
      <c r="AH351" s="111">
        <f>IF(AQ351="0",BJ351,0)</f>
      </c>
      <c r="AI351" s="132" t="s">
        <v>87</v>
      </c>
      <c r="AJ351" s="111">
        <f>IF(AN351=0,I351,0)</f>
      </c>
      <c r="AK351" s="111">
        <f>IF(AN351=12,I351,0)</f>
      </c>
      <c r="AL351" s="111">
        <f>IF(AN351=21,I351,0)</f>
      </c>
      <c r="AN351" s="111" t="n">
        <v>21</v>
      </c>
      <c r="AO351" s="111">
        <f>H351*0.183885561</f>
      </c>
      <c r="AP351" s="111">
        <f>H351*(1-0.183885561)</f>
      </c>
      <c r="AQ351" s="153" t="s">
        <v>173</v>
      </c>
      <c r="AV351" s="111">
        <f>AW351+AX351</f>
      </c>
      <c r="AW351" s="111">
        <f>G351*AO351</f>
      </c>
      <c r="AX351" s="111">
        <f>G351*AP351</f>
      </c>
      <c r="AY351" s="153" t="s">
        <v>1949</v>
      </c>
      <c r="AZ351" s="153" t="s">
        <v>3333</v>
      </c>
      <c r="BA351" s="132" t="s">
        <v>2990</v>
      </c>
      <c r="BC351" s="111">
        <f>AW351+AX351</f>
      </c>
      <c r="BD351" s="111">
        <f>H351/(100-BE351)*100</f>
      </c>
      <c r="BE351" s="111" t="n">
        <v>0</v>
      </c>
      <c r="BF351" s="111">
        <f>351</f>
      </c>
      <c r="BH351" s="111">
        <f>G351*AO351</f>
      </c>
      <c r="BI351" s="111">
        <f>G351*AP351</f>
      </c>
      <c r="BJ351" s="111">
        <f>G351*H351</f>
      </c>
      <c r="BK351" s="111"/>
      <c r="BL351" s="111" t="n">
        <v>722</v>
      </c>
      <c r="BW351" s="111" t="n">
        <v>21</v>
      </c>
      <c r="BX351" s="14" t="s">
        <v>3486</v>
      </c>
    </row>
    <row r="352" customHeight="true" ht="13.5">
      <c r="A352" s="159"/>
      <c r="C352" s="160" t="s">
        <v>146</v>
      </c>
      <c r="D352" s="161" t="s">
        <v>3499</v>
      </c>
      <c r="E352" s="156"/>
      <c r="F352" s="156"/>
      <c r="G352" s="156"/>
      <c r="H352" s="156"/>
      <c r="I352" s="156"/>
      <c r="J352" s="156"/>
      <c r="K352" s="163"/>
    </row>
    <row r="353">
      <c r="A353" s="154"/>
      <c r="B353" s="155"/>
      <c r="C353" s="155"/>
      <c r="D353" s="156" t="s">
        <v>387</v>
      </c>
      <c r="E353" s="156" t="s">
        <v>4</v>
      </c>
      <c r="F353" s="155"/>
      <c r="G353" s="157" t="n">
        <v>38</v>
      </c>
      <c r="H353" s="155"/>
      <c r="I353" s="155"/>
      <c r="J353" s="155"/>
      <c r="K353" s="146"/>
    </row>
    <row r="354">
      <c r="A354" s="9" t="s">
        <v>957</v>
      </c>
      <c r="B354" s="10" t="s">
        <v>87</v>
      </c>
      <c r="C354" s="10" t="s">
        <v>3501</v>
      </c>
      <c r="D354" s="14" t="s">
        <v>3502</v>
      </c>
      <c r="E354" s="10"/>
      <c r="F354" s="10" t="s">
        <v>282</v>
      </c>
      <c r="G354" s="111">
        <f>'Stavební rozpočet'!G2299</f>
      </c>
      <c r="H354" s="111">
        <f>'Stavební rozpočet'!H2299</f>
      </c>
      <c r="I354" s="111">
        <f>G354*H354</f>
      </c>
      <c r="J354" s="153" t="s">
        <v>134</v>
      </c>
      <c r="K354" s="146"/>
      <c r="Z354" s="111">
        <f>IF(AQ354="5",BJ354,0)</f>
      </c>
      <c r="AB354" s="111">
        <f>IF(AQ354="1",BH354,0)</f>
      </c>
      <c r="AC354" s="111">
        <f>IF(AQ354="1",BI354,0)</f>
      </c>
      <c r="AD354" s="111">
        <f>IF(AQ354="7",BH354,0)</f>
      </c>
      <c r="AE354" s="111">
        <f>IF(AQ354="7",BI354,0)</f>
      </c>
      <c r="AF354" s="111">
        <f>IF(AQ354="2",BH354,0)</f>
      </c>
      <c r="AG354" s="111">
        <f>IF(AQ354="2",BI354,0)</f>
      </c>
      <c r="AH354" s="111">
        <f>IF(AQ354="0",BJ354,0)</f>
      </c>
      <c r="AI354" s="132" t="s">
        <v>87</v>
      </c>
      <c r="AJ354" s="111">
        <f>IF(AN354=0,I354,0)</f>
      </c>
      <c r="AK354" s="111">
        <f>IF(AN354=12,I354,0)</f>
      </c>
      <c r="AL354" s="111">
        <f>IF(AN354=21,I354,0)</f>
      </c>
      <c r="AN354" s="111" t="n">
        <v>21</v>
      </c>
      <c r="AO354" s="111">
        <f>H354*0.29704</f>
      </c>
      <c r="AP354" s="111">
        <f>H354*(1-0.29704)</f>
      </c>
      <c r="AQ354" s="153" t="s">
        <v>173</v>
      </c>
      <c r="AV354" s="111">
        <f>AW354+AX354</f>
      </c>
      <c r="AW354" s="111">
        <f>G354*AO354</f>
      </c>
      <c r="AX354" s="111">
        <f>G354*AP354</f>
      </c>
      <c r="AY354" s="153" t="s">
        <v>1949</v>
      </c>
      <c r="AZ354" s="153" t="s">
        <v>3333</v>
      </c>
      <c r="BA354" s="132" t="s">
        <v>2990</v>
      </c>
      <c r="BC354" s="111">
        <f>AW354+AX354</f>
      </c>
      <c r="BD354" s="111">
        <f>H354/(100-BE354)*100</f>
      </c>
      <c r="BE354" s="111" t="n">
        <v>0</v>
      </c>
      <c r="BF354" s="111">
        <f>354</f>
      </c>
      <c r="BH354" s="111">
        <f>G354*AO354</f>
      </c>
      <c r="BI354" s="111">
        <f>G354*AP354</f>
      </c>
      <c r="BJ354" s="111">
        <f>G354*H354</f>
      </c>
      <c r="BK354" s="111"/>
      <c r="BL354" s="111" t="n">
        <v>722</v>
      </c>
      <c r="BW354" s="111" t="n">
        <v>21</v>
      </c>
      <c r="BX354" s="14" t="s">
        <v>3502</v>
      </c>
    </row>
    <row r="355" customHeight="true" ht="13.5">
      <c r="A355" s="159"/>
      <c r="C355" s="160" t="s">
        <v>146</v>
      </c>
      <c r="D355" s="161" t="s">
        <v>3503</v>
      </c>
      <c r="E355" s="156"/>
      <c r="F355" s="156"/>
      <c r="G355" s="156"/>
      <c r="H355" s="156"/>
      <c r="I355" s="156"/>
      <c r="J355" s="156"/>
      <c r="K355" s="163"/>
    </row>
    <row r="356">
      <c r="A356" s="154"/>
      <c r="B356" s="155"/>
      <c r="C356" s="155"/>
      <c r="D356" s="156" t="s">
        <v>651</v>
      </c>
      <c r="E356" s="156" t="s">
        <v>4</v>
      </c>
      <c r="F356" s="155"/>
      <c r="G356" s="157" t="n">
        <v>79</v>
      </c>
      <c r="H356" s="155"/>
      <c r="I356" s="155"/>
      <c r="J356" s="155"/>
      <c r="K356" s="146"/>
    </row>
    <row r="357">
      <c r="A357" s="9" t="s">
        <v>962</v>
      </c>
      <c r="B357" s="10" t="s">
        <v>87</v>
      </c>
      <c r="C357" s="10" t="s">
        <v>3505</v>
      </c>
      <c r="D357" s="14" t="s">
        <v>3502</v>
      </c>
      <c r="E357" s="10"/>
      <c r="F357" s="10" t="s">
        <v>282</v>
      </c>
      <c r="G357" s="111">
        <f>'Stavební rozpočet'!G2302</f>
      </c>
      <c r="H357" s="111">
        <f>'Stavební rozpočet'!H2302</f>
      </c>
      <c r="I357" s="111">
        <f>G357*H357</f>
      </c>
      <c r="J357" s="153" t="s">
        <v>134</v>
      </c>
      <c r="K357" s="146"/>
      <c r="Z357" s="111">
        <f>IF(AQ357="5",BJ357,0)</f>
      </c>
      <c r="AB357" s="111">
        <f>IF(AQ357="1",BH357,0)</f>
      </c>
      <c r="AC357" s="111">
        <f>IF(AQ357="1",BI357,0)</f>
      </c>
      <c r="AD357" s="111">
        <f>IF(AQ357="7",BH357,0)</f>
      </c>
      <c r="AE357" s="111">
        <f>IF(AQ357="7",BI357,0)</f>
      </c>
      <c r="AF357" s="111">
        <f>IF(AQ357="2",BH357,0)</f>
      </c>
      <c r="AG357" s="111">
        <f>IF(AQ357="2",BI357,0)</f>
      </c>
      <c r="AH357" s="111">
        <f>IF(AQ357="0",BJ357,0)</f>
      </c>
      <c r="AI357" s="132" t="s">
        <v>87</v>
      </c>
      <c r="AJ357" s="111">
        <f>IF(AN357=0,I357,0)</f>
      </c>
      <c r="AK357" s="111">
        <f>IF(AN357=12,I357,0)</f>
      </c>
      <c r="AL357" s="111">
        <f>IF(AN357=21,I357,0)</f>
      </c>
      <c r="AN357" s="111" t="n">
        <v>21</v>
      </c>
      <c r="AO357" s="111">
        <f>H357*0.288698885</f>
      </c>
      <c r="AP357" s="111">
        <f>H357*(1-0.288698885)</f>
      </c>
      <c r="AQ357" s="153" t="s">
        <v>173</v>
      </c>
      <c r="AV357" s="111">
        <f>AW357+AX357</f>
      </c>
      <c r="AW357" s="111">
        <f>G357*AO357</f>
      </c>
      <c r="AX357" s="111">
        <f>G357*AP357</f>
      </c>
      <c r="AY357" s="153" t="s">
        <v>1949</v>
      </c>
      <c r="AZ357" s="153" t="s">
        <v>3333</v>
      </c>
      <c r="BA357" s="132" t="s">
        <v>2990</v>
      </c>
      <c r="BC357" s="111">
        <f>AW357+AX357</f>
      </c>
      <c r="BD357" s="111">
        <f>H357/(100-BE357)*100</f>
      </c>
      <c r="BE357" s="111" t="n">
        <v>0</v>
      </c>
      <c r="BF357" s="111">
        <f>357</f>
      </c>
      <c r="BH357" s="111">
        <f>G357*AO357</f>
      </c>
      <c r="BI357" s="111">
        <f>G357*AP357</f>
      </c>
      <c r="BJ357" s="111">
        <f>G357*H357</f>
      </c>
      <c r="BK357" s="111"/>
      <c r="BL357" s="111" t="n">
        <v>722</v>
      </c>
      <c r="BW357" s="111" t="n">
        <v>21</v>
      </c>
      <c r="BX357" s="14" t="s">
        <v>3502</v>
      </c>
    </row>
    <row r="358" customHeight="true" ht="13.5">
      <c r="A358" s="159"/>
      <c r="C358" s="160" t="s">
        <v>146</v>
      </c>
      <c r="D358" s="161" t="s">
        <v>3506</v>
      </c>
      <c r="E358" s="156"/>
      <c r="F358" s="156"/>
      <c r="G358" s="156"/>
      <c r="H358" s="156"/>
      <c r="I358" s="156"/>
      <c r="J358" s="156"/>
      <c r="K358" s="163"/>
    </row>
    <row r="359">
      <c r="A359" s="154"/>
      <c r="B359" s="155"/>
      <c r="C359" s="155"/>
      <c r="D359" s="156" t="s">
        <v>138</v>
      </c>
      <c r="E359" s="156" t="s">
        <v>4</v>
      </c>
      <c r="F359" s="155"/>
      <c r="G359" s="157" t="n">
        <v>3</v>
      </c>
      <c r="H359" s="155"/>
      <c r="I359" s="155"/>
      <c r="J359" s="155"/>
      <c r="K359" s="146"/>
    </row>
    <row r="360">
      <c r="A360" s="9" t="s">
        <v>967</v>
      </c>
      <c r="B360" s="10" t="s">
        <v>87</v>
      </c>
      <c r="C360" s="10" t="s">
        <v>3508</v>
      </c>
      <c r="D360" s="14" t="s">
        <v>3502</v>
      </c>
      <c r="E360" s="10"/>
      <c r="F360" s="10" t="s">
        <v>282</v>
      </c>
      <c r="G360" s="111">
        <f>'Stavební rozpočet'!G2305</f>
      </c>
      <c r="H360" s="111">
        <f>'Stavební rozpočet'!H2305</f>
      </c>
      <c r="I360" s="111">
        <f>G360*H360</f>
      </c>
      <c r="J360" s="153" t="s">
        <v>134</v>
      </c>
      <c r="K360" s="146"/>
      <c r="Z360" s="111">
        <f>IF(AQ360="5",BJ360,0)</f>
      </c>
      <c r="AB360" s="111">
        <f>IF(AQ360="1",BH360,0)</f>
      </c>
      <c r="AC360" s="111">
        <f>IF(AQ360="1",BI360,0)</f>
      </c>
      <c r="AD360" s="111">
        <f>IF(AQ360="7",BH360,0)</f>
      </c>
      <c r="AE360" s="111">
        <f>IF(AQ360="7",BI360,0)</f>
      </c>
      <c r="AF360" s="111">
        <f>IF(AQ360="2",BH360,0)</f>
      </c>
      <c r="AG360" s="111">
        <f>IF(AQ360="2",BI360,0)</f>
      </c>
      <c r="AH360" s="111">
        <f>IF(AQ360="0",BJ360,0)</f>
      </c>
      <c r="AI360" s="132" t="s">
        <v>87</v>
      </c>
      <c r="AJ360" s="111">
        <f>IF(AN360=0,I360,0)</f>
      </c>
      <c r="AK360" s="111">
        <f>IF(AN360=12,I360,0)</f>
      </c>
      <c r="AL360" s="111">
        <f>IF(AN360=21,I360,0)</f>
      </c>
      <c r="AN360" s="111" t="n">
        <v>21</v>
      </c>
      <c r="AO360" s="111">
        <f>H360*0.363938462</f>
      </c>
      <c r="AP360" s="111">
        <f>H360*(1-0.363938462)</f>
      </c>
      <c r="AQ360" s="153" t="s">
        <v>173</v>
      </c>
      <c r="AV360" s="111">
        <f>AW360+AX360</f>
      </c>
      <c r="AW360" s="111">
        <f>G360*AO360</f>
      </c>
      <c r="AX360" s="111">
        <f>G360*AP360</f>
      </c>
      <c r="AY360" s="153" t="s">
        <v>1949</v>
      </c>
      <c r="AZ360" s="153" t="s">
        <v>3333</v>
      </c>
      <c r="BA360" s="132" t="s">
        <v>2990</v>
      </c>
      <c r="BC360" s="111">
        <f>AW360+AX360</f>
      </c>
      <c r="BD360" s="111">
        <f>H360/(100-BE360)*100</f>
      </c>
      <c r="BE360" s="111" t="n">
        <v>0</v>
      </c>
      <c r="BF360" s="111">
        <f>360</f>
      </c>
      <c r="BH360" s="111">
        <f>G360*AO360</f>
      </c>
      <c r="BI360" s="111">
        <f>G360*AP360</f>
      </c>
      <c r="BJ360" s="111">
        <f>G360*H360</f>
      </c>
      <c r="BK360" s="111"/>
      <c r="BL360" s="111" t="n">
        <v>722</v>
      </c>
      <c r="BW360" s="111" t="n">
        <v>21</v>
      </c>
      <c r="BX360" s="14" t="s">
        <v>3502</v>
      </c>
    </row>
    <row r="361" customHeight="true" ht="13.5">
      <c r="A361" s="159"/>
      <c r="C361" s="160" t="s">
        <v>146</v>
      </c>
      <c r="D361" s="161" t="s">
        <v>3509</v>
      </c>
      <c r="E361" s="156"/>
      <c r="F361" s="156"/>
      <c r="G361" s="156"/>
      <c r="H361" s="156"/>
      <c r="I361" s="156"/>
      <c r="J361" s="156"/>
      <c r="K361" s="163"/>
    </row>
    <row r="362">
      <c r="A362" s="154"/>
      <c r="B362" s="155"/>
      <c r="C362" s="155"/>
      <c r="D362" s="156" t="s">
        <v>176</v>
      </c>
      <c r="E362" s="156" t="s">
        <v>4</v>
      </c>
      <c r="F362" s="155"/>
      <c r="G362" s="157" t="n">
        <v>8</v>
      </c>
      <c r="H362" s="155"/>
      <c r="I362" s="155"/>
      <c r="J362" s="155"/>
      <c r="K362" s="146"/>
    </row>
    <row r="363">
      <c r="A363" s="9" t="s">
        <v>971</v>
      </c>
      <c r="B363" s="10" t="s">
        <v>87</v>
      </c>
      <c r="C363" s="10" t="s">
        <v>3511</v>
      </c>
      <c r="D363" s="14" t="s">
        <v>3512</v>
      </c>
      <c r="E363" s="10"/>
      <c r="F363" s="10" t="s">
        <v>282</v>
      </c>
      <c r="G363" s="111">
        <f>'Stavební rozpočet'!G2308</f>
      </c>
      <c r="H363" s="111">
        <f>'Stavební rozpočet'!H2308</f>
      </c>
      <c r="I363" s="111">
        <f>G363*H363</f>
      </c>
      <c r="J363" s="153" t="s">
        <v>134</v>
      </c>
      <c r="K363" s="146"/>
      <c r="Z363" s="111">
        <f>IF(AQ363="5",BJ363,0)</f>
      </c>
      <c r="AB363" s="111">
        <f>IF(AQ363="1",BH363,0)</f>
      </c>
      <c r="AC363" s="111">
        <f>IF(AQ363="1",BI363,0)</f>
      </c>
      <c r="AD363" s="111">
        <f>IF(AQ363="7",BH363,0)</f>
      </c>
      <c r="AE363" s="111">
        <f>IF(AQ363="7",BI363,0)</f>
      </c>
      <c r="AF363" s="111">
        <f>IF(AQ363="2",BH363,0)</f>
      </c>
      <c r="AG363" s="111">
        <f>IF(AQ363="2",BI363,0)</f>
      </c>
      <c r="AH363" s="111">
        <f>IF(AQ363="0",BJ363,0)</f>
      </c>
      <c r="AI363" s="132" t="s">
        <v>87</v>
      </c>
      <c r="AJ363" s="111">
        <f>IF(AN363=0,I363,0)</f>
      </c>
      <c r="AK363" s="111">
        <f>IF(AN363=12,I363,0)</f>
      </c>
      <c r="AL363" s="111">
        <f>IF(AN363=21,I363,0)</f>
      </c>
      <c r="AN363" s="111" t="n">
        <v>21</v>
      </c>
      <c r="AO363" s="111">
        <f>H363*0.485128054</f>
      </c>
      <c r="AP363" s="111">
        <f>H363*(1-0.485128054)</f>
      </c>
      <c r="AQ363" s="153" t="s">
        <v>173</v>
      </c>
      <c r="AV363" s="111">
        <f>AW363+AX363</f>
      </c>
      <c r="AW363" s="111">
        <f>G363*AO363</f>
      </c>
      <c r="AX363" s="111">
        <f>G363*AP363</f>
      </c>
      <c r="AY363" s="153" t="s">
        <v>1949</v>
      </c>
      <c r="AZ363" s="153" t="s">
        <v>3333</v>
      </c>
      <c r="BA363" s="132" t="s">
        <v>2990</v>
      </c>
      <c r="BC363" s="111">
        <f>AW363+AX363</f>
      </c>
      <c r="BD363" s="111">
        <f>H363/(100-BE363)*100</f>
      </c>
      <c r="BE363" s="111" t="n">
        <v>0</v>
      </c>
      <c r="BF363" s="111">
        <f>363</f>
      </c>
      <c r="BH363" s="111">
        <f>G363*AO363</f>
      </c>
      <c r="BI363" s="111">
        <f>G363*AP363</f>
      </c>
      <c r="BJ363" s="111">
        <f>G363*H363</f>
      </c>
      <c r="BK363" s="111"/>
      <c r="BL363" s="111" t="n">
        <v>722</v>
      </c>
      <c r="BW363" s="111" t="n">
        <v>21</v>
      </c>
      <c r="BX363" s="14" t="s">
        <v>3512</v>
      </c>
    </row>
    <row r="364" customHeight="true" ht="13.5">
      <c r="A364" s="159"/>
      <c r="C364" s="160" t="s">
        <v>146</v>
      </c>
      <c r="D364" s="161" t="s">
        <v>3499</v>
      </c>
      <c r="E364" s="156"/>
      <c r="F364" s="156"/>
      <c r="G364" s="156"/>
      <c r="H364" s="156"/>
      <c r="I364" s="156"/>
      <c r="J364" s="156"/>
      <c r="K364" s="163"/>
    </row>
    <row r="365">
      <c r="A365" s="154"/>
      <c r="B365" s="155"/>
      <c r="C365" s="155"/>
      <c r="D365" s="156" t="s">
        <v>539</v>
      </c>
      <c r="E365" s="156" t="s">
        <v>4</v>
      </c>
      <c r="F365" s="155"/>
      <c r="G365" s="157" t="n">
        <v>62</v>
      </c>
      <c r="H365" s="155"/>
      <c r="I365" s="155"/>
      <c r="J365" s="155"/>
      <c r="K365" s="146"/>
    </row>
    <row r="366">
      <c r="A366" s="9" t="s">
        <v>1012</v>
      </c>
      <c r="B366" s="10" t="s">
        <v>87</v>
      </c>
      <c r="C366" s="10" t="s">
        <v>3514</v>
      </c>
      <c r="D366" s="14" t="s">
        <v>3512</v>
      </c>
      <c r="E366" s="10"/>
      <c r="F366" s="10" t="s">
        <v>282</v>
      </c>
      <c r="G366" s="111">
        <f>'Stavební rozpočet'!G2311</f>
      </c>
      <c r="H366" s="111">
        <f>'Stavební rozpočet'!H2311</f>
      </c>
      <c r="I366" s="111">
        <f>G366*H366</f>
      </c>
      <c r="J366" s="153" t="s">
        <v>134</v>
      </c>
      <c r="K366" s="146"/>
      <c r="Z366" s="111">
        <f>IF(AQ366="5",BJ366,0)</f>
      </c>
      <c r="AB366" s="111">
        <f>IF(AQ366="1",BH366,0)</f>
      </c>
      <c r="AC366" s="111">
        <f>IF(AQ366="1",BI366,0)</f>
      </c>
      <c r="AD366" s="111">
        <f>IF(AQ366="7",BH366,0)</f>
      </c>
      <c r="AE366" s="111">
        <f>IF(AQ366="7",BI366,0)</f>
      </c>
      <c r="AF366" s="111">
        <f>IF(AQ366="2",BH366,0)</f>
      </c>
      <c r="AG366" s="111">
        <f>IF(AQ366="2",BI366,0)</f>
      </c>
      <c r="AH366" s="111">
        <f>IF(AQ366="0",BJ366,0)</f>
      </c>
      <c r="AI366" s="132" t="s">
        <v>87</v>
      </c>
      <c r="AJ366" s="111">
        <f>IF(AN366=0,I366,0)</f>
      </c>
      <c r="AK366" s="111">
        <f>IF(AN366=12,I366,0)</f>
      </c>
      <c r="AL366" s="111">
        <f>IF(AN366=21,I366,0)</f>
      </c>
      <c r="AN366" s="111" t="n">
        <v>21</v>
      </c>
      <c r="AO366" s="111">
        <f>H366*0.522044591</f>
      </c>
      <c r="AP366" s="111">
        <f>H366*(1-0.522044591)</f>
      </c>
      <c r="AQ366" s="153" t="s">
        <v>173</v>
      </c>
      <c r="AV366" s="111">
        <f>AW366+AX366</f>
      </c>
      <c r="AW366" s="111">
        <f>G366*AO366</f>
      </c>
      <c r="AX366" s="111">
        <f>G366*AP366</f>
      </c>
      <c r="AY366" s="153" t="s">
        <v>1949</v>
      </c>
      <c r="AZ366" s="153" t="s">
        <v>3333</v>
      </c>
      <c r="BA366" s="132" t="s">
        <v>2990</v>
      </c>
      <c r="BC366" s="111">
        <f>AW366+AX366</f>
      </c>
      <c r="BD366" s="111">
        <f>H366/(100-BE366)*100</f>
      </c>
      <c r="BE366" s="111" t="n">
        <v>0</v>
      </c>
      <c r="BF366" s="111">
        <f>366</f>
      </c>
      <c r="BH366" s="111">
        <f>G366*AO366</f>
      </c>
      <c r="BI366" s="111">
        <f>G366*AP366</f>
      </c>
      <c r="BJ366" s="111">
        <f>G366*H366</f>
      </c>
      <c r="BK366" s="111"/>
      <c r="BL366" s="111" t="n">
        <v>722</v>
      </c>
      <c r="BW366" s="111" t="n">
        <v>21</v>
      </c>
      <c r="BX366" s="14" t="s">
        <v>3512</v>
      </c>
    </row>
    <row r="367" customHeight="true" ht="13.5">
      <c r="A367" s="159"/>
      <c r="C367" s="160" t="s">
        <v>146</v>
      </c>
      <c r="D367" s="161" t="s">
        <v>3487</v>
      </c>
      <c r="E367" s="156"/>
      <c r="F367" s="156"/>
      <c r="G367" s="156"/>
      <c r="H367" s="156"/>
      <c r="I367" s="156"/>
      <c r="J367" s="156"/>
      <c r="K367" s="163"/>
    </row>
    <row r="368">
      <c r="A368" s="154"/>
      <c r="B368" s="155"/>
      <c r="C368" s="155"/>
      <c r="D368" s="156" t="s">
        <v>480</v>
      </c>
      <c r="E368" s="156" t="s">
        <v>4</v>
      </c>
      <c r="F368" s="155"/>
      <c r="G368" s="157" t="n">
        <v>51</v>
      </c>
      <c r="H368" s="155"/>
      <c r="I368" s="155"/>
      <c r="J368" s="155"/>
      <c r="K368" s="146"/>
    </row>
    <row r="369">
      <c r="A369" s="9" t="s">
        <v>1017</v>
      </c>
      <c r="B369" s="10" t="s">
        <v>87</v>
      </c>
      <c r="C369" s="10" t="s">
        <v>3516</v>
      </c>
      <c r="D369" s="14" t="s">
        <v>3512</v>
      </c>
      <c r="E369" s="10"/>
      <c r="F369" s="10" t="s">
        <v>282</v>
      </c>
      <c r="G369" s="111">
        <f>'Stavební rozpočet'!G2314</f>
      </c>
      <c r="H369" s="111">
        <f>'Stavební rozpočet'!H2314</f>
      </c>
      <c r="I369" s="111">
        <f>G369*H369</f>
      </c>
      <c r="J369" s="153" t="s">
        <v>134</v>
      </c>
      <c r="K369" s="146"/>
      <c r="Z369" s="111">
        <f>IF(AQ369="5",BJ369,0)</f>
      </c>
      <c r="AB369" s="111">
        <f>IF(AQ369="1",BH369,0)</f>
      </c>
      <c r="AC369" s="111">
        <f>IF(AQ369="1",BI369,0)</f>
      </c>
      <c r="AD369" s="111">
        <f>IF(AQ369="7",BH369,0)</f>
      </c>
      <c r="AE369" s="111">
        <f>IF(AQ369="7",BI369,0)</f>
      </c>
      <c r="AF369" s="111">
        <f>IF(AQ369="2",BH369,0)</f>
      </c>
      <c r="AG369" s="111">
        <f>IF(AQ369="2",BI369,0)</f>
      </c>
      <c r="AH369" s="111">
        <f>IF(AQ369="0",BJ369,0)</f>
      </c>
      <c r="AI369" s="132" t="s">
        <v>87</v>
      </c>
      <c r="AJ369" s="111">
        <f>IF(AN369=0,I369,0)</f>
      </c>
      <c r="AK369" s="111">
        <f>IF(AN369=12,I369,0)</f>
      </c>
      <c r="AL369" s="111">
        <f>IF(AN369=21,I369,0)</f>
      </c>
      <c r="AN369" s="111" t="n">
        <v>21</v>
      </c>
      <c r="AO369" s="111">
        <f>H369*0.526516129</f>
      </c>
      <c r="AP369" s="111">
        <f>H369*(1-0.526516129)</f>
      </c>
      <c r="AQ369" s="153" t="s">
        <v>173</v>
      </c>
      <c r="AV369" s="111">
        <f>AW369+AX369</f>
      </c>
      <c r="AW369" s="111">
        <f>G369*AO369</f>
      </c>
      <c r="AX369" s="111">
        <f>G369*AP369</f>
      </c>
      <c r="AY369" s="153" t="s">
        <v>1949</v>
      </c>
      <c r="AZ369" s="153" t="s">
        <v>3333</v>
      </c>
      <c r="BA369" s="132" t="s">
        <v>2990</v>
      </c>
      <c r="BC369" s="111">
        <f>AW369+AX369</f>
      </c>
      <c r="BD369" s="111">
        <f>H369/(100-BE369)*100</f>
      </c>
      <c r="BE369" s="111" t="n">
        <v>0</v>
      </c>
      <c r="BF369" s="111">
        <f>369</f>
      </c>
      <c r="BH369" s="111">
        <f>G369*AO369</f>
      </c>
      <c r="BI369" s="111">
        <f>G369*AP369</f>
      </c>
      <c r="BJ369" s="111">
        <f>G369*H369</f>
      </c>
      <c r="BK369" s="111"/>
      <c r="BL369" s="111" t="n">
        <v>722</v>
      </c>
      <c r="BW369" s="111" t="n">
        <v>21</v>
      </c>
      <c r="BX369" s="14" t="s">
        <v>3512</v>
      </c>
    </row>
    <row r="370" customHeight="true" ht="13.5">
      <c r="A370" s="159"/>
      <c r="C370" s="160" t="s">
        <v>146</v>
      </c>
      <c r="D370" s="161" t="s">
        <v>3490</v>
      </c>
      <c r="E370" s="156"/>
      <c r="F370" s="156"/>
      <c r="G370" s="156"/>
      <c r="H370" s="156"/>
      <c r="I370" s="156"/>
      <c r="J370" s="156"/>
      <c r="K370" s="163"/>
    </row>
    <row r="371">
      <c r="A371" s="154"/>
      <c r="B371" s="155"/>
      <c r="C371" s="155"/>
      <c r="D371" s="156" t="s">
        <v>484</v>
      </c>
      <c r="E371" s="156" t="s">
        <v>4</v>
      </c>
      <c r="F371" s="155"/>
      <c r="G371" s="157" t="n">
        <v>52</v>
      </c>
      <c r="H371" s="155"/>
      <c r="I371" s="155"/>
      <c r="J371" s="155"/>
      <c r="K371" s="146"/>
    </row>
    <row r="372">
      <c r="A372" s="9" t="s">
        <v>1022</v>
      </c>
      <c r="B372" s="10" t="s">
        <v>87</v>
      </c>
      <c r="C372" s="10" t="s">
        <v>3518</v>
      </c>
      <c r="D372" s="14" t="s">
        <v>3519</v>
      </c>
      <c r="E372" s="10"/>
      <c r="F372" s="10" t="s">
        <v>282</v>
      </c>
      <c r="G372" s="111">
        <f>'Stavební rozpočet'!G2317</f>
      </c>
      <c r="H372" s="111">
        <f>'Stavební rozpočet'!H2317</f>
      </c>
      <c r="I372" s="111">
        <f>G372*H372</f>
      </c>
      <c r="J372" s="153" t="s">
        <v>134</v>
      </c>
      <c r="K372" s="146"/>
      <c r="Z372" s="111">
        <f>IF(AQ372="5",BJ372,0)</f>
      </c>
      <c r="AB372" s="111">
        <f>IF(AQ372="1",BH372,0)</f>
      </c>
      <c r="AC372" s="111">
        <f>IF(AQ372="1",BI372,0)</f>
      </c>
      <c r="AD372" s="111">
        <f>IF(AQ372="7",BH372,0)</f>
      </c>
      <c r="AE372" s="111">
        <f>IF(AQ372="7",BI372,0)</f>
      </c>
      <c r="AF372" s="111">
        <f>IF(AQ372="2",BH372,0)</f>
      </c>
      <c r="AG372" s="111">
        <f>IF(AQ372="2",BI372,0)</f>
      </c>
      <c r="AH372" s="111">
        <f>IF(AQ372="0",BJ372,0)</f>
      </c>
      <c r="AI372" s="132" t="s">
        <v>87</v>
      </c>
      <c r="AJ372" s="111">
        <f>IF(AN372=0,I372,0)</f>
      </c>
      <c r="AK372" s="111">
        <f>IF(AN372=12,I372,0)</f>
      </c>
      <c r="AL372" s="111">
        <f>IF(AN372=21,I372,0)</f>
      </c>
      <c r="AN372" s="111" t="n">
        <v>21</v>
      </c>
      <c r="AO372" s="111">
        <f>H372*0.525466347</f>
      </c>
      <c r="AP372" s="111">
        <f>H372*(1-0.525466347)</f>
      </c>
      <c r="AQ372" s="153" t="s">
        <v>173</v>
      </c>
      <c r="AV372" s="111">
        <f>AW372+AX372</f>
      </c>
      <c r="AW372" s="111">
        <f>G372*AO372</f>
      </c>
      <c r="AX372" s="111">
        <f>G372*AP372</f>
      </c>
      <c r="AY372" s="153" t="s">
        <v>1949</v>
      </c>
      <c r="AZ372" s="153" t="s">
        <v>3333</v>
      </c>
      <c r="BA372" s="132" t="s">
        <v>2990</v>
      </c>
      <c r="BC372" s="111">
        <f>AW372+AX372</f>
      </c>
      <c r="BD372" s="111">
        <f>H372/(100-BE372)*100</f>
      </c>
      <c r="BE372" s="111" t="n">
        <v>0</v>
      </c>
      <c r="BF372" s="111">
        <f>372</f>
      </c>
      <c r="BH372" s="111">
        <f>G372*AO372</f>
      </c>
      <c r="BI372" s="111">
        <f>G372*AP372</f>
      </c>
      <c r="BJ372" s="111">
        <f>G372*H372</f>
      </c>
      <c r="BK372" s="111"/>
      <c r="BL372" s="111" t="n">
        <v>722</v>
      </c>
      <c r="BW372" s="111" t="n">
        <v>21</v>
      </c>
      <c r="BX372" s="14" t="s">
        <v>3519</v>
      </c>
    </row>
    <row r="373" customHeight="true" ht="13.5">
      <c r="A373" s="159"/>
      <c r="C373" s="160" t="s">
        <v>146</v>
      </c>
      <c r="D373" s="161" t="s">
        <v>3496</v>
      </c>
      <c r="E373" s="156"/>
      <c r="F373" s="156"/>
      <c r="G373" s="156"/>
      <c r="H373" s="156"/>
      <c r="I373" s="156"/>
      <c r="J373" s="156"/>
      <c r="K373" s="163"/>
    </row>
    <row r="374">
      <c r="A374" s="154"/>
      <c r="B374" s="155"/>
      <c r="C374" s="155"/>
      <c r="D374" s="156" t="s">
        <v>183</v>
      </c>
      <c r="E374" s="156" t="s">
        <v>4</v>
      </c>
      <c r="F374" s="155"/>
      <c r="G374" s="157" t="n">
        <v>9</v>
      </c>
      <c r="H374" s="155"/>
      <c r="I374" s="155"/>
      <c r="J374" s="155"/>
      <c r="K374" s="146"/>
    </row>
    <row r="375">
      <c r="A375" s="9" t="s">
        <v>1037</v>
      </c>
      <c r="B375" s="10" t="s">
        <v>87</v>
      </c>
      <c r="C375" s="10" t="s">
        <v>3521</v>
      </c>
      <c r="D375" s="14" t="s">
        <v>3512</v>
      </c>
      <c r="E375" s="10"/>
      <c r="F375" s="10" t="s">
        <v>282</v>
      </c>
      <c r="G375" s="111">
        <f>'Stavební rozpočet'!G2320</f>
      </c>
      <c r="H375" s="111">
        <f>'Stavební rozpočet'!H2320</f>
      </c>
      <c r="I375" s="111">
        <f>G375*H375</f>
      </c>
      <c r="J375" s="153" t="s">
        <v>134</v>
      </c>
      <c r="K375" s="146"/>
      <c r="Z375" s="111">
        <f>IF(AQ375="5",BJ375,0)</f>
      </c>
      <c r="AB375" s="111">
        <f>IF(AQ375="1",BH375,0)</f>
      </c>
      <c r="AC375" s="111">
        <f>IF(AQ375="1",BI375,0)</f>
      </c>
      <c r="AD375" s="111">
        <f>IF(AQ375="7",BH375,0)</f>
      </c>
      <c r="AE375" s="111">
        <f>IF(AQ375="7",BI375,0)</f>
      </c>
      <c r="AF375" s="111">
        <f>IF(AQ375="2",BH375,0)</f>
      </c>
      <c r="AG375" s="111">
        <f>IF(AQ375="2",BI375,0)</f>
      </c>
      <c r="AH375" s="111">
        <f>IF(AQ375="0",BJ375,0)</f>
      </c>
      <c r="AI375" s="132" t="s">
        <v>87</v>
      </c>
      <c r="AJ375" s="111">
        <f>IF(AN375=0,I375,0)</f>
      </c>
      <c r="AK375" s="111">
        <f>IF(AN375=12,I375,0)</f>
      </c>
      <c r="AL375" s="111">
        <f>IF(AN375=21,I375,0)</f>
      </c>
      <c r="AN375" s="111" t="n">
        <v>21</v>
      </c>
      <c r="AO375" s="111">
        <f>H375*0.5607</f>
      </c>
      <c r="AP375" s="111">
        <f>H375*(1-0.5607)</f>
      </c>
      <c r="AQ375" s="153" t="s">
        <v>173</v>
      </c>
      <c r="AV375" s="111">
        <f>AW375+AX375</f>
      </c>
      <c r="AW375" s="111">
        <f>G375*AO375</f>
      </c>
      <c r="AX375" s="111">
        <f>G375*AP375</f>
      </c>
      <c r="AY375" s="153" t="s">
        <v>1949</v>
      </c>
      <c r="AZ375" s="153" t="s">
        <v>3333</v>
      </c>
      <c r="BA375" s="132" t="s">
        <v>2990</v>
      </c>
      <c r="BC375" s="111">
        <f>AW375+AX375</f>
      </c>
      <c r="BD375" s="111">
        <f>H375/(100-BE375)*100</f>
      </c>
      <c r="BE375" s="111" t="n">
        <v>0</v>
      </c>
      <c r="BF375" s="111">
        <f>375</f>
      </c>
      <c r="BH375" s="111">
        <f>G375*AO375</f>
      </c>
      <c r="BI375" s="111">
        <f>G375*AP375</f>
      </c>
      <c r="BJ375" s="111">
        <f>G375*H375</f>
      </c>
      <c r="BK375" s="111"/>
      <c r="BL375" s="111" t="n">
        <v>722</v>
      </c>
      <c r="BW375" s="111" t="n">
        <v>21</v>
      </c>
      <c r="BX375" s="14" t="s">
        <v>3512</v>
      </c>
    </row>
    <row r="376" customHeight="true" ht="13.5">
      <c r="A376" s="159"/>
      <c r="C376" s="160" t="s">
        <v>146</v>
      </c>
      <c r="D376" s="161" t="s">
        <v>3503</v>
      </c>
      <c r="E376" s="156"/>
      <c r="F376" s="156"/>
      <c r="G376" s="156"/>
      <c r="H376" s="156"/>
      <c r="I376" s="156"/>
      <c r="J376" s="156"/>
      <c r="K376" s="163"/>
    </row>
    <row r="377">
      <c r="A377" s="154"/>
      <c r="B377" s="155"/>
      <c r="C377" s="155"/>
      <c r="D377" s="156" t="s">
        <v>183</v>
      </c>
      <c r="E377" s="156" t="s">
        <v>4</v>
      </c>
      <c r="F377" s="155"/>
      <c r="G377" s="157" t="n">
        <v>9</v>
      </c>
      <c r="H377" s="155"/>
      <c r="I377" s="155"/>
      <c r="J377" s="155"/>
      <c r="K377" s="146"/>
    </row>
    <row r="378">
      <c r="A378" s="9" t="s">
        <v>1042</v>
      </c>
      <c r="B378" s="10" t="s">
        <v>87</v>
      </c>
      <c r="C378" s="10" t="s">
        <v>3523</v>
      </c>
      <c r="D378" s="14" t="s">
        <v>3524</v>
      </c>
      <c r="E378" s="10"/>
      <c r="F378" s="10" t="s">
        <v>1962</v>
      </c>
      <c r="G378" s="111">
        <f>'Stavební rozpočet'!G2323</f>
      </c>
      <c r="H378" s="111">
        <f>'Stavební rozpočet'!H2323</f>
      </c>
      <c r="I378" s="111">
        <f>G378*H378</f>
      </c>
      <c r="J378" s="153" t="s">
        <v>134</v>
      </c>
      <c r="K378" s="146"/>
      <c r="Z378" s="111">
        <f>IF(AQ378="5",BJ378,0)</f>
      </c>
      <c r="AB378" s="111">
        <f>IF(AQ378="1",BH378,0)</f>
      </c>
      <c r="AC378" s="111">
        <f>IF(AQ378="1",BI378,0)</f>
      </c>
      <c r="AD378" s="111">
        <f>IF(AQ378="7",BH378,0)</f>
      </c>
      <c r="AE378" s="111">
        <f>IF(AQ378="7",BI378,0)</f>
      </c>
      <c r="AF378" s="111">
        <f>IF(AQ378="2",BH378,0)</f>
      </c>
      <c r="AG378" s="111">
        <f>IF(AQ378="2",BI378,0)</f>
      </c>
      <c r="AH378" s="111">
        <f>IF(AQ378="0",BJ378,0)</f>
      </c>
      <c r="AI378" s="132" t="s">
        <v>87</v>
      </c>
      <c r="AJ378" s="111">
        <f>IF(AN378=0,I378,0)</f>
      </c>
      <c r="AK378" s="111">
        <f>IF(AN378=12,I378,0)</f>
      </c>
      <c r="AL378" s="111">
        <f>IF(AN378=21,I378,0)</f>
      </c>
      <c r="AN378" s="111" t="n">
        <v>21</v>
      </c>
      <c r="AO378" s="111">
        <f>H378*0.714036129</f>
      </c>
      <c r="AP378" s="111">
        <f>H378*(1-0.714036129)</f>
      </c>
      <c r="AQ378" s="153" t="s">
        <v>173</v>
      </c>
      <c r="AV378" s="111">
        <f>AW378+AX378</f>
      </c>
      <c r="AW378" s="111">
        <f>G378*AO378</f>
      </c>
      <c r="AX378" s="111">
        <f>G378*AP378</f>
      </c>
      <c r="AY378" s="153" t="s">
        <v>1949</v>
      </c>
      <c r="AZ378" s="153" t="s">
        <v>3333</v>
      </c>
      <c r="BA378" s="132" t="s">
        <v>2990</v>
      </c>
      <c r="BC378" s="111">
        <f>AW378+AX378</f>
      </c>
      <c r="BD378" s="111">
        <f>H378/(100-BE378)*100</f>
      </c>
      <c r="BE378" s="111" t="n">
        <v>0</v>
      </c>
      <c r="BF378" s="111">
        <f>378</f>
      </c>
      <c r="BH378" s="111">
        <f>G378*AO378</f>
      </c>
      <c r="BI378" s="111">
        <f>G378*AP378</f>
      </c>
      <c r="BJ378" s="111">
        <f>G378*H378</f>
      </c>
      <c r="BK378" s="111"/>
      <c r="BL378" s="111" t="n">
        <v>722</v>
      </c>
      <c r="BW378" s="111" t="n">
        <v>21</v>
      </c>
      <c r="BX378" s="14" t="s">
        <v>3524</v>
      </c>
    </row>
    <row r="379">
      <c r="A379" s="154"/>
      <c r="B379" s="155"/>
      <c r="C379" s="155"/>
      <c r="D379" s="156" t="s">
        <v>130</v>
      </c>
      <c r="E379" s="156" t="s">
        <v>4</v>
      </c>
      <c r="F379" s="155"/>
      <c r="G379" s="157" t="n">
        <v>1</v>
      </c>
      <c r="H379" s="155"/>
      <c r="I379" s="155"/>
      <c r="J379" s="155"/>
      <c r="K379" s="146"/>
    </row>
    <row r="380">
      <c r="A380" s="9" t="s">
        <v>1059</v>
      </c>
      <c r="B380" s="10" t="s">
        <v>87</v>
      </c>
      <c r="C380" s="10" t="s">
        <v>3526</v>
      </c>
      <c r="D380" s="14" t="s">
        <v>3527</v>
      </c>
      <c r="E380" s="10"/>
      <c r="F380" s="10" t="s">
        <v>1962</v>
      </c>
      <c r="G380" s="111">
        <f>'Stavební rozpočet'!G2325</f>
      </c>
      <c r="H380" s="111">
        <f>'Stavební rozpočet'!H2325</f>
      </c>
      <c r="I380" s="111">
        <f>G380*H380</f>
      </c>
      <c r="J380" s="153" t="s">
        <v>134</v>
      </c>
      <c r="K380" s="146"/>
      <c r="Z380" s="111">
        <f>IF(AQ380="5",BJ380,0)</f>
      </c>
      <c r="AB380" s="111">
        <f>IF(AQ380="1",BH380,0)</f>
      </c>
      <c r="AC380" s="111">
        <f>IF(AQ380="1",BI380,0)</f>
      </c>
      <c r="AD380" s="111">
        <f>IF(AQ380="7",BH380,0)</f>
      </c>
      <c r="AE380" s="111">
        <f>IF(AQ380="7",BI380,0)</f>
      </c>
      <c r="AF380" s="111">
        <f>IF(AQ380="2",BH380,0)</f>
      </c>
      <c r="AG380" s="111">
        <f>IF(AQ380="2",BI380,0)</f>
      </c>
      <c r="AH380" s="111">
        <f>IF(AQ380="0",BJ380,0)</f>
      </c>
      <c r="AI380" s="132" t="s">
        <v>87</v>
      </c>
      <c r="AJ380" s="111">
        <f>IF(AN380=0,I380,0)</f>
      </c>
      <c r="AK380" s="111">
        <f>IF(AN380=12,I380,0)</f>
      </c>
      <c r="AL380" s="111">
        <f>IF(AN380=21,I380,0)</f>
      </c>
      <c r="AN380" s="111" t="n">
        <v>21</v>
      </c>
      <c r="AO380" s="111">
        <f>H380*0.7500336</f>
      </c>
      <c r="AP380" s="111">
        <f>H380*(1-0.7500336)</f>
      </c>
      <c r="AQ380" s="153" t="s">
        <v>173</v>
      </c>
      <c r="AV380" s="111">
        <f>AW380+AX380</f>
      </c>
      <c r="AW380" s="111">
        <f>G380*AO380</f>
      </c>
      <c r="AX380" s="111">
        <f>G380*AP380</f>
      </c>
      <c r="AY380" s="153" t="s">
        <v>1949</v>
      </c>
      <c r="AZ380" s="153" t="s">
        <v>3333</v>
      </c>
      <c r="BA380" s="132" t="s">
        <v>2990</v>
      </c>
      <c r="BC380" s="111">
        <f>AW380+AX380</f>
      </c>
      <c r="BD380" s="111">
        <f>H380/(100-BE380)*100</f>
      </c>
      <c r="BE380" s="111" t="n">
        <v>0</v>
      </c>
      <c r="BF380" s="111">
        <f>380</f>
      </c>
      <c r="BH380" s="111">
        <f>G380*AO380</f>
      </c>
      <c r="BI380" s="111">
        <f>G380*AP380</f>
      </c>
      <c r="BJ380" s="111">
        <f>G380*H380</f>
      </c>
      <c r="BK380" s="111"/>
      <c r="BL380" s="111" t="n">
        <v>722</v>
      </c>
      <c r="BW380" s="111" t="n">
        <v>21</v>
      </c>
      <c r="BX380" s="14" t="s">
        <v>3527</v>
      </c>
    </row>
    <row r="381">
      <c r="A381" s="154"/>
      <c r="B381" s="155"/>
      <c r="C381" s="155"/>
      <c r="D381" s="156" t="s">
        <v>140</v>
      </c>
      <c r="E381" s="156" t="s">
        <v>4</v>
      </c>
      <c r="F381" s="155"/>
      <c r="G381" s="157" t="n">
        <v>2</v>
      </c>
      <c r="H381" s="155"/>
      <c r="I381" s="155"/>
      <c r="J381" s="155"/>
      <c r="K381" s="146"/>
    </row>
    <row r="382">
      <c r="A382" s="9" t="s">
        <v>1065</v>
      </c>
      <c r="B382" s="10" t="s">
        <v>87</v>
      </c>
      <c r="C382" s="10" t="s">
        <v>3529</v>
      </c>
      <c r="D382" s="14" t="s">
        <v>3530</v>
      </c>
      <c r="E382" s="10"/>
      <c r="F382" s="10" t="s">
        <v>133</v>
      </c>
      <c r="G382" s="111">
        <f>'Stavební rozpočet'!G2327</f>
      </c>
      <c r="H382" s="111">
        <f>'Stavební rozpočet'!H2327</f>
      </c>
      <c r="I382" s="111">
        <f>G382*H382</f>
      </c>
      <c r="J382" s="153" t="s">
        <v>134</v>
      </c>
      <c r="K382" s="146"/>
      <c r="Z382" s="111">
        <f>IF(AQ382="5",BJ382,0)</f>
      </c>
      <c r="AB382" s="111">
        <f>IF(AQ382="1",BH382,0)</f>
      </c>
      <c r="AC382" s="111">
        <f>IF(AQ382="1",BI382,0)</f>
      </c>
      <c r="AD382" s="111">
        <f>IF(AQ382="7",BH382,0)</f>
      </c>
      <c r="AE382" s="111">
        <f>IF(AQ382="7",BI382,0)</f>
      </c>
      <c r="AF382" s="111">
        <f>IF(AQ382="2",BH382,0)</f>
      </c>
      <c r="AG382" s="111">
        <f>IF(AQ382="2",BI382,0)</f>
      </c>
      <c r="AH382" s="111">
        <f>IF(AQ382="0",BJ382,0)</f>
      </c>
      <c r="AI382" s="132" t="s">
        <v>87</v>
      </c>
      <c r="AJ382" s="111">
        <f>IF(AN382=0,I382,0)</f>
      </c>
      <c r="AK382" s="111">
        <f>IF(AN382=12,I382,0)</f>
      </c>
      <c r="AL382" s="111">
        <f>IF(AN382=21,I382,0)</f>
      </c>
      <c r="AN382" s="111" t="n">
        <v>21</v>
      </c>
      <c r="AO382" s="111">
        <f>H382*0</f>
      </c>
      <c r="AP382" s="111">
        <f>H382*(1-0)</f>
      </c>
      <c r="AQ382" s="153" t="s">
        <v>173</v>
      </c>
      <c r="AV382" s="111">
        <f>AW382+AX382</f>
      </c>
      <c r="AW382" s="111">
        <f>G382*AO382</f>
      </c>
      <c r="AX382" s="111">
        <f>G382*AP382</f>
      </c>
      <c r="AY382" s="153" t="s">
        <v>1949</v>
      </c>
      <c r="AZ382" s="153" t="s">
        <v>3333</v>
      </c>
      <c r="BA382" s="132" t="s">
        <v>2990</v>
      </c>
      <c r="BC382" s="111">
        <f>AW382+AX382</f>
      </c>
      <c r="BD382" s="111">
        <f>H382/(100-BE382)*100</f>
      </c>
      <c r="BE382" s="111" t="n">
        <v>0</v>
      </c>
      <c r="BF382" s="111">
        <f>382</f>
      </c>
      <c r="BH382" s="111">
        <f>G382*AO382</f>
      </c>
      <c r="BI382" s="111">
        <f>G382*AP382</f>
      </c>
      <c r="BJ382" s="111">
        <f>G382*H382</f>
      </c>
      <c r="BK382" s="111"/>
      <c r="BL382" s="111" t="n">
        <v>722</v>
      </c>
      <c r="BW382" s="111" t="n">
        <v>21</v>
      </c>
      <c r="BX382" s="14" t="s">
        <v>3530</v>
      </c>
    </row>
    <row r="383">
      <c r="A383" s="154"/>
      <c r="B383" s="155"/>
      <c r="C383" s="155"/>
      <c r="D383" s="156" t="s">
        <v>3531</v>
      </c>
      <c r="E383" s="156" t="s">
        <v>4</v>
      </c>
      <c r="F383" s="155"/>
      <c r="G383" s="157" t="n">
        <v>39</v>
      </c>
      <c r="H383" s="155"/>
      <c r="I383" s="155"/>
      <c r="J383" s="155"/>
      <c r="K383" s="146"/>
    </row>
    <row r="384">
      <c r="A384" s="9" t="s">
        <v>1078</v>
      </c>
      <c r="B384" s="10" t="s">
        <v>87</v>
      </c>
      <c r="C384" s="10" t="s">
        <v>3533</v>
      </c>
      <c r="D384" s="14" t="s">
        <v>3534</v>
      </c>
      <c r="E384" s="10"/>
      <c r="F384" s="10" t="s">
        <v>133</v>
      </c>
      <c r="G384" s="111">
        <f>'Stavební rozpočet'!G2329</f>
      </c>
      <c r="H384" s="111">
        <f>'Stavební rozpočet'!H2329</f>
      </c>
      <c r="I384" s="111">
        <f>G384*H384</f>
      </c>
      <c r="J384" s="153" t="s">
        <v>134</v>
      </c>
      <c r="K384" s="146"/>
      <c r="Z384" s="111">
        <f>IF(AQ384="5",BJ384,0)</f>
      </c>
      <c r="AB384" s="111">
        <f>IF(AQ384="1",BH384,0)</f>
      </c>
      <c r="AC384" s="111">
        <f>IF(AQ384="1",BI384,0)</f>
      </c>
      <c r="AD384" s="111">
        <f>IF(AQ384="7",BH384,0)</f>
      </c>
      <c r="AE384" s="111">
        <f>IF(AQ384="7",BI384,0)</f>
      </c>
      <c r="AF384" s="111">
        <f>IF(AQ384="2",BH384,0)</f>
      </c>
      <c r="AG384" s="111">
        <f>IF(AQ384="2",BI384,0)</f>
      </c>
      <c r="AH384" s="111">
        <f>IF(AQ384="0",BJ384,0)</f>
      </c>
      <c r="AI384" s="132" t="s">
        <v>87</v>
      </c>
      <c r="AJ384" s="111">
        <f>IF(AN384=0,I384,0)</f>
      </c>
      <c r="AK384" s="111">
        <f>IF(AN384=12,I384,0)</f>
      </c>
      <c r="AL384" s="111">
        <f>IF(AN384=21,I384,0)</f>
      </c>
      <c r="AN384" s="111" t="n">
        <v>21</v>
      </c>
      <c r="AO384" s="111">
        <f>H384*0</f>
      </c>
      <c r="AP384" s="111">
        <f>H384*(1-0)</f>
      </c>
      <c r="AQ384" s="153" t="s">
        <v>173</v>
      </c>
      <c r="AV384" s="111">
        <f>AW384+AX384</f>
      </c>
      <c r="AW384" s="111">
        <f>G384*AO384</f>
      </c>
      <c r="AX384" s="111">
        <f>G384*AP384</f>
      </c>
      <c r="AY384" s="153" t="s">
        <v>1949</v>
      </c>
      <c r="AZ384" s="153" t="s">
        <v>3333</v>
      </c>
      <c r="BA384" s="132" t="s">
        <v>2990</v>
      </c>
      <c r="BC384" s="111">
        <f>AW384+AX384</f>
      </c>
      <c r="BD384" s="111">
        <f>H384/(100-BE384)*100</f>
      </c>
      <c r="BE384" s="111" t="n">
        <v>0</v>
      </c>
      <c r="BF384" s="111">
        <f>384</f>
      </c>
      <c r="BH384" s="111">
        <f>G384*AO384</f>
      </c>
      <c r="BI384" s="111">
        <f>G384*AP384</f>
      </c>
      <c r="BJ384" s="111">
        <f>G384*H384</f>
      </c>
      <c r="BK384" s="111"/>
      <c r="BL384" s="111" t="n">
        <v>722</v>
      </c>
      <c r="BW384" s="111" t="n">
        <v>21</v>
      </c>
      <c r="BX384" s="14" t="s">
        <v>3534</v>
      </c>
    </row>
    <row r="385">
      <c r="A385" s="154"/>
      <c r="B385" s="155"/>
      <c r="C385" s="155"/>
      <c r="D385" s="156" t="s">
        <v>165</v>
      </c>
      <c r="E385" s="156" t="s">
        <v>4</v>
      </c>
      <c r="F385" s="155"/>
      <c r="G385" s="157" t="n">
        <v>6</v>
      </c>
      <c r="H385" s="155"/>
      <c r="I385" s="155"/>
      <c r="J385" s="155"/>
      <c r="K385" s="146"/>
    </row>
    <row r="386">
      <c r="A386" s="9" t="s">
        <v>1095</v>
      </c>
      <c r="B386" s="10" t="s">
        <v>87</v>
      </c>
      <c r="C386" s="10" t="s">
        <v>3536</v>
      </c>
      <c r="D386" s="14" t="s">
        <v>3537</v>
      </c>
      <c r="E386" s="10"/>
      <c r="F386" s="10" t="s">
        <v>1962</v>
      </c>
      <c r="G386" s="111">
        <f>'Stavební rozpočet'!G2331</f>
      </c>
      <c r="H386" s="111">
        <f>'Stavební rozpočet'!H2331</f>
      </c>
      <c r="I386" s="111">
        <f>G386*H386</f>
      </c>
      <c r="J386" s="153" t="s">
        <v>134</v>
      </c>
      <c r="K386" s="146"/>
      <c r="Z386" s="111">
        <f>IF(AQ386="5",BJ386,0)</f>
      </c>
      <c r="AB386" s="111">
        <f>IF(AQ386="1",BH386,0)</f>
      </c>
      <c r="AC386" s="111">
        <f>IF(AQ386="1",BI386,0)</f>
      </c>
      <c r="AD386" s="111">
        <f>IF(AQ386="7",BH386,0)</f>
      </c>
      <c r="AE386" s="111">
        <f>IF(AQ386="7",BI386,0)</f>
      </c>
      <c r="AF386" s="111">
        <f>IF(AQ386="2",BH386,0)</f>
      </c>
      <c r="AG386" s="111">
        <f>IF(AQ386="2",BI386,0)</f>
      </c>
      <c r="AH386" s="111">
        <f>IF(AQ386="0",BJ386,0)</f>
      </c>
      <c r="AI386" s="132" t="s">
        <v>87</v>
      </c>
      <c r="AJ386" s="111">
        <f>IF(AN386=0,I386,0)</f>
      </c>
      <c r="AK386" s="111">
        <f>IF(AN386=12,I386,0)</f>
      </c>
      <c r="AL386" s="111">
        <f>IF(AN386=21,I386,0)</f>
      </c>
      <c r="AN386" s="111" t="n">
        <v>21</v>
      </c>
      <c r="AO386" s="111">
        <f>H386*0.73411236</f>
      </c>
      <c r="AP386" s="111">
        <f>H386*(1-0.73411236)</f>
      </c>
      <c r="AQ386" s="153" t="s">
        <v>173</v>
      </c>
      <c r="AV386" s="111">
        <f>AW386+AX386</f>
      </c>
      <c r="AW386" s="111">
        <f>G386*AO386</f>
      </c>
      <c r="AX386" s="111">
        <f>G386*AP386</f>
      </c>
      <c r="AY386" s="153" t="s">
        <v>1949</v>
      </c>
      <c r="AZ386" s="153" t="s">
        <v>3333</v>
      </c>
      <c r="BA386" s="132" t="s">
        <v>2990</v>
      </c>
      <c r="BC386" s="111">
        <f>AW386+AX386</f>
      </c>
      <c r="BD386" s="111">
        <f>H386/(100-BE386)*100</f>
      </c>
      <c r="BE386" s="111" t="n">
        <v>0</v>
      </c>
      <c r="BF386" s="111">
        <f>386</f>
      </c>
      <c r="BH386" s="111">
        <f>G386*AO386</f>
      </c>
      <c r="BI386" s="111">
        <f>G386*AP386</f>
      </c>
      <c r="BJ386" s="111">
        <f>G386*H386</f>
      </c>
      <c r="BK386" s="111"/>
      <c r="BL386" s="111" t="n">
        <v>722</v>
      </c>
      <c r="BW386" s="111" t="n">
        <v>21</v>
      </c>
      <c r="BX386" s="14" t="s">
        <v>3537</v>
      </c>
    </row>
    <row r="387">
      <c r="A387" s="154"/>
      <c r="B387" s="155"/>
      <c r="C387" s="155"/>
      <c r="D387" s="156" t="s">
        <v>3538</v>
      </c>
      <c r="E387" s="156" t="s">
        <v>4</v>
      </c>
      <c r="F387" s="155"/>
      <c r="G387" s="157" t="n">
        <v>20</v>
      </c>
      <c r="H387" s="155"/>
      <c r="I387" s="155"/>
      <c r="J387" s="155"/>
      <c r="K387" s="146"/>
    </row>
    <row r="388">
      <c r="A388" s="9" t="s">
        <v>1101</v>
      </c>
      <c r="B388" s="10" t="s">
        <v>87</v>
      </c>
      <c r="C388" s="10" t="s">
        <v>3540</v>
      </c>
      <c r="D388" s="14" t="s">
        <v>3541</v>
      </c>
      <c r="E388" s="10"/>
      <c r="F388" s="10" t="s">
        <v>1962</v>
      </c>
      <c r="G388" s="111">
        <f>'Stavební rozpočet'!G2333</f>
      </c>
      <c r="H388" s="111">
        <f>'Stavební rozpočet'!H2333</f>
      </c>
      <c r="I388" s="111">
        <f>G388*H388</f>
      </c>
      <c r="J388" s="153" t="s">
        <v>134</v>
      </c>
      <c r="K388" s="146"/>
      <c r="Z388" s="111">
        <f>IF(AQ388="5",BJ388,0)</f>
      </c>
      <c r="AB388" s="111">
        <f>IF(AQ388="1",BH388,0)</f>
      </c>
      <c r="AC388" s="111">
        <f>IF(AQ388="1",BI388,0)</f>
      </c>
      <c r="AD388" s="111">
        <f>IF(AQ388="7",BH388,0)</f>
      </c>
      <c r="AE388" s="111">
        <f>IF(AQ388="7",BI388,0)</f>
      </c>
      <c r="AF388" s="111">
        <f>IF(AQ388="2",BH388,0)</f>
      </c>
      <c r="AG388" s="111">
        <f>IF(AQ388="2",BI388,0)</f>
      </c>
      <c r="AH388" s="111">
        <f>IF(AQ388="0",BJ388,0)</f>
      </c>
      <c r="AI388" s="132" t="s">
        <v>87</v>
      </c>
      <c r="AJ388" s="111">
        <f>IF(AN388=0,I388,0)</f>
      </c>
      <c r="AK388" s="111">
        <f>IF(AN388=12,I388,0)</f>
      </c>
      <c r="AL388" s="111">
        <f>IF(AN388=21,I388,0)</f>
      </c>
      <c r="AN388" s="111" t="n">
        <v>21</v>
      </c>
      <c r="AO388" s="111">
        <f>H388*0.776332703</f>
      </c>
      <c r="AP388" s="111">
        <f>H388*(1-0.776332703)</f>
      </c>
      <c r="AQ388" s="153" t="s">
        <v>173</v>
      </c>
      <c r="AV388" s="111">
        <f>AW388+AX388</f>
      </c>
      <c r="AW388" s="111">
        <f>G388*AO388</f>
      </c>
      <c r="AX388" s="111">
        <f>G388*AP388</f>
      </c>
      <c r="AY388" s="153" t="s">
        <v>1949</v>
      </c>
      <c r="AZ388" s="153" t="s">
        <v>3333</v>
      </c>
      <c r="BA388" s="132" t="s">
        <v>2990</v>
      </c>
      <c r="BC388" s="111">
        <f>AW388+AX388</f>
      </c>
      <c r="BD388" s="111">
        <f>H388/(100-BE388)*100</f>
      </c>
      <c r="BE388" s="111" t="n">
        <v>0</v>
      </c>
      <c r="BF388" s="111">
        <f>388</f>
      </c>
      <c r="BH388" s="111">
        <f>G388*AO388</f>
      </c>
      <c r="BI388" s="111">
        <f>G388*AP388</f>
      </c>
      <c r="BJ388" s="111">
        <f>G388*H388</f>
      </c>
      <c r="BK388" s="111"/>
      <c r="BL388" s="111" t="n">
        <v>722</v>
      </c>
      <c r="BW388" s="111" t="n">
        <v>21</v>
      </c>
      <c r="BX388" s="14" t="s">
        <v>3541</v>
      </c>
    </row>
    <row r="389">
      <c r="A389" s="154"/>
      <c r="B389" s="155"/>
      <c r="C389" s="155"/>
      <c r="D389" s="156" t="s">
        <v>156</v>
      </c>
      <c r="E389" s="156" t="s">
        <v>4</v>
      </c>
      <c r="F389" s="155"/>
      <c r="G389" s="157" t="n">
        <v>5</v>
      </c>
      <c r="H389" s="155"/>
      <c r="I389" s="155"/>
      <c r="J389" s="155"/>
      <c r="K389" s="146"/>
    </row>
    <row r="390">
      <c r="A390" s="9" t="s">
        <v>1112</v>
      </c>
      <c r="B390" s="10" t="s">
        <v>87</v>
      </c>
      <c r="C390" s="10" t="s">
        <v>3543</v>
      </c>
      <c r="D390" s="14" t="s">
        <v>3544</v>
      </c>
      <c r="E390" s="10"/>
      <c r="F390" s="10" t="s">
        <v>1962</v>
      </c>
      <c r="G390" s="111">
        <f>'Stavební rozpočet'!G2335</f>
      </c>
      <c r="H390" s="111">
        <f>'Stavební rozpočet'!H2335</f>
      </c>
      <c r="I390" s="111">
        <f>G390*H390</f>
      </c>
      <c r="J390" s="153" t="s">
        <v>134</v>
      </c>
      <c r="K390" s="146"/>
      <c r="Z390" s="111">
        <f>IF(AQ390="5",BJ390,0)</f>
      </c>
      <c r="AB390" s="111">
        <f>IF(AQ390="1",BH390,0)</f>
      </c>
      <c r="AC390" s="111">
        <f>IF(AQ390="1",BI390,0)</f>
      </c>
      <c r="AD390" s="111">
        <f>IF(AQ390="7",BH390,0)</f>
      </c>
      <c r="AE390" s="111">
        <f>IF(AQ390="7",BI390,0)</f>
      </c>
      <c r="AF390" s="111">
        <f>IF(AQ390="2",BH390,0)</f>
      </c>
      <c r="AG390" s="111">
        <f>IF(AQ390="2",BI390,0)</f>
      </c>
      <c r="AH390" s="111">
        <f>IF(AQ390="0",BJ390,0)</f>
      </c>
      <c r="AI390" s="132" t="s">
        <v>87</v>
      </c>
      <c r="AJ390" s="111">
        <f>IF(AN390=0,I390,0)</f>
      </c>
      <c r="AK390" s="111">
        <f>IF(AN390=12,I390,0)</f>
      </c>
      <c r="AL390" s="111">
        <f>IF(AN390=21,I390,0)</f>
      </c>
      <c r="AN390" s="111" t="n">
        <v>21</v>
      </c>
      <c r="AO390" s="111">
        <f>H390*0.632508124</f>
      </c>
      <c r="AP390" s="111">
        <f>H390*(1-0.632508124)</f>
      </c>
      <c r="AQ390" s="153" t="s">
        <v>173</v>
      </c>
      <c r="AV390" s="111">
        <f>AW390+AX390</f>
      </c>
      <c r="AW390" s="111">
        <f>G390*AO390</f>
      </c>
      <c r="AX390" s="111">
        <f>G390*AP390</f>
      </c>
      <c r="AY390" s="153" t="s">
        <v>1949</v>
      </c>
      <c r="AZ390" s="153" t="s">
        <v>3333</v>
      </c>
      <c r="BA390" s="132" t="s">
        <v>2990</v>
      </c>
      <c r="BC390" s="111">
        <f>AW390+AX390</f>
      </c>
      <c r="BD390" s="111">
        <f>H390/(100-BE390)*100</f>
      </c>
      <c r="BE390" s="111" t="n">
        <v>0</v>
      </c>
      <c r="BF390" s="111">
        <f>390</f>
      </c>
      <c r="BH390" s="111">
        <f>G390*AO390</f>
      </c>
      <c r="BI390" s="111">
        <f>G390*AP390</f>
      </c>
      <c r="BJ390" s="111">
        <f>G390*H390</f>
      </c>
      <c r="BK390" s="111"/>
      <c r="BL390" s="111" t="n">
        <v>722</v>
      </c>
      <c r="BW390" s="111" t="n">
        <v>21</v>
      </c>
      <c r="BX390" s="14" t="s">
        <v>3544</v>
      </c>
    </row>
    <row r="391">
      <c r="A391" s="154"/>
      <c r="B391" s="155"/>
      <c r="C391" s="155"/>
      <c r="D391" s="156" t="s">
        <v>224</v>
      </c>
      <c r="E391" s="156" t="s">
        <v>4</v>
      </c>
      <c r="F391" s="155"/>
      <c r="G391" s="157" t="n">
        <v>15</v>
      </c>
      <c r="H391" s="155"/>
      <c r="I391" s="155"/>
      <c r="J391" s="155"/>
      <c r="K391" s="146"/>
    </row>
    <row r="392">
      <c r="A392" s="9" t="s">
        <v>1124</v>
      </c>
      <c r="B392" s="10" t="s">
        <v>87</v>
      </c>
      <c r="C392" s="10" t="s">
        <v>3546</v>
      </c>
      <c r="D392" s="14" t="s">
        <v>3547</v>
      </c>
      <c r="E392" s="10"/>
      <c r="F392" s="10" t="s">
        <v>133</v>
      </c>
      <c r="G392" s="111">
        <f>'Stavební rozpočet'!G2337</f>
      </c>
      <c r="H392" s="111">
        <f>'Stavební rozpočet'!H2337</f>
      </c>
      <c r="I392" s="111">
        <f>G392*H392</f>
      </c>
      <c r="J392" s="153" t="s">
        <v>134</v>
      </c>
      <c r="K392" s="146"/>
      <c r="Z392" s="111">
        <f>IF(AQ392="5",BJ392,0)</f>
      </c>
      <c r="AB392" s="111">
        <f>IF(AQ392="1",BH392,0)</f>
      </c>
      <c r="AC392" s="111">
        <f>IF(AQ392="1",BI392,0)</f>
      </c>
      <c r="AD392" s="111">
        <f>IF(AQ392="7",BH392,0)</f>
      </c>
      <c r="AE392" s="111">
        <f>IF(AQ392="7",BI392,0)</f>
      </c>
      <c r="AF392" s="111">
        <f>IF(AQ392="2",BH392,0)</f>
      </c>
      <c r="AG392" s="111">
        <f>IF(AQ392="2",BI392,0)</f>
      </c>
      <c r="AH392" s="111">
        <f>IF(AQ392="0",BJ392,0)</f>
      </c>
      <c r="AI392" s="132" t="s">
        <v>87</v>
      </c>
      <c r="AJ392" s="111">
        <f>IF(AN392=0,I392,0)</f>
      </c>
      <c r="AK392" s="111">
        <f>IF(AN392=12,I392,0)</f>
      </c>
      <c r="AL392" s="111">
        <f>IF(AN392=21,I392,0)</f>
      </c>
      <c r="AN392" s="111" t="n">
        <v>21</v>
      </c>
      <c r="AO392" s="111">
        <f>H392*0.928205782</f>
      </c>
      <c r="AP392" s="111">
        <f>H392*(1-0.928205782)</f>
      </c>
      <c r="AQ392" s="153" t="s">
        <v>173</v>
      </c>
      <c r="AV392" s="111">
        <f>AW392+AX392</f>
      </c>
      <c r="AW392" s="111">
        <f>G392*AO392</f>
      </c>
      <c r="AX392" s="111">
        <f>G392*AP392</f>
      </c>
      <c r="AY392" s="153" t="s">
        <v>1949</v>
      </c>
      <c r="AZ392" s="153" t="s">
        <v>3333</v>
      </c>
      <c r="BA392" s="132" t="s">
        <v>2990</v>
      </c>
      <c r="BC392" s="111">
        <f>AW392+AX392</f>
      </c>
      <c r="BD392" s="111">
        <f>H392/(100-BE392)*100</f>
      </c>
      <c r="BE392" s="111" t="n">
        <v>0</v>
      </c>
      <c r="BF392" s="111">
        <f>392</f>
      </c>
      <c r="BH392" s="111">
        <f>G392*AO392</f>
      </c>
      <c r="BI392" s="111">
        <f>G392*AP392</f>
      </c>
      <c r="BJ392" s="111">
        <f>G392*H392</f>
      </c>
      <c r="BK392" s="111"/>
      <c r="BL392" s="111" t="n">
        <v>722</v>
      </c>
      <c r="BW392" s="111" t="n">
        <v>21</v>
      </c>
      <c r="BX392" s="14" t="s">
        <v>3547</v>
      </c>
    </row>
    <row r="393">
      <c r="A393" s="154"/>
      <c r="B393" s="155"/>
      <c r="C393" s="155"/>
      <c r="D393" s="156" t="s">
        <v>130</v>
      </c>
      <c r="E393" s="156" t="s">
        <v>4</v>
      </c>
      <c r="F393" s="155"/>
      <c r="G393" s="157" t="n">
        <v>1</v>
      </c>
      <c r="H393" s="155"/>
      <c r="I393" s="155"/>
      <c r="J393" s="155"/>
      <c r="K393" s="146"/>
    </row>
    <row r="394">
      <c r="A394" s="9" t="s">
        <v>1142</v>
      </c>
      <c r="B394" s="10" t="s">
        <v>87</v>
      </c>
      <c r="C394" s="10" t="s">
        <v>3549</v>
      </c>
      <c r="D394" s="14" t="s">
        <v>3550</v>
      </c>
      <c r="E394" s="10"/>
      <c r="F394" s="10" t="s">
        <v>133</v>
      </c>
      <c r="G394" s="111">
        <f>'Stavební rozpočet'!G2339</f>
      </c>
      <c r="H394" s="111">
        <f>'Stavební rozpočet'!H2339</f>
      </c>
      <c r="I394" s="111">
        <f>G394*H394</f>
      </c>
      <c r="J394" s="153" t="s">
        <v>134</v>
      </c>
      <c r="K394" s="146"/>
      <c r="Z394" s="111">
        <f>IF(AQ394="5",BJ394,0)</f>
      </c>
      <c r="AB394" s="111">
        <f>IF(AQ394="1",BH394,0)</f>
      </c>
      <c r="AC394" s="111">
        <f>IF(AQ394="1",BI394,0)</f>
      </c>
      <c r="AD394" s="111">
        <f>IF(AQ394="7",BH394,0)</f>
      </c>
      <c r="AE394" s="111">
        <f>IF(AQ394="7",BI394,0)</f>
      </c>
      <c r="AF394" s="111">
        <f>IF(AQ394="2",BH394,0)</f>
      </c>
      <c r="AG394" s="111">
        <f>IF(AQ394="2",BI394,0)</f>
      </c>
      <c r="AH394" s="111">
        <f>IF(AQ394="0",BJ394,0)</f>
      </c>
      <c r="AI394" s="132" t="s">
        <v>87</v>
      </c>
      <c r="AJ394" s="111">
        <f>IF(AN394=0,I394,0)</f>
      </c>
      <c r="AK394" s="111">
        <f>IF(AN394=12,I394,0)</f>
      </c>
      <c r="AL394" s="111">
        <f>IF(AN394=21,I394,0)</f>
      </c>
      <c r="AN394" s="111" t="n">
        <v>21</v>
      </c>
      <c r="AO394" s="111">
        <f>H394*0.522836625</f>
      </c>
      <c r="AP394" s="111">
        <f>H394*(1-0.522836625)</f>
      </c>
      <c r="AQ394" s="153" t="s">
        <v>173</v>
      </c>
      <c r="AV394" s="111">
        <f>AW394+AX394</f>
      </c>
      <c r="AW394" s="111">
        <f>G394*AO394</f>
      </c>
      <c r="AX394" s="111">
        <f>G394*AP394</f>
      </c>
      <c r="AY394" s="153" t="s">
        <v>1949</v>
      </c>
      <c r="AZ394" s="153" t="s">
        <v>3333</v>
      </c>
      <c r="BA394" s="132" t="s">
        <v>2990</v>
      </c>
      <c r="BC394" s="111">
        <f>AW394+AX394</f>
      </c>
      <c r="BD394" s="111">
        <f>H394/(100-BE394)*100</f>
      </c>
      <c r="BE394" s="111" t="n">
        <v>0</v>
      </c>
      <c r="BF394" s="111">
        <f>394</f>
      </c>
      <c r="BH394" s="111">
        <f>G394*AO394</f>
      </c>
      <c r="BI394" s="111">
        <f>G394*AP394</f>
      </c>
      <c r="BJ394" s="111">
        <f>G394*H394</f>
      </c>
      <c r="BK394" s="111"/>
      <c r="BL394" s="111" t="n">
        <v>722</v>
      </c>
      <c r="BW394" s="111" t="n">
        <v>21</v>
      </c>
      <c r="BX394" s="14" t="s">
        <v>3550</v>
      </c>
    </row>
    <row r="395">
      <c r="A395" s="154"/>
      <c r="B395" s="155"/>
      <c r="C395" s="155"/>
      <c r="D395" s="156" t="s">
        <v>3551</v>
      </c>
      <c r="E395" s="156" t="s">
        <v>4</v>
      </c>
      <c r="F395" s="155"/>
      <c r="G395" s="157" t="n">
        <v>47</v>
      </c>
      <c r="H395" s="155"/>
      <c r="I395" s="155"/>
      <c r="J395" s="155"/>
      <c r="K395" s="146"/>
    </row>
    <row r="396">
      <c r="A396" s="9" t="s">
        <v>1145</v>
      </c>
      <c r="B396" s="10" t="s">
        <v>87</v>
      </c>
      <c r="C396" s="10" t="s">
        <v>3553</v>
      </c>
      <c r="D396" s="14" t="s">
        <v>3554</v>
      </c>
      <c r="E396" s="10"/>
      <c r="F396" s="10" t="s">
        <v>3555</v>
      </c>
      <c r="G396" s="111">
        <f>'Stavební rozpočet'!G2341</f>
      </c>
      <c r="H396" s="111">
        <f>'Stavební rozpočet'!H2341</f>
      </c>
      <c r="I396" s="111">
        <f>G396*H396</f>
      </c>
      <c r="J396" s="153" t="s">
        <v>134</v>
      </c>
      <c r="K396" s="146"/>
      <c r="Z396" s="111">
        <f>IF(AQ396="5",BJ396,0)</f>
      </c>
      <c r="AB396" s="111">
        <f>IF(AQ396="1",BH396,0)</f>
      </c>
      <c r="AC396" s="111">
        <f>IF(AQ396="1",BI396,0)</f>
      </c>
      <c r="AD396" s="111">
        <f>IF(AQ396="7",BH396,0)</f>
      </c>
      <c r="AE396" s="111">
        <f>IF(AQ396="7",BI396,0)</f>
      </c>
      <c r="AF396" s="111">
        <f>IF(AQ396="2",BH396,0)</f>
      </c>
      <c r="AG396" s="111">
        <f>IF(AQ396="2",BI396,0)</f>
      </c>
      <c r="AH396" s="111">
        <f>IF(AQ396="0",BJ396,0)</f>
      </c>
      <c r="AI396" s="132" t="s">
        <v>87</v>
      </c>
      <c r="AJ396" s="111">
        <f>IF(AN396=0,I396,0)</f>
      </c>
      <c r="AK396" s="111">
        <f>IF(AN396=12,I396,0)</f>
      </c>
      <c r="AL396" s="111">
        <f>IF(AN396=21,I396,0)</f>
      </c>
      <c r="AN396" s="111" t="n">
        <v>21</v>
      </c>
      <c r="AO396" s="111">
        <f>H396*0.529750446</f>
      </c>
      <c r="AP396" s="111">
        <f>H396*(1-0.529750446)</f>
      </c>
      <c r="AQ396" s="153" t="s">
        <v>173</v>
      </c>
      <c r="AV396" s="111">
        <f>AW396+AX396</f>
      </c>
      <c r="AW396" s="111">
        <f>G396*AO396</f>
      </c>
      <c r="AX396" s="111">
        <f>G396*AP396</f>
      </c>
      <c r="AY396" s="153" t="s">
        <v>1949</v>
      </c>
      <c r="AZ396" s="153" t="s">
        <v>3333</v>
      </c>
      <c r="BA396" s="132" t="s">
        <v>2990</v>
      </c>
      <c r="BC396" s="111">
        <f>AW396+AX396</f>
      </c>
      <c r="BD396" s="111">
        <f>H396/(100-BE396)*100</f>
      </c>
      <c r="BE396" s="111" t="n">
        <v>0</v>
      </c>
      <c r="BF396" s="111">
        <f>396</f>
      </c>
      <c r="BH396" s="111">
        <f>G396*AO396</f>
      </c>
      <c r="BI396" s="111">
        <f>G396*AP396</f>
      </c>
      <c r="BJ396" s="111">
        <f>G396*H396</f>
      </c>
      <c r="BK396" s="111"/>
      <c r="BL396" s="111" t="n">
        <v>722</v>
      </c>
      <c r="BW396" s="111" t="n">
        <v>21</v>
      </c>
      <c r="BX396" s="14" t="s">
        <v>3554</v>
      </c>
    </row>
    <row r="397">
      <c r="A397" s="154"/>
      <c r="B397" s="155"/>
      <c r="C397" s="155"/>
      <c r="D397" s="156" t="s">
        <v>3556</v>
      </c>
      <c r="E397" s="156" t="s">
        <v>4</v>
      </c>
      <c r="F397" s="155"/>
      <c r="G397" s="157" t="n">
        <v>5</v>
      </c>
      <c r="H397" s="155"/>
      <c r="I397" s="155"/>
      <c r="J397" s="155"/>
      <c r="K397" s="146"/>
    </row>
    <row r="398">
      <c r="A398" s="9" t="s">
        <v>1150</v>
      </c>
      <c r="B398" s="10" t="s">
        <v>87</v>
      </c>
      <c r="C398" s="10" t="s">
        <v>3558</v>
      </c>
      <c r="D398" s="14" t="s">
        <v>3559</v>
      </c>
      <c r="E398" s="10"/>
      <c r="F398" s="10" t="s">
        <v>133</v>
      </c>
      <c r="G398" s="111">
        <f>'Stavební rozpočet'!G2343</f>
      </c>
      <c r="H398" s="111">
        <f>'Stavební rozpočet'!H2343</f>
      </c>
      <c r="I398" s="111">
        <f>G398*H398</f>
      </c>
      <c r="J398" s="153" t="s">
        <v>134</v>
      </c>
      <c r="K398" s="146"/>
      <c r="Z398" s="111">
        <f>IF(AQ398="5",BJ398,0)</f>
      </c>
      <c r="AB398" s="111">
        <f>IF(AQ398="1",BH398,0)</f>
      </c>
      <c r="AC398" s="111">
        <f>IF(AQ398="1",BI398,0)</f>
      </c>
      <c r="AD398" s="111">
        <f>IF(AQ398="7",BH398,0)</f>
      </c>
      <c r="AE398" s="111">
        <f>IF(AQ398="7",BI398,0)</f>
      </c>
      <c r="AF398" s="111">
        <f>IF(AQ398="2",BH398,0)</f>
      </c>
      <c r="AG398" s="111">
        <f>IF(AQ398="2",BI398,0)</f>
      </c>
      <c r="AH398" s="111">
        <f>IF(AQ398="0",BJ398,0)</f>
      </c>
      <c r="AI398" s="132" t="s">
        <v>87</v>
      </c>
      <c r="AJ398" s="111">
        <f>IF(AN398=0,I398,0)</f>
      </c>
      <c r="AK398" s="111">
        <f>IF(AN398=12,I398,0)</f>
      </c>
      <c r="AL398" s="111">
        <f>IF(AN398=21,I398,0)</f>
      </c>
      <c r="AN398" s="111" t="n">
        <v>21</v>
      </c>
      <c r="AO398" s="111">
        <f>H398*0.852020634</f>
      </c>
      <c r="AP398" s="111">
        <f>H398*(1-0.852020634)</f>
      </c>
      <c r="AQ398" s="153" t="s">
        <v>173</v>
      </c>
      <c r="AV398" s="111">
        <f>AW398+AX398</f>
      </c>
      <c r="AW398" s="111">
        <f>G398*AO398</f>
      </c>
      <c r="AX398" s="111">
        <f>G398*AP398</f>
      </c>
      <c r="AY398" s="153" t="s">
        <v>1949</v>
      </c>
      <c r="AZ398" s="153" t="s">
        <v>3333</v>
      </c>
      <c r="BA398" s="132" t="s">
        <v>2990</v>
      </c>
      <c r="BC398" s="111">
        <f>AW398+AX398</f>
      </c>
      <c r="BD398" s="111">
        <f>H398/(100-BE398)*100</f>
      </c>
      <c r="BE398" s="111" t="n">
        <v>0</v>
      </c>
      <c r="BF398" s="111">
        <f>398</f>
      </c>
      <c r="BH398" s="111">
        <f>G398*AO398</f>
      </c>
      <c r="BI398" s="111">
        <f>G398*AP398</f>
      </c>
      <c r="BJ398" s="111">
        <f>G398*H398</f>
      </c>
      <c r="BK398" s="111"/>
      <c r="BL398" s="111" t="n">
        <v>722</v>
      </c>
      <c r="BW398" s="111" t="n">
        <v>21</v>
      </c>
      <c r="BX398" s="14" t="s">
        <v>3559</v>
      </c>
    </row>
    <row r="399">
      <c r="A399" s="154"/>
      <c r="B399" s="155"/>
      <c r="C399" s="155"/>
      <c r="D399" s="156" t="s">
        <v>140</v>
      </c>
      <c r="E399" s="156" t="s">
        <v>4</v>
      </c>
      <c r="F399" s="155"/>
      <c r="G399" s="157" t="n">
        <v>2</v>
      </c>
      <c r="H399" s="155"/>
      <c r="I399" s="155"/>
      <c r="J399" s="155"/>
      <c r="K399" s="146"/>
    </row>
    <row r="400">
      <c r="A400" s="9" t="s">
        <v>1161</v>
      </c>
      <c r="B400" s="10" t="s">
        <v>87</v>
      </c>
      <c r="C400" s="10" t="s">
        <v>3561</v>
      </c>
      <c r="D400" s="14" t="s">
        <v>3562</v>
      </c>
      <c r="E400" s="10"/>
      <c r="F400" s="10" t="s">
        <v>133</v>
      </c>
      <c r="G400" s="111">
        <f>'Stavební rozpočet'!G2345</f>
      </c>
      <c r="H400" s="111">
        <f>'Stavební rozpočet'!H2345</f>
      </c>
      <c r="I400" s="111">
        <f>G400*H400</f>
      </c>
      <c r="J400" s="153" t="s">
        <v>134</v>
      </c>
      <c r="K400" s="146"/>
      <c r="Z400" s="111">
        <f>IF(AQ400="5",BJ400,0)</f>
      </c>
      <c r="AB400" s="111">
        <f>IF(AQ400="1",BH400,0)</f>
      </c>
      <c r="AC400" s="111">
        <f>IF(AQ400="1",BI400,0)</f>
      </c>
      <c r="AD400" s="111">
        <f>IF(AQ400="7",BH400,0)</f>
      </c>
      <c r="AE400" s="111">
        <f>IF(AQ400="7",BI400,0)</f>
      </c>
      <c r="AF400" s="111">
        <f>IF(AQ400="2",BH400,0)</f>
      </c>
      <c r="AG400" s="111">
        <f>IF(AQ400="2",BI400,0)</f>
      </c>
      <c r="AH400" s="111">
        <f>IF(AQ400="0",BJ400,0)</f>
      </c>
      <c r="AI400" s="132" t="s">
        <v>87</v>
      </c>
      <c r="AJ400" s="111">
        <f>IF(AN400=0,I400,0)</f>
      </c>
      <c r="AK400" s="111">
        <f>IF(AN400=12,I400,0)</f>
      </c>
      <c r="AL400" s="111">
        <f>IF(AN400=21,I400,0)</f>
      </c>
      <c r="AN400" s="111" t="n">
        <v>21</v>
      </c>
      <c r="AO400" s="111">
        <f>H400*0.950420124</f>
      </c>
      <c r="AP400" s="111">
        <f>H400*(1-0.950420124)</f>
      </c>
      <c r="AQ400" s="153" t="s">
        <v>173</v>
      </c>
      <c r="AV400" s="111">
        <f>AW400+AX400</f>
      </c>
      <c r="AW400" s="111">
        <f>G400*AO400</f>
      </c>
      <c r="AX400" s="111">
        <f>G400*AP400</f>
      </c>
      <c r="AY400" s="153" t="s">
        <v>1949</v>
      </c>
      <c r="AZ400" s="153" t="s">
        <v>3333</v>
      </c>
      <c r="BA400" s="132" t="s">
        <v>2990</v>
      </c>
      <c r="BC400" s="111">
        <f>AW400+AX400</f>
      </c>
      <c r="BD400" s="111">
        <f>H400/(100-BE400)*100</f>
      </c>
      <c r="BE400" s="111" t="n">
        <v>0</v>
      </c>
      <c r="BF400" s="111">
        <f>400</f>
      </c>
      <c r="BH400" s="111">
        <f>G400*AO400</f>
      </c>
      <c r="BI400" s="111">
        <f>G400*AP400</f>
      </c>
      <c r="BJ400" s="111">
        <f>G400*H400</f>
      </c>
      <c r="BK400" s="111"/>
      <c r="BL400" s="111" t="n">
        <v>722</v>
      </c>
      <c r="BW400" s="111" t="n">
        <v>21</v>
      </c>
      <c r="BX400" s="14" t="s">
        <v>3562</v>
      </c>
    </row>
    <row r="401">
      <c r="A401" s="154"/>
      <c r="B401" s="155"/>
      <c r="C401" s="155"/>
      <c r="D401" s="156" t="s">
        <v>130</v>
      </c>
      <c r="E401" s="156" t="s">
        <v>4</v>
      </c>
      <c r="F401" s="155"/>
      <c r="G401" s="157" t="n">
        <v>1</v>
      </c>
      <c r="H401" s="155"/>
      <c r="I401" s="155"/>
      <c r="J401" s="155"/>
      <c r="K401" s="146"/>
    </row>
    <row r="402">
      <c r="A402" s="9" t="s">
        <v>1170</v>
      </c>
      <c r="B402" s="10" t="s">
        <v>87</v>
      </c>
      <c r="C402" s="10" t="s">
        <v>3564</v>
      </c>
      <c r="D402" s="14" t="s">
        <v>3565</v>
      </c>
      <c r="E402" s="10"/>
      <c r="F402" s="10" t="s">
        <v>133</v>
      </c>
      <c r="G402" s="111">
        <f>'Stavební rozpočet'!G2347</f>
      </c>
      <c r="H402" s="111">
        <f>'Stavební rozpočet'!H2347</f>
      </c>
      <c r="I402" s="111">
        <f>G402*H402</f>
      </c>
      <c r="J402" s="153" t="s">
        <v>134</v>
      </c>
      <c r="K402" s="146"/>
      <c r="Z402" s="111">
        <f>IF(AQ402="5",BJ402,0)</f>
      </c>
      <c r="AB402" s="111">
        <f>IF(AQ402="1",BH402,0)</f>
      </c>
      <c r="AC402" s="111">
        <f>IF(AQ402="1",BI402,0)</f>
      </c>
      <c r="AD402" s="111">
        <f>IF(AQ402="7",BH402,0)</f>
      </c>
      <c r="AE402" s="111">
        <f>IF(AQ402="7",BI402,0)</f>
      </c>
      <c r="AF402" s="111">
        <f>IF(AQ402="2",BH402,0)</f>
      </c>
      <c r="AG402" s="111">
        <f>IF(AQ402="2",BI402,0)</f>
      </c>
      <c r="AH402" s="111">
        <f>IF(AQ402="0",BJ402,0)</f>
      </c>
      <c r="AI402" s="132" t="s">
        <v>87</v>
      </c>
      <c r="AJ402" s="111">
        <f>IF(AN402=0,I402,0)</f>
      </c>
      <c r="AK402" s="111">
        <f>IF(AN402=12,I402,0)</f>
      </c>
      <c r="AL402" s="111">
        <f>IF(AN402=21,I402,0)</f>
      </c>
      <c r="AN402" s="111" t="n">
        <v>21</v>
      </c>
      <c r="AO402" s="111">
        <f>H402*0.657605893</f>
      </c>
      <c r="AP402" s="111">
        <f>H402*(1-0.657605893)</f>
      </c>
      <c r="AQ402" s="153" t="s">
        <v>173</v>
      </c>
      <c r="AV402" s="111">
        <f>AW402+AX402</f>
      </c>
      <c r="AW402" s="111">
        <f>G402*AO402</f>
      </c>
      <c r="AX402" s="111">
        <f>G402*AP402</f>
      </c>
      <c r="AY402" s="153" t="s">
        <v>1949</v>
      </c>
      <c r="AZ402" s="153" t="s">
        <v>3333</v>
      </c>
      <c r="BA402" s="132" t="s">
        <v>2990</v>
      </c>
      <c r="BC402" s="111">
        <f>AW402+AX402</f>
      </c>
      <c r="BD402" s="111">
        <f>H402/(100-BE402)*100</f>
      </c>
      <c r="BE402" s="111" t="n">
        <v>0</v>
      </c>
      <c r="BF402" s="111">
        <f>402</f>
      </c>
      <c r="BH402" s="111">
        <f>G402*AO402</f>
      </c>
      <c r="BI402" s="111">
        <f>G402*AP402</f>
      </c>
      <c r="BJ402" s="111">
        <f>G402*H402</f>
      </c>
      <c r="BK402" s="111"/>
      <c r="BL402" s="111" t="n">
        <v>722</v>
      </c>
      <c r="BW402" s="111" t="n">
        <v>21</v>
      </c>
      <c r="BX402" s="14" t="s">
        <v>3565</v>
      </c>
    </row>
    <row r="403">
      <c r="A403" s="154"/>
      <c r="B403" s="155"/>
      <c r="C403" s="155"/>
      <c r="D403" s="156" t="s">
        <v>173</v>
      </c>
      <c r="E403" s="156" t="s">
        <v>4</v>
      </c>
      <c r="F403" s="155"/>
      <c r="G403" s="157" t="n">
        <v>7</v>
      </c>
      <c r="H403" s="155"/>
      <c r="I403" s="155"/>
      <c r="J403" s="155"/>
      <c r="K403" s="146"/>
    </row>
    <row r="404">
      <c r="A404" s="9" t="s">
        <v>1183</v>
      </c>
      <c r="B404" s="10" t="s">
        <v>87</v>
      </c>
      <c r="C404" s="10" t="s">
        <v>3567</v>
      </c>
      <c r="D404" s="14" t="s">
        <v>3568</v>
      </c>
      <c r="E404" s="10"/>
      <c r="F404" s="10" t="s">
        <v>133</v>
      </c>
      <c r="G404" s="111">
        <f>'Stavební rozpočet'!G2349</f>
      </c>
      <c r="H404" s="111">
        <f>'Stavební rozpočet'!H2349</f>
      </c>
      <c r="I404" s="111">
        <f>G404*H404</f>
      </c>
      <c r="J404" s="153" t="s">
        <v>134</v>
      </c>
      <c r="K404" s="146"/>
      <c r="Z404" s="111">
        <f>IF(AQ404="5",BJ404,0)</f>
      </c>
      <c r="AB404" s="111">
        <f>IF(AQ404="1",BH404,0)</f>
      </c>
      <c r="AC404" s="111">
        <f>IF(AQ404="1",BI404,0)</f>
      </c>
      <c r="AD404" s="111">
        <f>IF(AQ404="7",BH404,0)</f>
      </c>
      <c r="AE404" s="111">
        <f>IF(AQ404="7",BI404,0)</f>
      </c>
      <c r="AF404" s="111">
        <f>IF(AQ404="2",BH404,0)</f>
      </c>
      <c r="AG404" s="111">
        <f>IF(AQ404="2",BI404,0)</f>
      </c>
      <c r="AH404" s="111">
        <f>IF(AQ404="0",BJ404,0)</f>
      </c>
      <c r="AI404" s="132" t="s">
        <v>87</v>
      </c>
      <c r="AJ404" s="111">
        <f>IF(AN404=0,I404,0)</f>
      </c>
      <c r="AK404" s="111">
        <f>IF(AN404=12,I404,0)</f>
      </c>
      <c r="AL404" s="111">
        <f>IF(AN404=21,I404,0)</f>
      </c>
      <c r="AN404" s="111" t="n">
        <v>21</v>
      </c>
      <c r="AO404" s="111">
        <f>H404*0.676952909</f>
      </c>
      <c r="AP404" s="111">
        <f>H404*(1-0.676952909)</f>
      </c>
      <c r="AQ404" s="153" t="s">
        <v>173</v>
      </c>
      <c r="AV404" s="111">
        <f>AW404+AX404</f>
      </c>
      <c r="AW404" s="111">
        <f>G404*AO404</f>
      </c>
      <c r="AX404" s="111">
        <f>G404*AP404</f>
      </c>
      <c r="AY404" s="153" t="s">
        <v>1949</v>
      </c>
      <c r="AZ404" s="153" t="s">
        <v>3333</v>
      </c>
      <c r="BA404" s="132" t="s">
        <v>2990</v>
      </c>
      <c r="BC404" s="111">
        <f>AW404+AX404</f>
      </c>
      <c r="BD404" s="111">
        <f>H404/(100-BE404)*100</f>
      </c>
      <c r="BE404" s="111" t="n">
        <v>0</v>
      </c>
      <c r="BF404" s="111">
        <f>404</f>
      </c>
      <c r="BH404" s="111">
        <f>G404*AO404</f>
      </c>
      <c r="BI404" s="111">
        <f>G404*AP404</f>
      </c>
      <c r="BJ404" s="111">
        <f>G404*H404</f>
      </c>
      <c r="BK404" s="111"/>
      <c r="BL404" s="111" t="n">
        <v>722</v>
      </c>
      <c r="BW404" s="111" t="n">
        <v>21</v>
      </c>
      <c r="BX404" s="14" t="s">
        <v>3568</v>
      </c>
    </row>
    <row r="405">
      <c r="A405" s="154"/>
      <c r="B405" s="155"/>
      <c r="C405" s="155"/>
      <c r="D405" s="156" t="s">
        <v>154</v>
      </c>
      <c r="E405" s="156" t="s">
        <v>4</v>
      </c>
      <c r="F405" s="155"/>
      <c r="G405" s="157" t="n">
        <v>12</v>
      </c>
      <c r="H405" s="155"/>
      <c r="I405" s="155"/>
      <c r="J405" s="155"/>
      <c r="K405" s="146"/>
    </row>
    <row r="406">
      <c r="A406" s="9" t="s">
        <v>1188</v>
      </c>
      <c r="B406" s="10" t="s">
        <v>87</v>
      </c>
      <c r="C406" s="10" t="s">
        <v>3570</v>
      </c>
      <c r="D406" s="14" t="s">
        <v>3571</v>
      </c>
      <c r="E406" s="10"/>
      <c r="F406" s="10" t="s">
        <v>133</v>
      </c>
      <c r="G406" s="111">
        <f>'Stavební rozpočet'!G2351</f>
      </c>
      <c r="H406" s="111">
        <f>'Stavební rozpočet'!H2351</f>
      </c>
      <c r="I406" s="111">
        <f>G406*H406</f>
      </c>
      <c r="J406" s="153" t="s">
        <v>134</v>
      </c>
      <c r="K406" s="146"/>
      <c r="Z406" s="111">
        <f>IF(AQ406="5",BJ406,0)</f>
      </c>
      <c r="AB406" s="111">
        <f>IF(AQ406="1",BH406,0)</f>
      </c>
      <c r="AC406" s="111">
        <f>IF(AQ406="1",BI406,0)</f>
      </c>
      <c r="AD406" s="111">
        <f>IF(AQ406="7",BH406,0)</f>
      </c>
      <c r="AE406" s="111">
        <f>IF(AQ406="7",BI406,0)</f>
      </c>
      <c r="AF406" s="111">
        <f>IF(AQ406="2",BH406,0)</f>
      </c>
      <c r="AG406" s="111">
        <f>IF(AQ406="2",BI406,0)</f>
      </c>
      <c r="AH406" s="111">
        <f>IF(AQ406="0",BJ406,0)</f>
      </c>
      <c r="AI406" s="132" t="s">
        <v>87</v>
      </c>
      <c r="AJ406" s="111">
        <f>IF(AN406=0,I406,0)</f>
      </c>
      <c r="AK406" s="111">
        <f>IF(AN406=12,I406,0)</f>
      </c>
      <c r="AL406" s="111">
        <f>IF(AN406=21,I406,0)</f>
      </c>
      <c r="AN406" s="111" t="n">
        <v>21</v>
      </c>
      <c r="AO406" s="111">
        <f>H406*0.767472727</f>
      </c>
      <c r="AP406" s="111">
        <f>H406*(1-0.767472727)</f>
      </c>
      <c r="AQ406" s="153" t="s">
        <v>173</v>
      </c>
      <c r="AV406" s="111">
        <f>AW406+AX406</f>
      </c>
      <c r="AW406" s="111">
        <f>G406*AO406</f>
      </c>
      <c r="AX406" s="111">
        <f>G406*AP406</f>
      </c>
      <c r="AY406" s="153" t="s">
        <v>1949</v>
      </c>
      <c r="AZ406" s="153" t="s">
        <v>3333</v>
      </c>
      <c r="BA406" s="132" t="s">
        <v>2990</v>
      </c>
      <c r="BC406" s="111">
        <f>AW406+AX406</f>
      </c>
      <c r="BD406" s="111">
        <f>H406/(100-BE406)*100</f>
      </c>
      <c r="BE406" s="111" t="n">
        <v>0</v>
      </c>
      <c r="BF406" s="111">
        <f>406</f>
      </c>
      <c r="BH406" s="111">
        <f>G406*AO406</f>
      </c>
      <c r="BI406" s="111">
        <f>G406*AP406</f>
      </c>
      <c r="BJ406" s="111">
        <f>G406*H406</f>
      </c>
      <c r="BK406" s="111"/>
      <c r="BL406" s="111" t="n">
        <v>722</v>
      </c>
      <c r="BW406" s="111" t="n">
        <v>21</v>
      </c>
      <c r="BX406" s="14" t="s">
        <v>3571</v>
      </c>
    </row>
    <row r="407">
      <c r="A407" s="154"/>
      <c r="B407" s="155"/>
      <c r="C407" s="155"/>
      <c r="D407" s="156" t="s">
        <v>165</v>
      </c>
      <c r="E407" s="156" t="s">
        <v>4</v>
      </c>
      <c r="F407" s="155"/>
      <c r="G407" s="157" t="n">
        <v>6</v>
      </c>
      <c r="H407" s="155"/>
      <c r="I407" s="155"/>
      <c r="J407" s="155"/>
      <c r="K407" s="146"/>
    </row>
    <row r="408">
      <c r="A408" s="9" t="s">
        <v>1202</v>
      </c>
      <c r="B408" s="10" t="s">
        <v>87</v>
      </c>
      <c r="C408" s="10" t="s">
        <v>3573</v>
      </c>
      <c r="D408" s="14" t="s">
        <v>3574</v>
      </c>
      <c r="E408" s="10"/>
      <c r="F408" s="10" t="s">
        <v>133</v>
      </c>
      <c r="G408" s="111">
        <f>'Stavební rozpočet'!G2353</f>
      </c>
      <c r="H408" s="111">
        <f>'Stavební rozpočet'!H2353</f>
      </c>
      <c r="I408" s="111">
        <f>G408*H408</f>
      </c>
      <c r="J408" s="153" t="s">
        <v>134</v>
      </c>
      <c r="K408" s="146"/>
      <c r="Z408" s="111">
        <f>IF(AQ408="5",BJ408,0)</f>
      </c>
      <c r="AB408" s="111">
        <f>IF(AQ408="1",BH408,0)</f>
      </c>
      <c r="AC408" s="111">
        <f>IF(AQ408="1",BI408,0)</f>
      </c>
      <c r="AD408" s="111">
        <f>IF(AQ408="7",BH408,0)</f>
      </c>
      <c r="AE408" s="111">
        <f>IF(AQ408="7",BI408,0)</f>
      </c>
      <c r="AF408" s="111">
        <f>IF(AQ408="2",BH408,0)</f>
      </c>
      <c r="AG408" s="111">
        <f>IF(AQ408="2",BI408,0)</f>
      </c>
      <c r="AH408" s="111">
        <f>IF(AQ408="0",BJ408,0)</f>
      </c>
      <c r="AI408" s="132" t="s">
        <v>87</v>
      </c>
      <c r="AJ408" s="111">
        <f>IF(AN408=0,I408,0)</f>
      </c>
      <c r="AK408" s="111">
        <f>IF(AN408=12,I408,0)</f>
      </c>
      <c r="AL408" s="111">
        <f>IF(AN408=21,I408,0)</f>
      </c>
      <c r="AN408" s="111" t="n">
        <v>21</v>
      </c>
      <c r="AO408" s="111">
        <f>H408*0.814731051</f>
      </c>
      <c r="AP408" s="111">
        <f>H408*(1-0.814731051)</f>
      </c>
      <c r="AQ408" s="153" t="s">
        <v>173</v>
      </c>
      <c r="AV408" s="111">
        <f>AW408+AX408</f>
      </c>
      <c r="AW408" s="111">
        <f>G408*AO408</f>
      </c>
      <c r="AX408" s="111">
        <f>G408*AP408</f>
      </c>
      <c r="AY408" s="153" t="s">
        <v>1949</v>
      </c>
      <c r="AZ408" s="153" t="s">
        <v>3333</v>
      </c>
      <c r="BA408" s="132" t="s">
        <v>2990</v>
      </c>
      <c r="BC408" s="111">
        <f>AW408+AX408</f>
      </c>
      <c r="BD408" s="111">
        <f>H408/(100-BE408)*100</f>
      </c>
      <c r="BE408" s="111" t="n">
        <v>0</v>
      </c>
      <c r="BF408" s="111">
        <f>408</f>
      </c>
      <c r="BH408" s="111">
        <f>G408*AO408</f>
      </c>
      <c r="BI408" s="111">
        <f>G408*AP408</f>
      </c>
      <c r="BJ408" s="111">
        <f>G408*H408</f>
      </c>
      <c r="BK408" s="111"/>
      <c r="BL408" s="111" t="n">
        <v>722</v>
      </c>
      <c r="BW408" s="111" t="n">
        <v>21</v>
      </c>
      <c r="BX408" s="14" t="s">
        <v>3574</v>
      </c>
    </row>
    <row r="409">
      <c r="A409" s="154"/>
      <c r="B409" s="155"/>
      <c r="C409" s="155"/>
      <c r="D409" s="156" t="s">
        <v>130</v>
      </c>
      <c r="E409" s="156" t="s">
        <v>4</v>
      </c>
      <c r="F409" s="155"/>
      <c r="G409" s="157" t="n">
        <v>1</v>
      </c>
      <c r="H409" s="155"/>
      <c r="I409" s="155"/>
      <c r="J409" s="155"/>
      <c r="K409" s="146"/>
    </row>
    <row r="410">
      <c r="A410" s="9" t="s">
        <v>1212</v>
      </c>
      <c r="B410" s="10" t="s">
        <v>87</v>
      </c>
      <c r="C410" s="10" t="s">
        <v>3576</v>
      </c>
      <c r="D410" s="14" t="s">
        <v>3577</v>
      </c>
      <c r="E410" s="10"/>
      <c r="F410" s="10" t="s">
        <v>133</v>
      </c>
      <c r="G410" s="111">
        <f>'Stavební rozpočet'!G2355</f>
      </c>
      <c r="H410" s="111">
        <f>'Stavební rozpočet'!H2355</f>
      </c>
      <c r="I410" s="111">
        <f>G410*H410</f>
      </c>
      <c r="J410" s="153" t="s">
        <v>134</v>
      </c>
      <c r="K410" s="146"/>
      <c r="Z410" s="111">
        <f>IF(AQ410="5",BJ410,0)</f>
      </c>
      <c r="AB410" s="111">
        <f>IF(AQ410="1",BH410,0)</f>
      </c>
      <c r="AC410" s="111">
        <f>IF(AQ410="1",BI410,0)</f>
      </c>
      <c r="AD410" s="111">
        <f>IF(AQ410="7",BH410,0)</f>
      </c>
      <c r="AE410" s="111">
        <f>IF(AQ410="7",BI410,0)</f>
      </c>
      <c r="AF410" s="111">
        <f>IF(AQ410="2",BH410,0)</f>
      </c>
      <c r="AG410" s="111">
        <f>IF(AQ410="2",BI410,0)</f>
      </c>
      <c r="AH410" s="111">
        <f>IF(AQ410="0",BJ410,0)</f>
      </c>
      <c r="AI410" s="132" t="s">
        <v>87</v>
      </c>
      <c r="AJ410" s="111">
        <f>IF(AN410=0,I410,0)</f>
      </c>
      <c r="AK410" s="111">
        <f>IF(AN410=12,I410,0)</f>
      </c>
      <c r="AL410" s="111">
        <f>IF(AN410=21,I410,0)</f>
      </c>
      <c r="AN410" s="111" t="n">
        <v>21</v>
      </c>
      <c r="AO410" s="111">
        <f>H410*0.831255706</f>
      </c>
      <c r="AP410" s="111">
        <f>H410*(1-0.831255706)</f>
      </c>
      <c r="AQ410" s="153" t="s">
        <v>173</v>
      </c>
      <c r="AV410" s="111">
        <f>AW410+AX410</f>
      </c>
      <c r="AW410" s="111">
        <f>G410*AO410</f>
      </c>
      <c r="AX410" s="111">
        <f>G410*AP410</f>
      </c>
      <c r="AY410" s="153" t="s">
        <v>1949</v>
      </c>
      <c r="AZ410" s="153" t="s">
        <v>3333</v>
      </c>
      <c r="BA410" s="132" t="s">
        <v>2990</v>
      </c>
      <c r="BC410" s="111">
        <f>AW410+AX410</f>
      </c>
      <c r="BD410" s="111">
        <f>H410/(100-BE410)*100</f>
      </c>
      <c r="BE410" s="111" t="n">
        <v>0</v>
      </c>
      <c r="BF410" s="111">
        <f>410</f>
      </c>
      <c r="BH410" s="111">
        <f>G410*AO410</f>
      </c>
      <c r="BI410" s="111">
        <f>G410*AP410</f>
      </c>
      <c r="BJ410" s="111">
        <f>G410*H410</f>
      </c>
      <c r="BK410" s="111"/>
      <c r="BL410" s="111" t="n">
        <v>722</v>
      </c>
      <c r="BW410" s="111" t="n">
        <v>21</v>
      </c>
      <c r="BX410" s="14" t="s">
        <v>3577</v>
      </c>
    </row>
    <row r="411">
      <c r="A411" s="154"/>
      <c r="B411" s="155"/>
      <c r="C411" s="155"/>
      <c r="D411" s="156" t="s">
        <v>138</v>
      </c>
      <c r="E411" s="156" t="s">
        <v>4</v>
      </c>
      <c r="F411" s="155"/>
      <c r="G411" s="157" t="n">
        <v>3</v>
      </c>
      <c r="H411" s="155"/>
      <c r="I411" s="155"/>
      <c r="J411" s="155"/>
      <c r="K411" s="146"/>
    </row>
    <row r="412">
      <c r="A412" s="9" t="s">
        <v>1218</v>
      </c>
      <c r="B412" s="10" t="s">
        <v>87</v>
      </c>
      <c r="C412" s="10" t="s">
        <v>3579</v>
      </c>
      <c r="D412" s="14" t="s">
        <v>3580</v>
      </c>
      <c r="E412" s="10"/>
      <c r="F412" s="10" t="s">
        <v>133</v>
      </c>
      <c r="G412" s="111">
        <f>'Stavební rozpočet'!G2357</f>
      </c>
      <c r="H412" s="111">
        <f>'Stavební rozpočet'!H2357</f>
      </c>
      <c r="I412" s="111">
        <f>G412*H412</f>
      </c>
      <c r="J412" s="153" t="s">
        <v>134</v>
      </c>
      <c r="K412" s="146"/>
      <c r="Z412" s="111">
        <f>IF(AQ412="5",BJ412,0)</f>
      </c>
      <c r="AB412" s="111">
        <f>IF(AQ412="1",BH412,0)</f>
      </c>
      <c r="AC412" s="111">
        <f>IF(AQ412="1",BI412,0)</f>
      </c>
      <c r="AD412" s="111">
        <f>IF(AQ412="7",BH412,0)</f>
      </c>
      <c r="AE412" s="111">
        <f>IF(AQ412="7",BI412,0)</f>
      </c>
      <c r="AF412" s="111">
        <f>IF(AQ412="2",BH412,0)</f>
      </c>
      <c r="AG412" s="111">
        <f>IF(AQ412="2",BI412,0)</f>
      </c>
      <c r="AH412" s="111">
        <f>IF(AQ412="0",BJ412,0)</f>
      </c>
      <c r="AI412" s="132" t="s">
        <v>87</v>
      </c>
      <c r="AJ412" s="111">
        <f>IF(AN412=0,I412,0)</f>
      </c>
      <c r="AK412" s="111">
        <f>IF(AN412=12,I412,0)</f>
      </c>
      <c r="AL412" s="111">
        <f>IF(AN412=21,I412,0)</f>
      </c>
      <c r="AN412" s="111" t="n">
        <v>21</v>
      </c>
      <c r="AO412" s="111">
        <f>H412*0.822933333</f>
      </c>
      <c r="AP412" s="111">
        <f>H412*(1-0.822933333)</f>
      </c>
      <c r="AQ412" s="153" t="s">
        <v>173</v>
      </c>
      <c r="AV412" s="111">
        <f>AW412+AX412</f>
      </c>
      <c r="AW412" s="111">
        <f>G412*AO412</f>
      </c>
      <c r="AX412" s="111">
        <f>G412*AP412</f>
      </c>
      <c r="AY412" s="153" t="s">
        <v>1949</v>
      </c>
      <c r="AZ412" s="153" t="s">
        <v>3333</v>
      </c>
      <c r="BA412" s="132" t="s">
        <v>2990</v>
      </c>
      <c r="BC412" s="111">
        <f>AW412+AX412</f>
      </c>
      <c r="BD412" s="111">
        <f>H412/(100-BE412)*100</f>
      </c>
      <c r="BE412" s="111" t="n">
        <v>0</v>
      </c>
      <c r="BF412" s="111">
        <f>412</f>
      </c>
      <c r="BH412" s="111">
        <f>G412*AO412</f>
      </c>
      <c r="BI412" s="111">
        <f>G412*AP412</f>
      </c>
      <c r="BJ412" s="111">
        <f>G412*H412</f>
      </c>
      <c r="BK412" s="111"/>
      <c r="BL412" s="111" t="n">
        <v>722</v>
      </c>
      <c r="BW412" s="111" t="n">
        <v>21</v>
      </c>
      <c r="BX412" s="14" t="s">
        <v>3580</v>
      </c>
    </row>
    <row r="413">
      <c r="A413" s="154"/>
      <c r="B413" s="155"/>
      <c r="C413" s="155"/>
      <c r="D413" s="156" t="s">
        <v>149</v>
      </c>
      <c r="E413" s="156" t="s">
        <v>4</v>
      </c>
      <c r="F413" s="155"/>
      <c r="G413" s="157" t="n">
        <v>4</v>
      </c>
      <c r="H413" s="155"/>
      <c r="I413" s="155"/>
      <c r="J413" s="155"/>
      <c r="K413" s="146"/>
    </row>
    <row r="414">
      <c r="A414" s="9" t="s">
        <v>1221</v>
      </c>
      <c r="B414" s="10" t="s">
        <v>87</v>
      </c>
      <c r="C414" s="10" t="s">
        <v>3582</v>
      </c>
      <c r="D414" s="14" t="s">
        <v>3583</v>
      </c>
      <c r="E414" s="10"/>
      <c r="F414" s="10" t="s">
        <v>133</v>
      </c>
      <c r="G414" s="111">
        <f>'Stavební rozpočet'!G2359</f>
      </c>
      <c r="H414" s="111">
        <f>'Stavební rozpočet'!H2359</f>
      </c>
      <c r="I414" s="111">
        <f>G414*H414</f>
      </c>
      <c r="J414" s="153" t="s">
        <v>134</v>
      </c>
      <c r="K414" s="146"/>
      <c r="Z414" s="111">
        <f>IF(AQ414="5",BJ414,0)</f>
      </c>
      <c r="AB414" s="111">
        <f>IF(AQ414="1",BH414,0)</f>
      </c>
      <c r="AC414" s="111">
        <f>IF(AQ414="1",BI414,0)</f>
      </c>
      <c r="AD414" s="111">
        <f>IF(AQ414="7",BH414,0)</f>
      </c>
      <c r="AE414" s="111">
        <f>IF(AQ414="7",BI414,0)</f>
      </c>
      <c r="AF414" s="111">
        <f>IF(AQ414="2",BH414,0)</f>
      </c>
      <c r="AG414" s="111">
        <f>IF(AQ414="2",BI414,0)</f>
      </c>
      <c r="AH414" s="111">
        <f>IF(AQ414="0",BJ414,0)</f>
      </c>
      <c r="AI414" s="132" t="s">
        <v>87</v>
      </c>
      <c r="AJ414" s="111">
        <f>IF(AN414=0,I414,0)</f>
      </c>
      <c r="AK414" s="111">
        <f>IF(AN414=12,I414,0)</f>
      </c>
      <c r="AL414" s="111">
        <f>IF(AN414=21,I414,0)</f>
      </c>
      <c r="AN414" s="111" t="n">
        <v>21</v>
      </c>
      <c r="AO414" s="111">
        <f>H414*0.825940299</f>
      </c>
      <c r="AP414" s="111">
        <f>H414*(1-0.825940299)</f>
      </c>
      <c r="AQ414" s="153" t="s">
        <v>173</v>
      </c>
      <c r="AV414" s="111">
        <f>AW414+AX414</f>
      </c>
      <c r="AW414" s="111">
        <f>G414*AO414</f>
      </c>
      <c r="AX414" s="111">
        <f>G414*AP414</f>
      </c>
      <c r="AY414" s="153" t="s">
        <v>1949</v>
      </c>
      <c r="AZ414" s="153" t="s">
        <v>3333</v>
      </c>
      <c r="BA414" s="132" t="s">
        <v>2990</v>
      </c>
      <c r="BC414" s="111">
        <f>AW414+AX414</f>
      </c>
      <c r="BD414" s="111">
        <f>H414/(100-BE414)*100</f>
      </c>
      <c r="BE414" s="111" t="n">
        <v>0</v>
      </c>
      <c r="BF414" s="111">
        <f>414</f>
      </c>
      <c r="BH414" s="111">
        <f>G414*AO414</f>
      </c>
      <c r="BI414" s="111">
        <f>G414*AP414</f>
      </c>
      <c r="BJ414" s="111">
        <f>G414*H414</f>
      </c>
      <c r="BK414" s="111"/>
      <c r="BL414" s="111" t="n">
        <v>722</v>
      </c>
      <c r="BW414" s="111" t="n">
        <v>21</v>
      </c>
      <c r="BX414" s="14" t="s">
        <v>3583</v>
      </c>
    </row>
    <row r="415">
      <c r="A415" s="154"/>
      <c r="B415" s="155"/>
      <c r="C415" s="155"/>
      <c r="D415" s="156" t="s">
        <v>138</v>
      </c>
      <c r="E415" s="156" t="s">
        <v>4</v>
      </c>
      <c r="F415" s="155"/>
      <c r="G415" s="157" t="n">
        <v>3</v>
      </c>
      <c r="H415" s="155"/>
      <c r="I415" s="155"/>
      <c r="J415" s="155"/>
      <c r="K415" s="146"/>
    </row>
    <row r="416">
      <c r="A416" s="9" t="s">
        <v>1227</v>
      </c>
      <c r="B416" s="10" t="s">
        <v>87</v>
      </c>
      <c r="C416" s="10" t="s">
        <v>3585</v>
      </c>
      <c r="D416" s="14" t="s">
        <v>3586</v>
      </c>
      <c r="E416" s="10"/>
      <c r="F416" s="10" t="s">
        <v>133</v>
      </c>
      <c r="G416" s="111">
        <f>'Stavební rozpočet'!G2361</f>
      </c>
      <c r="H416" s="111">
        <f>'Stavební rozpočet'!H2361</f>
      </c>
      <c r="I416" s="111">
        <f>G416*H416</f>
      </c>
      <c r="J416" s="153" t="s">
        <v>134</v>
      </c>
      <c r="K416" s="146"/>
      <c r="Z416" s="111">
        <f>IF(AQ416="5",BJ416,0)</f>
      </c>
      <c r="AB416" s="111">
        <f>IF(AQ416="1",BH416,0)</f>
      </c>
      <c r="AC416" s="111">
        <f>IF(AQ416="1",BI416,0)</f>
      </c>
      <c r="AD416" s="111">
        <f>IF(AQ416="7",BH416,0)</f>
      </c>
      <c r="AE416" s="111">
        <f>IF(AQ416="7",BI416,0)</f>
      </c>
      <c r="AF416" s="111">
        <f>IF(AQ416="2",BH416,0)</f>
      </c>
      <c r="AG416" s="111">
        <f>IF(AQ416="2",BI416,0)</f>
      </c>
      <c r="AH416" s="111">
        <f>IF(AQ416="0",BJ416,0)</f>
      </c>
      <c r="AI416" s="132" t="s">
        <v>87</v>
      </c>
      <c r="AJ416" s="111">
        <f>IF(AN416=0,I416,0)</f>
      </c>
      <c r="AK416" s="111">
        <f>IF(AN416=12,I416,0)</f>
      </c>
      <c r="AL416" s="111">
        <f>IF(AN416=21,I416,0)</f>
      </c>
      <c r="AN416" s="111" t="n">
        <v>21</v>
      </c>
      <c r="AO416" s="111">
        <f>H416*0.869366701</f>
      </c>
      <c r="AP416" s="111">
        <f>H416*(1-0.869366701)</f>
      </c>
      <c r="AQ416" s="153" t="s">
        <v>173</v>
      </c>
      <c r="AV416" s="111">
        <f>AW416+AX416</f>
      </c>
      <c r="AW416" s="111">
        <f>G416*AO416</f>
      </c>
      <c r="AX416" s="111">
        <f>G416*AP416</f>
      </c>
      <c r="AY416" s="153" t="s">
        <v>1949</v>
      </c>
      <c r="AZ416" s="153" t="s">
        <v>3333</v>
      </c>
      <c r="BA416" s="132" t="s">
        <v>2990</v>
      </c>
      <c r="BC416" s="111">
        <f>AW416+AX416</f>
      </c>
      <c r="BD416" s="111">
        <f>H416/(100-BE416)*100</f>
      </c>
      <c r="BE416" s="111" t="n">
        <v>0</v>
      </c>
      <c r="BF416" s="111">
        <f>416</f>
      </c>
      <c r="BH416" s="111">
        <f>G416*AO416</f>
      </c>
      <c r="BI416" s="111">
        <f>G416*AP416</f>
      </c>
      <c r="BJ416" s="111">
        <f>G416*H416</f>
      </c>
      <c r="BK416" s="111"/>
      <c r="BL416" s="111" t="n">
        <v>722</v>
      </c>
      <c r="BW416" s="111" t="n">
        <v>21</v>
      </c>
      <c r="BX416" s="14" t="s">
        <v>3586</v>
      </c>
    </row>
    <row r="417">
      <c r="A417" s="154"/>
      <c r="B417" s="155"/>
      <c r="C417" s="155"/>
      <c r="D417" s="156" t="s">
        <v>138</v>
      </c>
      <c r="E417" s="156" t="s">
        <v>4</v>
      </c>
      <c r="F417" s="155"/>
      <c r="G417" s="157" t="n">
        <v>3</v>
      </c>
      <c r="H417" s="155"/>
      <c r="I417" s="155"/>
      <c r="J417" s="155"/>
      <c r="K417" s="146"/>
    </row>
    <row r="418">
      <c r="A418" s="9" t="s">
        <v>1239</v>
      </c>
      <c r="B418" s="10" t="s">
        <v>87</v>
      </c>
      <c r="C418" s="10" t="s">
        <v>3588</v>
      </c>
      <c r="D418" s="14" t="s">
        <v>3589</v>
      </c>
      <c r="E418" s="10"/>
      <c r="F418" s="10" t="s">
        <v>133</v>
      </c>
      <c r="G418" s="111">
        <f>'Stavební rozpočet'!G2363</f>
      </c>
      <c r="H418" s="111">
        <f>'Stavební rozpočet'!H2363</f>
      </c>
      <c r="I418" s="111">
        <f>G418*H418</f>
      </c>
      <c r="J418" s="153" t="s">
        <v>134</v>
      </c>
      <c r="K418" s="146"/>
      <c r="Z418" s="111">
        <f>IF(AQ418="5",BJ418,0)</f>
      </c>
      <c r="AB418" s="111">
        <f>IF(AQ418="1",BH418,0)</f>
      </c>
      <c r="AC418" s="111">
        <f>IF(AQ418="1",BI418,0)</f>
      </c>
      <c r="AD418" s="111">
        <f>IF(AQ418="7",BH418,0)</f>
      </c>
      <c r="AE418" s="111">
        <f>IF(AQ418="7",BI418,0)</f>
      </c>
      <c r="AF418" s="111">
        <f>IF(AQ418="2",BH418,0)</f>
      </c>
      <c r="AG418" s="111">
        <f>IF(AQ418="2",BI418,0)</f>
      </c>
      <c r="AH418" s="111">
        <f>IF(AQ418="0",BJ418,0)</f>
      </c>
      <c r="AI418" s="132" t="s">
        <v>87</v>
      </c>
      <c r="AJ418" s="111">
        <f>IF(AN418=0,I418,0)</f>
      </c>
      <c r="AK418" s="111">
        <f>IF(AN418=12,I418,0)</f>
      </c>
      <c r="AL418" s="111">
        <f>IF(AN418=21,I418,0)</f>
      </c>
      <c r="AN418" s="111" t="n">
        <v>21</v>
      </c>
      <c r="AO418" s="111">
        <f>H418*0.887574184</f>
      </c>
      <c r="AP418" s="111">
        <f>H418*(1-0.887574184)</f>
      </c>
      <c r="AQ418" s="153" t="s">
        <v>173</v>
      </c>
      <c r="AV418" s="111">
        <f>AW418+AX418</f>
      </c>
      <c r="AW418" s="111">
        <f>G418*AO418</f>
      </c>
      <c r="AX418" s="111">
        <f>G418*AP418</f>
      </c>
      <c r="AY418" s="153" t="s">
        <v>1949</v>
      </c>
      <c r="AZ418" s="153" t="s">
        <v>3333</v>
      </c>
      <c r="BA418" s="132" t="s">
        <v>2990</v>
      </c>
      <c r="BC418" s="111">
        <f>AW418+AX418</f>
      </c>
      <c r="BD418" s="111">
        <f>H418/(100-BE418)*100</f>
      </c>
      <c r="BE418" s="111" t="n">
        <v>0</v>
      </c>
      <c r="BF418" s="111">
        <f>418</f>
      </c>
      <c r="BH418" s="111">
        <f>G418*AO418</f>
      </c>
      <c r="BI418" s="111">
        <f>G418*AP418</f>
      </c>
      <c r="BJ418" s="111">
        <f>G418*H418</f>
      </c>
      <c r="BK418" s="111"/>
      <c r="BL418" s="111" t="n">
        <v>722</v>
      </c>
      <c r="BW418" s="111" t="n">
        <v>21</v>
      </c>
      <c r="BX418" s="14" t="s">
        <v>3589</v>
      </c>
    </row>
    <row r="419">
      <c r="A419" s="154"/>
      <c r="B419" s="155"/>
      <c r="C419" s="155"/>
      <c r="D419" s="156" t="s">
        <v>149</v>
      </c>
      <c r="E419" s="156" t="s">
        <v>4</v>
      </c>
      <c r="F419" s="155"/>
      <c r="G419" s="157" t="n">
        <v>4</v>
      </c>
      <c r="H419" s="155"/>
      <c r="I419" s="155"/>
      <c r="J419" s="155"/>
      <c r="K419" s="146"/>
    </row>
    <row r="420">
      <c r="A420" s="9" t="s">
        <v>1247</v>
      </c>
      <c r="B420" s="10" t="s">
        <v>87</v>
      </c>
      <c r="C420" s="10" t="s">
        <v>3591</v>
      </c>
      <c r="D420" s="14" t="s">
        <v>3592</v>
      </c>
      <c r="E420" s="10"/>
      <c r="F420" s="10" t="s">
        <v>133</v>
      </c>
      <c r="G420" s="111">
        <f>'Stavební rozpočet'!G2365</f>
      </c>
      <c r="H420" s="111">
        <f>'Stavební rozpočet'!H2365</f>
      </c>
      <c r="I420" s="111">
        <f>G420*H420</f>
      </c>
      <c r="J420" s="153" t="s">
        <v>134</v>
      </c>
      <c r="K420" s="146"/>
      <c r="Z420" s="111">
        <f>IF(AQ420="5",BJ420,0)</f>
      </c>
      <c r="AB420" s="111">
        <f>IF(AQ420="1",BH420,0)</f>
      </c>
      <c r="AC420" s="111">
        <f>IF(AQ420="1",BI420,0)</f>
      </c>
      <c r="AD420" s="111">
        <f>IF(AQ420="7",BH420,0)</f>
      </c>
      <c r="AE420" s="111">
        <f>IF(AQ420="7",BI420,0)</f>
      </c>
      <c r="AF420" s="111">
        <f>IF(AQ420="2",BH420,0)</f>
      </c>
      <c r="AG420" s="111">
        <f>IF(AQ420="2",BI420,0)</f>
      </c>
      <c r="AH420" s="111">
        <f>IF(AQ420="0",BJ420,0)</f>
      </c>
      <c r="AI420" s="132" t="s">
        <v>87</v>
      </c>
      <c r="AJ420" s="111">
        <f>IF(AN420=0,I420,0)</f>
      </c>
      <c r="AK420" s="111">
        <f>IF(AN420=12,I420,0)</f>
      </c>
      <c r="AL420" s="111">
        <f>IF(AN420=21,I420,0)</f>
      </c>
      <c r="AN420" s="111" t="n">
        <v>21</v>
      </c>
      <c r="AO420" s="111">
        <f>H420*0.893386019</f>
      </c>
      <c r="AP420" s="111">
        <f>H420*(1-0.893386019)</f>
      </c>
      <c r="AQ420" s="153" t="s">
        <v>173</v>
      </c>
      <c r="AV420" s="111">
        <f>AW420+AX420</f>
      </c>
      <c r="AW420" s="111">
        <f>G420*AO420</f>
      </c>
      <c r="AX420" s="111">
        <f>G420*AP420</f>
      </c>
      <c r="AY420" s="153" t="s">
        <v>1949</v>
      </c>
      <c r="AZ420" s="153" t="s">
        <v>3333</v>
      </c>
      <c r="BA420" s="132" t="s">
        <v>2990</v>
      </c>
      <c r="BC420" s="111">
        <f>AW420+AX420</f>
      </c>
      <c r="BD420" s="111">
        <f>H420/(100-BE420)*100</f>
      </c>
      <c r="BE420" s="111" t="n">
        <v>0</v>
      </c>
      <c r="BF420" s="111">
        <f>420</f>
      </c>
      <c r="BH420" s="111">
        <f>G420*AO420</f>
      </c>
      <c r="BI420" s="111">
        <f>G420*AP420</f>
      </c>
      <c r="BJ420" s="111">
        <f>G420*H420</f>
      </c>
      <c r="BK420" s="111"/>
      <c r="BL420" s="111" t="n">
        <v>722</v>
      </c>
      <c r="BW420" s="111" t="n">
        <v>21</v>
      </c>
      <c r="BX420" s="14" t="s">
        <v>3592</v>
      </c>
    </row>
    <row r="421">
      <c r="A421" s="154"/>
      <c r="B421" s="155"/>
      <c r="C421" s="155"/>
      <c r="D421" s="156" t="s">
        <v>138</v>
      </c>
      <c r="E421" s="156" t="s">
        <v>4</v>
      </c>
      <c r="F421" s="155"/>
      <c r="G421" s="157" t="n">
        <v>3</v>
      </c>
      <c r="H421" s="155"/>
      <c r="I421" s="155"/>
      <c r="J421" s="155"/>
      <c r="K421" s="146"/>
    </row>
    <row r="422">
      <c r="A422" s="9" t="s">
        <v>1254</v>
      </c>
      <c r="B422" s="10" t="s">
        <v>87</v>
      </c>
      <c r="C422" s="10" t="s">
        <v>3594</v>
      </c>
      <c r="D422" s="14" t="s">
        <v>3595</v>
      </c>
      <c r="E422" s="10"/>
      <c r="F422" s="10" t="s">
        <v>133</v>
      </c>
      <c r="G422" s="111">
        <f>'Stavební rozpočet'!G2367</f>
      </c>
      <c r="H422" s="111">
        <f>'Stavební rozpočet'!H2367</f>
      </c>
      <c r="I422" s="111">
        <f>G422*H422</f>
      </c>
      <c r="J422" s="153" t="s">
        <v>134</v>
      </c>
      <c r="K422" s="146"/>
      <c r="Z422" s="111">
        <f>IF(AQ422="5",BJ422,0)</f>
      </c>
      <c r="AB422" s="111">
        <f>IF(AQ422="1",BH422,0)</f>
      </c>
      <c r="AC422" s="111">
        <f>IF(AQ422="1",BI422,0)</f>
      </c>
      <c r="AD422" s="111">
        <f>IF(AQ422="7",BH422,0)</f>
      </c>
      <c r="AE422" s="111">
        <f>IF(AQ422="7",BI422,0)</f>
      </c>
      <c r="AF422" s="111">
        <f>IF(AQ422="2",BH422,0)</f>
      </c>
      <c r="AG422" s="111">
        <f>IF(AQ422="2",BI422,0)</f>
      </c>
      <c r="AH422" s="111">
        <f>IF(AQ422="0",BJ422,0)</f>
      </c>
      <c r="AI422" s="132" t="s">
        <v>87</v>
      </c>
      <c r="AJ422" s="111">
        <f>IF(AN422=0,I422,0)</f>
      </c>
      <c r="AK422" s="111">
        <f>IF(AN422=12,I422,0)</f>
      </c>
      <c r="AL422" s="111">
        <f>IF(AN422=21,I422,0)</f>
      </c>
      <c r="AN422" s="111" t="n">
        <v>21</v>
      </c>
      <c r="AO422" s="111">
        <f>H422*0.914685714</f>
      </c>
      <c r="AP422" s="111">
        <f>H422*(1-0.914685714)</f>
      </c>
      <c r="AQ422" s="153" t="s">
        <v>173</v>
      </c>
      <c r="AV422" s="111">
        <f>AW422+AX422</f>
      </c>
      <c r="AW422" s="111">
        <f>G422*AO422</f>
      </c>
      <c r="AX422" s="111">
        <f>G422*AP422</f>
      </c>
      <c r="AY422" s="153" t="s">
        <v>1949</v>
      </c>
      <c r="AZ422" s="153" t="s">
        <v>3333</v>
      </c>
      <c r="BA422" s="132" t="s">
        <v>2990</v>
      </c>
      <c r="BC422" s="111">
        <f>AW422+AX422</f>
      </c>
      <c r="BD422" s="111">
        <f>H422/(100-BE422)*100</f>
      </c>
      <c r="BE422" s="111" t="n">
        <v>0</v>
      </c>
      <c r="BF422" s="111">
        <f>422</f>
      </c>
      <c r="BH422" s="111">
        <f>G422*AO422</f>
      </c>
      <c r="BI422" s="111">
        <f>G422*AP422</f>
      </c>
      <c r="BJ422" s="111">
        <f>G422*H422</f>
      </c>
      <c r="BK422" s="111"/>
      <c r="BL422" s="111" t="n">
        <v>722</v>
      </c>
      <c r="BW422" s="111" t="n">
        <v>21</v>
      </c>
      <c r="BX422" s="14" t="s">
        <v>3595</v>
      </c>
    </row>
    <row r="423">
      <c r="A423" s="154"/>
      <c r="B423" s="155"/>
      <c r="C423" s="155"/>
      <c r="D423" s="156" t="s">
        <v>138</v>
      </c>
      <c r="E423" s="156" t="s">
        <v>4</v>
      </c>
      <c r="F423" s="155"/>
      <c r="G423" s="157" t="n">
        <v>3</v>
      </c>
      <c r="H423" s="155"/>
      <c r="I423" s="155"/>
      <c r="J423" s="155"/>
      <c r="K423" s="146"/>
    </row>
    <row r="424">
      <c r="A424" s="9" t="s">
        <v>1257</v>
      </c>
      <c r="B424" s="10" t="s">
        <v>87</v>
      </c>
      <c r="C424" s="10" t="s">
        <v>3597</v>
      </c>
      <c r="D424" s="14" t="s">
        <v>3598</v>
      </c>
      <c r="E424" s="10"/>
      <c r="F424" s="10" t="s">
        <v>133</v>
      </c>
      <c r="G424" s="111">
        <f>'Stavební rozpočet'!G2369</f>
      </c>
      <c r="H424" s="111">
        <f>'Stavební rozpočet'!H2369</f>
      </c>
      <c r="I424" s="111">
        <f>G424*H424</f>
      </c>
      <c r="J424" s="153" t="s">
        <v>134</v>
      </c>
      <c r="K424" s="146"/>
      <c r="Z424" s="111">
        <f>IF(AQ424="5",BJ424,0)</f>
      </c>
      <c r="AB424" s="111">
        <f>IF(AQ424="1",BH424,0)</f>
      </c>
      <c r="AC424" s="111">
        <f>IF(AQ424="1",BI424,0)</f>
      </c>
      <c r="AD424" s="111">
        <f>IF(AQ424="7",BH424,0)</f>
      </c>
      <c r="AE424" s="111">
        <f>IF(AQ424="7",BI424,0)</f>
      </c>
      <c r="AF424" s="111">
        <f>IF(AQ424="2",BH424,0)</f>
      </c>
      <c r="AG424" s="111">
        <f>IF(AQ424="2",BI424,0)</f>
      </c>
      <c r="AH424" s="111">
        <f>IF(AQ424="0",BJ424,0)</f>
      </c>
      <c r="AI424" s="132" t="s">
        <v>87</v>
      </c>
      <c r="AJ424" s="111">
        <f>IF(AN424=0,I424,0)</f>
      </c>
      <c r="AK424" s="111">
        <f>IF(AN424=12,I424,0)</f>
      </c>
      <c r="AL424" s="111">
        <f>IF(AN424=21,I424,0)</f>
      </c>
      <c r="AN424" s="111" t="n">
        <v>21</v>
      </c>
      <c r="AO424" s="111">
        <f>H424*0.926629834</f>
      </c>
      <c r="AP424" s="111">
        <f>H424*(1-0.926629834)</f>
      </c>
      <c r="AQ424" s="153" t="s">
        <v>173</v>
      </c>
      <c r="AV424" s="111">
        <f>AW424+AX424</f>
      </c>
      <c r="AW424" s="111">
        <f>G424*AO424</f>
      </c>
      <c r="AX424" s="111">
        <f>G424*AP424</f>
      </c>
      <c r="AY424" s="153" t="s">
        <v>1949</v>
      </c>
      <c r="AZ424" s="153" t="s">
        <v>3333</v>
      </c>
      <c r="BA424" s="132" t="s">
        <v>2990</v>
      </c>
      <c r="BC424" s="111">
        <f>AW424+AX424</f>
      </c>
      <c r="BD424" s="111">
        <f>H424/(100-BE424)*100</f>
      </c>
      <c r="BE424" s="111" t="n">
        <v>0</v>
      </c>
      <c r="BF424" s="111">
        <f>424</f>
      </c>
      <c r="BH424" s="111">
        <f>G424*AO424</f>
      </c>
      <c r="BI424" s="111">
        <f>G424*AP424</f>
      </c>
      <c r="BJ424" s="111">
        <f>G424*H424</f>
      </c>
      <c r="BK424" s="111"/>
      <c r="BL424" s="111" t="n">
        <v>722</v>
      </c>
      <c r="BW424" s="111" t="n">
        <v>21</v>
      </c>
      <c r="BX424" s="14" t="s">
        <v>3598</v>
      </c>
    </row>
    <row r="425">
      <c r="A425" s="154"/>
      <c r="B425" s="155"/>
      <c r="C425" s="155"/>
      <c r="D425" s="156" t="s">
        <v>140</v>
      </c>
      <c r="E425" s="156" t="s">
        <v>4</v>
      </c>
      <c r="F425" s="155"/>
      <c r="G425" s="157" t="n">
        <v>2</v>
      </c>
      <c r="H425" s="155"/>
      <c r="I425" s="155"/>
      <c r="J425" s="155"/>
      <c r="K425" s="146"/>
    </row>
    <row r="426">
      <c r="A426" s="9" t="s">
        <v>1262</v>
      </c>
      <c r="B426" s="10" t="s">
        <v>87</v>
      </c>
      <c r="C426" s="10" t="s">
        <v>3600</v>
      </c>
      <c r="D426" s="14" t="s">
        <v>3601</v>
      </c>
      <c r="E426" s="10"/>
      <c r="F426" s="10" t="s">
        <v>133</v>
      </c>
      <c r="G426" s="111">
        <f>'Stavební rozpočet'!G2371</f>
      </c>
      <c r="H426" s="111">
        <f>'Stavební rozpočet'!H2371</f>
      </c>
      <c r="I426" s="111">
        <f>G426*H426</f>
      </c>
      <c r="J426" s="153" t="s">
        <v>134</v>
      </c>
      <c r="K426" s="146"/>
      <c r="Z426" s="111">
        <f>IF(AQ426="5",BJ426,0)</f>
      </c>
      <c r="AB426" s="111">
        <f>IF(AQ426="1",BH426,0)</f>
      </c>
      <c r="AC426" s="111">
        <f>IF(AQ426="1",BI426,0)</f>
      </c>
      <c r="AD426" s="111">
        <f>IF(AQ426="7",BH426,0)</f>
      </c>
      <c r="AE426" s="111">
        <f>IF(AQ426="7",BI426,0)</f>
      </c>
      <c r="AF426" s="111">
        <f>IF(AQ426="2",BH426,0)</f>
      </c>
      <c r="AG426" s="111">
        <f>IF(AQ426="2",BI426,0)</f>
      </c>
      <c r="AH426" s="111">
        <f>IF(AQ426="0",BJ426,0)</f>
      </c>
      <c r="AI426" s="132" t="s">
        <v>87</v>
      </c>
      <c r="AJ426" s="111">
        <f>IF(AN426=0,I426,0)</f>
      </c>
      <c r="AK426" s="111">
        <f>IF(AN426=12,I426,0)</f>
      </c>
      <c r="AL426" s="111">
        <f>IF(AN426=21,I426,0)</f>
      </c>
      <c r="AN426" s="111" t="n">
        <v>21</v>
      </c>
      <c r="AO426" s="111">
        <f>H426*0.916040317</f>
      </c>
      <c r="AP426" s="111">
        <f>H426*(1-0.916040317)</f>
      </c>
      <c r="AQ426" s="153" t="s">
        <v>173</v>
      </c>
      <c r="AV426" s="111">
        <f>AW426+AX426</f>
      </c>
      <c r="AW426" s="111">
        <f>G426*AO426</f>
      </c>
      <c r="AX426" s="111">
        <f>G426*AP426</f>
      </c>
      <c r="AY426" s="153" t="s">
        <v>1949</v>
      </c>
      <c r="AZ426" s="153" t="s">
        <v>3333</v>
      </c>
      <c r="BA426" s="132" t="s">
        <v>2990</v>
      </c>
      <c r="BC426" s="111">
        <f>AW426+AX426</f>
      </c>
      <c r="BD426" s="111">
        <f>H426/(100-BE426)*100</f>
      </c>
      <c r="BE426" s="111" t="n">
        <v>0</v>
      </c>
      <c r="BF426" s="111">
        <f>426</f>
      </c>
      <c r="BH426" s="111">
        <f>G426*AO426</f>
      </c>
      <c r="BI426" s="111">
        <f>G426*AP426</f>
      </c>
      <c r="BJ426" s="111">
        <f>G426*H426</f>
      </c>
      <c r="BK426" s="111"/>
      <c r="BL426" s="111" t="n">
        <v>722</v>
      </c>
      <c r="BW426" s="111" t="n">
        <v>21</v>
      </c>
      <c r="BX426" s="14" t="s">
        <v>3601</v>
      </c>
    </row>
    <row r="427">
      <c r="A427" s="154"/>
      <c r="B427" s="155"/>
      <c r="C427" s="155"/>
      <c r="D427" s="156" t="s">
        <v>156</v>
      </c>
      <c r="E427" s="156" t="s">
        <v>4</v>
      </c>
      <c r="F427" s="155"/>
      <c r="G427" s="157" t="n">
        <v>5</v>
      </c>
      <c r="H427" s="155"/>
      <c r="I427" s="155"/>
      <c r="J427" s="155"/>
      <c r="K427" s="146"/>
    </row>
    <row r="428">
      <c r="A428" s="9" t="s">
        <v>1269</v>
      </c>
      <c r="B428" s="10" t="s">
        <v>87</v>
      </c>
      <c r="C428" s="10" t="s">
        <v>3603</v>
      </c>
      <c r="D428" s="14" t="s">
        <v>3604</v>
      </c>
      <c r="E428" s="10"/>
      <c r="F428" s="10" t="s">
        <v>133</v>
      </c>
      <c r="G428" s="111">
        <f>'Stavební rozpočet'!G2373</f>
      </c>
      <c r="H428" s="111">
        <f>'Stavební rozpočet'!H2373</f>
      </c>
      <c r="I428" s="111">
        <f>G428*H428</f>
      </c>
      <c r="J428" s="153" t="s">
        <v>134</v>
      </c>
      <c r="K428" s="146"/>
      <c r="Z428" s="111">
        <f>IF(AQ428="5",BJ428,0)</f>
      </c>
      <c r="AB428" s="111">
        <f>IF(AQ428="1",BH428,0)</f>
      </c>
      <c r="AC428" s="111">
        <f>IF(AQ428="1",BI428,0)</f>
      </c>
      <c r="AD428" s="111">
        <f>IF(AQ428="7",BH428,0)</f>
      </c>
      <c r="AE428" s="111">
        <f>IF(AQ428="7",BI428,0)</f>
      </c>
      <c r="AF428" s="111">
        <f>IF(AQ428="2",BH428,0)</f>
      </c>
      <c r="AG428" s="111">
        <f>IF(AQ428="2",BI428,0)</f>
      </c>
      <c r="AH428" s="111">
        <f>IF(AQ428="0",BJ428,0)</f>
      </c>
      <c r="AI428" s="132" t="s">
        <v>87</v>
      </c>
      <c r="AJ428" s="111">
        <f>IF(AN428=0,I428,0)</f>
      </c>
      <c r="AK428" s="111">
        <f>IF(AN428=12,I428,0)</f>
      </c>
      <c r="AL428" s="111">
        <f>IF(AN428=21,I428,0)</f>
      </c>
      <c r="AN428" s="111" t="n">
        <v>21</v>
      </c>
      <c r="AO428" s="111">
        <f>H428*0.945346154</f>
      </c>
      <c r="AP428" s="111">
        <f>H428*(1-0.945346154)</f>
      </c>
      <c r="AQ428" s="153" t="s">
        <v>173</v>
      </c>
      <c r="AV428" s="111">
        <f>AW428+AX428</f>
      </c>
      <c r="AW428" s="111">
        <f>G428*AO428</f>
      </c>
      <c r="AX428" s="111">
        <f>G428*AP428</f>
      </c>
      <c r="AY428" s="153" t="s">
        <v>1949</v>
      </c>
      <c r="AZ428" s="153" t="s">
        <v>3333</v>
      </c>
      <c r="BA428" s="132" t="s">
        <v>2990</v>
      </c>
      <c r="BC428" s="111">
        <f>AW428+AX428</f>
      </c>
      <c r="BD428" s="111">
        <f>H428/(100-BE428)*100</f>
      </c>
      <c r="BE428" s="111" t="n">
        <v>0</v>
      </c>
      <c r="BF428" s="111">
        <f>428</f>
      </c>
      <c r="BH428" s="111">
        <f>G428*AO428</f>
      </c>
      <c r="BI428" s="111">
        <f>G428*AP428</f>
      </c>
      <c r="BJ428" s="111">
        <f>G428*H428</f>
      </c>
      <c r="BK428" s="111"/>
      <c r="BL428" s="111" t="n">
        <v>722</v>
      </c>
      <c r="BW428" s="111" t="n">
        <v>21</v>
      </c>
      <c r="BX428" s="14" t="s">
        <v>3604</v>
      </c>
    </row>
    <row r="429">
      <c r="A429" s="154"/>
      <c r="B429" s="155"/>
      <c r="C429" s="155"/>
      <c r="D429" s="156" t="s">
        <v>140</v>
      </c>
      <c r="E429" s="156" t="s">
        <v>4</v>
      </c>
      <c r="F429" s="155"/>
      <c r="G429" s="157" t="n">
        <v>2</v>
      </c>
      <c r="H429" s="155"/>
      <c r="I429" s="155"/>
      <c r="J429" s="155"/>
      <c r="K429" s="146"/>
    </row>
    <row r="430">
      <c r="A430" s="9" t="s">
        <v>1274</v>
      </c>
      <c r="B430" s="10" t="s">
        <v>87</v>
      </c>
      <c r="C430" s="10" t="s">
        <v>3606</v>
      </c>
      <c r="D430" s="14" t="s">
        <v>3607</v>
      </c>
      <c r="E430" s="10"/>
      <c r="F430" s="10" t="s">
        <v>133</v>
      </c>
      <c r="G430" s="111">
        <f>'Stavební rozpočet'!G2375</f>
      </c>
      <c r="H430" s="111">
        <f>'Stavební rozpočet'!H2375</f>
      </c>
      <c r="I430" s="111">
        <f>G430*H430</f>
      </c>
      <c r="J430" s="153" t="s">
        <v>134</v>
      </c>
      <c r="K430" s="146"/>
      <c r="Z430" s="111">
        <f>IF(AQ430="5",BJ430,0)</f>
      </c>
      <c r="AB430" s="111">
        <f>IF(AQ430="1",BH430,0)</f>
      </c>
      <c r="AC430" s="111">
        <f>IF(AQ430="1",BI430,0)</f>
      </c>
      <c r="AD430" s="111">
        <f>IF(AQ430="7",BH430,0)</f>
      </c>
      <c r="AE430" s="111">
        <f>IF(AQ430="7",BI430,0)</f>
      </c>
      <c r="AF430" s="111">
        <f>IF(AQ430="2",BH430,0)</f>
      </c>
      <c r="AG430" s="111">
        <f>IF(AQ430="2",BI430,0)</f>
      </c>
      <c r="AH430" s="111">
        <f>IF(AQ430="0",BJ430,0)</f>
      </c>
      <c r="AI430" s="132" t="s">
        <v>87</v>
      </c>
      <c r="AJ430" s="111">
        <f>IF(AN430=0,I430,0)</f>
      </c>
      <c r="AK430" s="111">
        <f>IF(AN430=12,I430,0)</f>
      </c>
      <c r="AL430" s="111">
        <f>IF(AN430=21,I430,0)</f>
      </c>
      <c r="AN430" s="111" t="n">
        <v>21</v>
      </c>
      <c r="AO430" s="111">
        <f>H430*0.95688478</f>
      </c>
      <c r="AP430" s="111">
        <f>H430*(1-0.95688478)</f>
      </c>
      <c r="AQ430" s="153" t="s">
        <v>173</v>
      </c>
      <c r="AV430" s="111">
        <f>AW430+AX430</f>
      </c>
      <c r="AW430" s="111">
        <f>G430*AO430</f>
      </c>
      <c r="AX430" s="111">
        <f>G430*AP430</f>
      </c>
      <c r="AY430" s="153" t="s">
        <v>1949</v>
      </c>
      <c r="AZ430" s="153" t="s">
        <v>3333</v>
      </c>
      <c r="BA430" s="132" t="s">
        <v>2990</v>
      </c>
      <c r="BC430" s="111">
        <f>AW430+AX430</f>
      </c>
      <c r="BD430" s="111">
        <f>H430/(100-BE430)*100</f>
      </c>
      <c r="BE430" s="111" t="n">
        <v>0</v>
      </c>
      <c r="BF430" s="111">
        <f>430</f>
      </c>
      <c r="BH430" s="111">
        <f>G430*AO430</f>
      </c>
      <c r="BI430" s="111">
        <f>G430*AP430</f>
      </c>
      <c r="BJ430" s="111">
        <f>G430*H430</f>
      </c>
      <c r="BK430" s="111"/>
      <c r="BL430" s="111" t="n">
        <v>722</v>
      </c>
      <c r="BW430" s="111" t="n">
        <v>21</v>
      </c>
      <c r="BX430" s="14" t="s">
        <v>3607</v>
      </c>
    </row>
    <row r="431">
      <c r="A431" s="154"/>
      <c r="B431" s="155"/>
      <c r="C431" s="155"/>
      <c r="D431" s="156" t="s">
        <v>130</v>
      </c>
      <c r="E431" s="156" t="s">
        <v>4</v>
      </c>
      <c r="F431" s="155"/>
      <c r="G431" s="157" t="n">
        <v>1</v>
      </c>
      <c r="H431" s="155"/>
      <c r="I431" s="155"/>
      <c r="J431" s="155"/>
      <c r="K431" s="146"/>
    </row>
    <row r="432">
      <c r="A432" s="9" t="s">
        <v>1278</v>
      </c>
      <c r="B432" s="10" t="s">
        <v>87</v>
      </c>
      <c r="C432" s="10" t="s">
        <v>3609</v>
      </c>
      <c r="D432" s="14" t="s">
        <v>3610</v>
      </c>
      <c r="E432" s="10"/>
      <c r="F432" s="10" t="s">
        <v>133</v>
      </c>
      <c r="G432" s="111">
        <f>'Stavební rozpočet'!G2377</f>
      </c>
      <c r="H432" s="111">
        <f>'Stavební rozpočet'!H2377</f>
      </c>
      <c r="I432" s="111">
        <f>G432*H432</f>
      </c>
      <c r="J432" s="153" t="s">
        <v>134</v>
      </c>
      <c r="K432" s="146"/>
      <c r="Z432" s="111">
        <f>IF(AQ432="5",BJ432,0)</f>
      </c>
      <c r="AB432" s="111">
        <f>IF(AQ432="1",BH432,0)</f>
      </c>
      <c r="AC432" s="111">
        <f>IF(AQ432="1",BI432,0)</f>
      </c>
      <c r="AD432" s="111">
        <f>IF(AQ432="7",BH432,0)</f>
      </c>
      <c r="AE432" s="111">
        <f>IF(AQ432="7",BI432,0)</f>
      </c>
      <c r="AF432" s="111">
        <f>IF(AQ432="2",BH432,0)</f>
      </c>
      <c r="AG432" s="111">
        <f>IF(AQ432="2",BI432,0)</f>
      </c>
      <c r="AH432" s="111">
        <f>IF(AQ432="0",BJ432,0)</f>
      </c>
      <c r="AI432" s="132" t="s">
        <v>87</v>
      </c>
      <c r="AJ432" s="111">
        <f>IF(AN432=0,I432,0)</f>
      </c>
      <c r="AK432" s="111">
        <f>IF(AN432=12,I432,0)</f>
      </c>
      <c r="AL432" s="111">
        <f>IF(AN432=21,I432,0)</f>
      </c>
      <c r="AN432" s="111" t="n">
        <v>21</v>
      </c>
      <c r="AO432" s="111">
        <f>H432*0.962790286</f>
      </c>
      <c r="AP432" s="111">
        <f>H432*(1-0.962790286)</f>
      </c>
      <c r="AQ432" s="153" t="s">
        <v>173</v>
      </c>
      <c r="AV432" s="111">
        <f>AW432+AX432</f>
      </c>
      <c r="AW432" s="111">
        <f>G432*AO432</f>
      </c>
      <c r="AX432" s="111">
        <f>G432*AP432</f>
      </c>
      <c r="AY432" s="153" t="s">
        <v>1949</v>
      </c>
      <c r="AZ432" s="153" t="s">
        <v>3333</v>
      </c>
      <c r="BA432" s="132" t="s">
        <v>2990</v>
      </c>
      <c r="BC432" s="111">
        <f>AW432+AX432</f>
      </c>
      <c r="BD432" s="111">
        <f>H432/(100-BE432)*100</f>
      </c>
      <c r="BE432" s="111" t="n">
        <v>0</v>
      </c>
      <c r="BF432" s="111">
        <f>432</f>
      </c>
      <c r="BH432" s="111">
        <f>G432*AO432</f>
      </c>
      <c r="BI432" s="111">
        <f>G432*AP432</f>
      </c>
      <c r="BJ432" s="111">
        <f>G432*H432</f>
      </c>
      <c r="BK432" s="111"/>
      <c r="BL432" s="111" t="n">
        <v>722</v>
      </c>
      <c r="BW432" s="111" t="n">
        <v>21</v>
      </c>
      <c r="BX432" s="14" t="s">
        <v>3610</v>
      </c>
    </row>
    <row r="433">
      <c r="A433" s="154"/>
      <c r="B433" s="155"/>
      <c r="C433" s="155"/>
      <c r="D433" s="156" t="s">
        <v>130</v>
      </c>
      <c r="E433" s="156" t="s">
        <v>4</v>
      </c>
      <c r="F433" s="155"/>
      <c r="G433" s="157" t="n">
        <v>1</v>
      </c>
      <c r="H433" s="155"/>
      <c r="I433" s="155"/>
      <c r="J433" s="155"/>
      <c r="K433" s="146"/>
    </row>
    <row r="434">
      <c r="A434" s="9" t="s">
        <v>1290</v>
      </c>
      <c r="B434" s="10" t="s">
        <v>87</v>
      </c>
      <c r="C434" s="10" t="s">
        <v>3612</v>
      </c>
      <c r="D434" s="14" t="s">
        <v>3613</v>
      </c>
      <c r="E434" s="10"/>
      <c r="F434" s="10" t="s">
        <v>133</v>
      </c>
      <c r="G434" s="111">
        <f>'Stavební rozpočet'!G2379</f>
      </c>
      <c r="H434" s="111">
        <f>'Stavební rozpočet'!H2379</f>
      </c>
      <c r="I434" s="111">
        <f>G434*H434</f>
      </c>
      <c r="J434" s="153" t="s">
        <v>134</v>
      </c>
      <c r="K434" s="146"/>
      <c r="Z434" s="111">
        <f>IF(AQ434="5",BJ434,0)</f>
      </c>
      <c r="AB434" s="111">
        <f>IF(AQ434="1",BH434,0)</f>
      </c>
      <c r="AC434" s="111">
        <f>IF(AQ434="1",BI434,0)</f>
      </c>
      <c r="AD434" s="111">
        <f>IF(AQ434="7",BH434,0)</f>
      </c>
      <c r="AE434" s="111">
        <f>IF(AQ434="7",BI434,0)</f>
      </c>
      <c r="AF434" s="111">
        <f>IF(AQ434="2",BH434,0)</f>
      </c>
      <c r="AG434" s="111">
        <f>IF(AQ434="2",BI434,0)</f>
      </c>
      <c r="AH434" s="111">
        <f>IF(AQ434="0",BJ434,0)</f>
      </c>
      <c r="AI434" s="132" t="s">
        <v>87</v>
      </c>
      <c r="AJ434" s="111">
        <f>IF(AN434=0,I434,0)</f>
      </c>
      <c r="AK434" s="111">
        <f>IF(AN434=12,I434,0)</f>
      </c>
      <c r="AL434" s="111">
        <f>IF(AN434=21,I434,0)</f>
      </c>
      <c r="AN434" s="111" t="n">
        <v>21</v>
      </c>
      <c r="AO434" s="111">
        <f>H434*0.86</f>
      </c>
      <c r="AP434" s="111">
        <f>H434*(1-0.86)</f>
      </c>
      <c r="AQ434" s="153" t="s">
        <v>173</v>
      </c>
      <c r="AV434" s="111">
        <f>AW434+AX434</f>
      </c>
      <c r="AW434" s="111">
        <f>G434*AO434</f>
      </c>
      <c r="AX434" s="111">
        <f>G434*AP434</f>
      </c>
      <c r="AY434" s="153" t="s">
        <v>1949</v>
      </c>
      <c r="AZ434" s="153" t="s">
        <v>3333</v>
      </c>
      <c r="BA434" s="132" t="s">
        <v>2990</v>
      </c>
      <c r="BC434" s="111">
        <f>AW434+AX434</f>
      </c>
      <c r="BD434" s="111">
        <f>H434/(100-BE434)*100</f>
      </c>
      <c r="BE434" s="111" t="n">
        <v>0</v>
      </c>
      <c r="BF434" s="111">
        <f>434</f>
      </c>
      <c r="BH434" s="111">
        <f>G434*AO434</f>
      </c>
      <c r="BI434" s="111">
        <f>G434*AP434</f>
      </c>
      <c r="BJ434" s="111">
        <f>G434*H434</f>
      </c>
      <c r="BK434" s="111"/>
      <c r="BL434" s="111" t="n">
        <v>722</v>
      </c>
      <c r="BW434" s="111" t="n">
        <v>21</v>
      </c>
      <c r="BX434" s="14" t="s">
        <v>3613</v>
      </c>
    </row>
    <row r="435">
      <c r="A435" s="154"/>
      <c r="B435" s="155"/>
      <c r="C435" s="155"/>
      <c r="D435" s="156" t="s">
        <v>140</v>
      </c>
      <c r="E435" s="156" t="s">
        <v>4</v>
      </c>
      <c r="F435" s="155"/>
      <c r="G435" s="157" t="n">
        <v>2</v>
      </c>
      <c r="H435" s="155"/>
      <c r="I435" s="155"/>
      <c r="J435" s="155"/>
      <c r="K435" s="146"/>
    </row>
    <row r="436">
      <c r="A436" s="9" t="s">
        <v>1296</v>
      </c>
      <c r="B436" s="10" t="s">
        <v>87</v>
      </c>
      <c r="C436" s="10" t="s">
        <v>3615</v>
      </c>
      <c r="D436" s="14" t="s">
        <v>3616</v>
      </c>
      <c r="E436" s="10"/>
      <c r="F436" s="10" t="s">
        <v>133</v>
      </c>
      <c r="G436" s="111">
        <f>'Stavební rozpočet'!G2381</f>
      </c>
      <c r="H436" s="111">
        <f>'Stavební rozpočet'!H2381</f>
      </c>
      <c r="I436" s="111">
        <f>G436*H436</f>
      </c>
      <c r="J436" s="153" t="s">
        <v>134</v>
      </c>
      <c r="K436" s="146"/>
      <c r="Z436" s="111">
        <f>IF(AQ436="5",BJ436,0)</f>
      </c>
      <c r="AB436" s="111">
        <f>IF(AQ436="1",BH436,0)</f>
      </c>
      <c r="AC436" s="111">
        <f>IF(AQ436="1",BI436,0)</f>
      </c>
      <c r="AD436" s="111">
        <f>IF(AQ436="7",BH436,0)</f>
      </c>
      <c r="AE436" s="111">
        <f>IF(AQ436="7",BI436,0)</f>
      </c>
      <c r="AF436" s="111">
        <f>IF(AQ436="2",BH436,0)</f>
      </c>
      <c r="AG436" s="111">
        <f>IF(AQ436="2",BI436,0)</f>
      </c>
      <c r="AH436" s="111">
        <f>IF(AQ436="0",BJ436,0)</f>
      </c>
      <c r="AI436" s="132" t="s">
        <v>87</v>
      </c>
      <c r="AJ436" s="111">
        <f>IF(AN436=0,I436,0)</f>
      </c>
      <c r="AK436" s="111">
        <f>IF(AN436=12,I436,0)</f>
      </c>
      <c r="AL436" s="111">
        <f>IF(AN436=21,I436,0)</f>
      </c>
      <c r="AN436" s="111" t="n">
        <v>21</v>
      </c>
      <c r="AO436" s="111">
        <f>H436*0.874331897</f>
      </c>
      <c r="AP436" s="111">
        <f>H436*(1-0.874331897)</f>
      </c>
      <c r="AQ436" s="153" t="s">
        <v>173</v>
      </c>
      <c r="AV436" s="111">
        <f>AW436+AX436</f>
      </c>
      <c r="AW436" s="111">
        <f>G436*AO436</f>
      </c>
      <c r="AX436" s="111">
        <f>G436*AP436</f>
      </c>
      <c r="AY436" s="153" t="s">
        <v>1949</v>
      </c>
      <c r="AZ436" s="153" t="s">
        <v>3333</v>
      </c>
      <c r="BA436" s="132" t="s">
        <v>2990</v>
      </c>
      <c r="BC436" s="111">
        <f>AW436+AX436</f>
      </c>
      <c r="BD436" s="111">
        <f>H436/(100-BE436)*100</f>
      </c>
      <c r="BE436" s="111" t="n">
        <v>0</v>
      </c>
      <c r="BF436" s="111">
        <f>436</f>
      </c>
      <c r="BH436" s="111">
        <f>G436*AO436</f>
      </c>
      <c r="BI436" s="111">
        <f>G436*AP436</f>
      </c>
      <c r="BJ436" s="111">
        <f>G436*H436</f>
      </c>
      <c r="BK436" s="111"/>
      <c r="BL436" s="111" t="n">
        <v>722</v>
      </c>
      <c r="BW436" s="111" t="n">
        <v>21</v>
      </c>
      <c r="BX436" s="14" t="s">
        <v>3616</v>
      </c>
    </row>
    <row r="437">
      <c r="A437" s="154"/>
      <c r="B437" s="155"/>
      <c r="C437" s="155"/>
      <c r="D437" s="156" t="s">
        <v>156</v>
      </c>
      <c r="E437" s="156" t="s">
        <v>4</v>
      </c>
      <c r="F437" s="155"/>
      <c r="G437" s="157" t="n">
        <v>5</v>
      </c>
      <c r="H437" s="155"/>
      <c r="I437" s="155"/>
      <c r="J437" s="155"/>
      <c r="K437" s="146"/>
    </row>
    <row r="438">
      <c r="A438" s="9" t="s">
        <v>1300</v>
      </c>
      <c r="B438" s="10" t="s">
        <v>87</v>
      </c>
      <c r="C438" s="10" t="s">
        <v>3618</v>
      </c>
      <c r="D438" s="14" t="s">
        <v>3619</v>
      </c>
      <c r="E438" s="10"/>
      <c r="F438" s="10" t="s">
        <v>133</v>
      </c>
      <c r="G438" s="111">
        <f>'Stavební rozpočet'!G2383</f>
      </c>
      <c r="H438" s="111">
        <f>'Stavební rozpočet'!H2383</f>
      </c>
      <c r="I438" s="111">
        <f>G438*H438</f>
      </c>
      <c r="J438" s="153" t="s">
        <v>134</v>
      </c>
      <c r="K438" s="146"/>
      <c r="Z438" s="111">
        <f>IF(AQ438="5",BJ438,0)</f>
      </c>
      <c r="AB438" s="111">
        <f>IF(AQ438="1",BH438,0)</f>
      </c>
      <c r="AC438" s="111">
        <f>IF(AQ438="1",BI438,0)</f>
      </c>
      <c r="AD438" s="111">
        <f>IF(AQ438="7",BH438,0)</f>
      </c>
      <c r="AE438" s="111">
        <f>IF(AQ438="7",BI438,0)</f>
      </c>
      <c r="AF438" s="111">
        <f>IF(AQ438="2",BH438,0)</f>
      </c>
      <c r="AG438" s="111">
        <f>IF(AQ438="2",BI438,0)</f>
      </c>
      <c r="AH438" s="111">
        <f>IF(AQ438="0",BJ438,0)</f>
      </c>
      <c r="AI438" s="132" t="s">
        <v>87</v>
      </c>
      <c r="AJ438" s="111">
        <f>IF(AN438=0,I438,0)</f>
      </c>
      <c r="AK438" s="111">
        <f>IF(AN438=12,I438,0)</f>
      </c>
      <c r="AL438" s="111">
        <f>IF(AN438=21,I438,0)</f>
      </c>
      <c r="AN438" s="111" t="n">
        <v>21</v>
      </c>
      <c r="AO438" s="111">
        <f>H438*0.901698693</f>
      </c>
      <c r="AP438" s="111">
        <f>H438*(1-0.901698693)</f>
      </c>
      <c r="AQ438" s="153" t="s">
        <v>173</v>
      </c>
      <c r="AV438" s="111">
        <f>AW438+AX438</f>
      </c>
      <c r="AW438" s="111">
        <f>G438*AO438</f>
      </c>
      <c r="AX438" s="111">
        <f>G438*AP438</f>
      </c>
      <c r="AY438" s="153" t="s">
        <v>1949</v>
      </c>
      <c r="AZ438" s="153" t="s">
        <v>3333</v>
      </c>
      <c r="BA438" s="132" t="s">
        <v>2990</v>
      </c>
      <c r="BC438" s="111">
        <f>AW438+AX438</f>
      </c>
      <c r="BD438" s="111">
        <f>H438/(100-BE438)*100</f>
      </c>
      <c r="BE438" s="111" t="n">
        <v>0</v>
      </c>
      <c r="BF438" s="111">
        <f>438</f>
      </c>
      <c r="BH438" s="111">
        <f>G438*AO438</f>
      </c>
      <c r="BI438" s="111">
        <f>G438*AP438</f>
      </c>
      <c r="BJ438" s="111">
        <f>G438*H438</f>
      </c>
      <c r="BK438" s="111"/>
      <c r="BL438" s="111" t="n">
        <v>722</v>
      </c>
      <c r="BW438" s="111" t="n">
        <v>21</v>
      </c>
      <c r="BX438" s="14" t="s">
        <v>3619</v>
      </c>
    </row>
    <row r="439">
      <c r="A439" s="154"/>
      <c r="B439" s="155"/>
      <c r="C439" s="155"/>
      <c r="D439" s="156" t="s">
        <v>140</v>
      </c>
      <c r="E439" s="156" t="s">
        <v>4</v>
      </c>
      <c r="F439" s="155"/>
      <c r="G439" s="157" t="n">
        <v>2</v>
      </c>
      <c r="H439" s="155"/>
      <c r="I439" s="155"/>
      <c r="J439" s="155"/>
      <c r="K439" s="146"/>
    </row>
    <row r="440">
      <c r="A440" s="9" t="s">
        <v>1304</v>
      </c>
      <c r="B440" s="10" t="s">
        <v>87</v>
      </c>
      <c r="C440" s="10" t="s">
        <v>3621</v>
      </c>
      <c r="D440" s="14" t="s">
        <v>3622</v>
      </c>
      <c r="E440" s="10"/>
      <c r="F440" s="10" t="s">
        <v>133</v>
      </c>
      <c r="G440" s="111">
        <f>'Stavební rozpočet'!G2385</f>
      </c>
      <c r="H440" s="111">
        <f>'Stavební rozpočet'!H2385</f>
      </c>
      <c r="I440" s="111">
        <f>G440*H440</f>
      </c>
      <c r="J440" s="153" t="s">
        <v>134</v>
      </c>
      <c r="K440" s="146"/>
      <c r="Z440" s="111">
        <f>IF(AQ440="5",BJ440,0)</f>
      </c>
      <c r="AB440" s="111">
        <f>IF(AQ440="1",BH440,0)</f>
      </c>
      <c r="AC440" s="111">
        <f>IF(AQ440="1",BI440,0)</f>
      </c>
      <c r="AD440" s="111">
        <f>IF(AQ440="7",BH440,0)</f>
      </c>
      <c r="AE440" s="111">
        <f>IF(AQ440="7",BI440,0)</f>
      </c>
      <c r="AF440" s="111">
        <f>IF(AQ440="2",BH440,0)</f>
      </c>
      <c r="AG440" s="111">
        <f>IF(AQ440="2",BI440,0)</f>
      </c>
      <c r="AH440" s="111">
        <f>IF(AQ440="0",BJ440,0)</f>
      </c>
      <c r="AI440" s="132" t="s">
        <v>87</v>
      </c>
      <c r="AJ440" s="111">
        <f>IF(AN440=0,I440,0)</f>
      </c>
      <c r="AK440" s="111">
        <f>IF(AN440=12,I440,0)</f>
      </c>
      <c r="AL440" s="111">
        <f>IF(AN440=21,I440,0)</f>
      </c>
      <c r="AN440" s="111" t="n">
        <v>21</v>
      </c>
      <c r="AO440" s="111">
        <f>H440*0.929993168</f>
      </c>
      <c r="AP440" s="111">
        <f>H440*(1-0.929993168)</f>
      </c>
      <c r="AQ440" s="153" t="s">
        <v>173</v>
      </c>
      <c r="AV440" s="111">
        <f>AW440+AX440</f>
      </c>
      <c r="AW440" s="111">
        <f>G440*AO440</f>
      </c>
      <c r="AX440" s="111">
        <f>G440*AP440</f>
      </c>
      <c r="AY440" s="153" t="s">
        <v>1949</v>
      </c>
      <c r="AZ440" s="153" t="s">
        <v>3333</v>
      </c>
      <c r="BA440" s="132" t="s">
        <v>2990</v>
      </c>
      <c r="BC440" s="111">
        <f>AW440+AX440</f>
      </c>
      <c r="BD440" s="111">
        <f>H440/(100-BE440)*100</f>
      </c>
      <c r="BE440" s="111" t="n">
        <v>0</v>
      </c>
      <c r="BF440" s="111">
        <f>440</f>
      </c>
      <c r="BH440" s="111">
        <f>G440*AO440</f>
      </c>
      <c r="BI440" s="111">
        <f>G440*AP440</f>
      </c>
      <c r="BJ440" s="111">
        <f>G440*H440</f>
      </c>
      <c r="BK440" s="111"/>
      <c r="BL440" s="111" t="n">
        <v>722</v>
      </c>
      <c r="BW440" s="111" t="n">
        <v>21</v>
      </c>
      <c r="BX440" s="14" t="s">
        <v>3622</v>
      </c>
    </row>
    <row r="441">
      <c r="A441" s="154"/>
      <c r="B441" s="155"/>
      <c r="C441" s="155"/>
      <c r="D441" s="156" t="s">
        <v>130</v>
      </c>
      <c r="E441" s="156" t="s">
        <v>4</v>
      </c>
      <c r="F441" s="155"/>
      <c r="G441" s="157" t="n">
        <v>1</v>
      </c>
      <c r="H441" s="155"/>
      <c r="I441" s="155"/>
      <c r="J441" s="155"/>
      <c r="K441" s="146"/>
    </row>
    <row r="442">
      <c r="A442" s="9" t="s">
        <v>1308</v>
      </c>
      <c r="B442" s="10" t="s">
        <v>87</v>
      </c>
      <c r="C442" s="10" t="s">
        <v>3624</v>
      </c>
      <c r="D442" s="14" t="s">
        <v>3625</v>
      </c>
      <c r="E442" s="10"/>
      <c r="F442" s="10" t="s">
        <v>133</v>
      </c>
      <c r="G442" s="111">
        <f>'Stavební rozpočet'!G2387</f>
      </c>
      <c r="H442" s="111">
        <f>'Stavební rozpočet'!H2387</f>
      </c>
      <c r="I442" s="111">
        <f>G442*H442</f>
      </c>
      <c r="J442" s="153" t="s">
        <v>134</v>
      </c>
      <c r="K442" s="146"/>
      <c r="Z442" s="111">
        <f>IF(AQ442="5",BJ442,0)</f>
      </c>
      <c r="AB442" s="111">
        <f>IF(AQ442="1",BH442,0)</f>
      </c>
      <c r="AC442" s="111">
        <f>IF(AQ442="1",BI442,0)</f>
      </c>
      <c r="AD442" s="111">
        <f>IF(AQ442="7",BH442,0)</f>
      </c>
      <c r="AE442" s="111">
        <f>IF(AQ442="7",BI442,0)</f>
      </c>
      <c r="AF442" s="111">
        <f>IF(AQ442="2",BH442,0)</f>
      </c>
      <c r="AG442" s="111">
        <f>IF(AQ442="2",BI442,0)</f>
      </c>
      <c r="AH442" s="111">
        <f>IF(AQ442="0",BJ442,0)</f>
      </c>
      <c r="AI442" s="132" t="s">
        <v>87</v>
      </c>
      <c r="AJ442" s="111">
        <f>IF(AN442=0,I442,0)</f>
      </c>
      <c r="AK442" s="111">
        <f>IF(AN442=12,I442,0)</f>
      </c>
      <c r="AL442" s="111">
        <f>IF(AN442=21,I442,0)</f>
      </c>
      <c r="AN442" s="111" t="n">
        <v>21</v>
      </c>
      <c r="AO442" s="111">
        <f>H442*0.040454076</f>
      </c>
      <c r="AP442" s="111">
        <f>H442*(1-0.040454076)</f>
      </c>
      <c r="AQ442" s="153" t="s">
        <v>173</v>
      </c>
      <c r="AV442" s="111">
        <f>AW442+AX442</f>
      </c>
      <c r="AW442" s="111">
        <f>G442*AO442</f>
      </c>
      <c r="AX442" s="111">
        <f>G442*AP442</f>
      </c>
      <c r="AY442" s="153" t="s">
        <v>1949</v>
      </c>
      <c r="AZ442" s="153" t="s">
        <v>3333</v>
      </c>
      <c r="BA442" s="132" t="s">
        <v>2990</v>
      </c>
      <c r="BC442" s="111">
        <f>AW442+AX442</f>
      </c>
      <c r="BD442" s="111">
        <f>H442/(100-BE442)*100</f>
      </c>
      <c r="BE442" s="111" t="n">
        <v>0</v>
      </c>
      <c r="BF442" s="111">
        <f>442</f>
      </c>
      <c r="BH442" s="111">
        <f>G442*AO442</f>
      </c>
      <c r="BI442" s="111">
        <f>G442*AP442</f>
      </c>
      <c r="BJ442" s="111">
        <f>G442*H442</f>
      </c>
      <c r="BK442" s="111"/>
      <c r="BL442" s="111" t="n">
        <v>722</v>
      </c>
      <c r="BW442" s="111" t="n">
        <v>21</v>
      </c>
      <c r="BX442" s="14" t="s">
        <v>3625</v>
      </c>
    </row>
    <row r="443">
      <c r="A443" s="154"/>
      <c r="B443" s="155"/>
      <c r="C443" s="155"/>
      <c r="D443" s="156" t="s">
        <v>3626</v>
      </c>
      <c r="E443" s="156" t="s">
        <v>4</v>
      </c>
      <c r="F443" s="155"/>
      <c r="G443" s="157" t="n">
        <v>4</v>
      </c>
      <c r="H443" s="155"/>
      <c r="I443" s="155"/>
      <c r="J443" s="155"/>
      <c r="K443" s="146"/>
    </row>
    <row r="444">
      <c r="A444" s="9" t="s">
        <v>1312</v>
      </c>
      <c r="B444" s="10" t="s">
        <v>87</v>
      </c>
      <c r="C444" s="10" t="s">
        <v>3628</v>
      </c>
      <c r="D444" s="14" t="s">
        <v>3629</v>
      </c>
      <c r="E444" s="10"/>
      <c r="F444" s="10" t="s">
        <v>133</v>
      </c>
      <c r="G444" s="111">
        <f>'Stavební rozpočet'!G2389</f>
      </c>
      <c r="H444" s="111">
        <f>'Stavební rozpočet'!H2389</f>
      </c>
      <c r="I444" s="111">
        <f>G444*H444</f>
      </c>
      <c r="J444" s="153" t="s">
        <v>134</v>
      </c>
      <c r="K444" s="146"/>
      <c r="Z444" s="111">
        <f>IF(AQ444="5",BJ444,0)</f>
      </c>
      <c r="AB444" s="111">
        <f>IF(AQ444="1",BH444,0)</f>
      </c>
      <c r="AC444" s="111">
        <f>IF(AQ444="1",BI444,0)</f>
      </c>
      <c r="AD444" s="111">
        <f>IF(AQ444="7",BH444,0)</f>
      </c>
      <c r="AE444" s="111">
        <f>IF(AQ444="7",BI444,0)</f>
      </c>
      <c r="AF444" s="111">
        <f>IF(AQ444="2",BH444,0)</f>
      </c>
      <c r="AG444" s="111">
        <f>IF(AQ444="2",BI444,0)</f>
      </c>
      <c r="AH444" s="111">
        <f>IF(AQ444="0",BJ444,0)</f>
      </c>
      <c r="AI444" s="132" t="s">
        <v>87</v>
      </c>
      <c r="AJ444" s="111">
        <f>IF(AN444=0,I444,0)</f>
      </c>
      <c r="AK444" s="111">
        <f>IF(AN444=12,I444,0)</f>
      </c>
      <c r="AL444" s="111">
        <f>IF(AN444=21,I444,0)</f>
      </c>
      <c r="AN444" s="111" t="n">
        <v>21</v>
      </c>
      <c r="AO444" s="111">
        <f>H444*0.042786885</f>
      </c>
      <c r="AP444" s="111">
        <f>H444*(1-0.042786885)</f>
      </c>
      <c r="AQ444" s="153" t="s">
        <v>173</v>
      </c>
      <c r="AV444" s="111">
        <f>AW444+AX444</f>
      </c>
      <c r="AW444" s="111">
        <f>G444*AO444</f>
      </c>
      <c r="AX444" s="111">
        <f>G444*AP444</f>
      </c>
      <c r="AY444" s="153" t="s">
        <v>1949</v>
      </c>
      <c r="AZ444" s="153" t="s">
        <v>3333</v>
      </c>
      <c r="BA444" s="132" t="s">
        <v>2990</v>
      </c>
      <c r="BC444" s="111">
        <f>AW444+AX444</f>
      </c>
      <c r="BD444" s="111">
        <f>H444/(100-BE444)*100</f>
      </c>
      <c r="BE444" s="111" t="n">
        <v>0</v>
      </c>
      <c r="BF444" s="111">
        <f>444</f>
      </c>
      <c r="BH444" s="111">
        <f>G444*AO444</f>
      </c>
      <c r="BI444" s="111">
        <f>G444*AP444</f>
      </c>
      <c r="BJ444" s="111">
        <f>G444*H444</f>
      </c>
      <c r="BK444" s="111"/>
      <c r="BL444" s="111" t="n">
        <v>722</v>
      </c>
      <c r="BW444" s="111" t="n">
        <v>21</v>
      </c>
      <c r="BX444" s="14" t="s">
        <v>3629</v>
      </c>
    </row>
    <row r="445">
      <c r="A445" s="154"/>
      <c r="B445" s="155"/>
      <c r="C445" s="155"/>
      <c r="D445" s="156" t="s">
        <v>156</v>
      </c>
      <c r="E445" s="156" t="s">
        <v>4</v>
      </c>
      <c r="F445" s="155"/>
      <c r="G445" s="157" t="n">
        <v>5</v>
      </c>
      <c r="H445" s="155"/>
      <c r="I445" s="155"/>
      <c r="J445" s="155"/>
      <c r="K445" s="146"/>
    </row>
    <row r="446">
      <c r="A446" s="9" t="s">
        <v>1316</v>
      </c>
      <c r="B446" s="10" t="s">
        <v>87</v>
      </c>
      <c r="C446" s="10" t="s">
        <v>3631</v>
      </c>
      <c r="D446" s="14" t="s">
        <v>3632</v>
      </c>
      <c r="E446" s="10"/>
      <c r="F446" s="10" t="s">
        <v>133</v>
      </c>
      <c r="G446" s="111">
        <f>'Stavební rozpočet'!G2391</f>
      </c>
      <c r="H446" s="111">
        <f>'Stavební rozpočet'!H2391</f>
      </c>
      <c r="I446" s="111">
        <f>G446*H446</f>
      </c>
      <c r="J446" s="153" t="s">
        <v>134</v>
      </c>
      <c r="K446" s="146"/>
      <c r="Z446" s="111">
        <f>IF(AQ446="5",BJ446,0)</f>
      </c>
      <c r="AB446" s="111">
        <f>IF(AQ446="1",BH446,0)</f>
      </c>
      <c r="AC446" s="111">
        <f>IF(AQ446="1",BI446,0)</f>
      </c>
      <c r="AD446" s="111">
        <f>IF(AQ446="7",BH446,0)</f>
      </c>
      <c r="AE446" s="111">
        <f>IF(AQ446="7",BI446,0)</f>
      </c>
      <c r="AF446" s="111">
        <f>IF(AQ446="2",BH446,0)</f>
      </c>
      <c r="AG446" s="111">
        <f>IF(AQ446="2",BI446,0)</f>
      </c>
      <c r="AH446" s="111">
        <f>IF(AQ446="0",BJ446,0)</f>
      </c>
      <c r="AI446" s="132" t="s">
        <v>87</v>
      </c>
      <c r="AJ446" s="111">
        <f>IF(AN446=0,I446,0)</f>
      </c>
      <c r="AK446" s="111">
        <f>IF(AN446=12,I446,0)</f>
      </c>
      <c r="AL446" s="111">
        <f>IF(AN446=21,I446,0)</f>
      </c>
      <c r="AN446" s="111" t="n">
        <v>21</v>
      </c>
      <c r="AO446" s="111">
        <f>H446*0.0575</f>
      </c>
      <c r="AP446" s="111">
        <f>H446*(1-0.0575)</f>
      </c>
      <c r="AQ446" s="153" t="s">
        <v>173</v>
      </c>
      <c r="AV446" s="111">
        <f>AW446+AX446</f>
      </c>
      <c r="AW446" s="111">
        <f>G446*AO446</f>
      </c>
      <c r="AX446" s="111">
        <f>G446*AP446</f>
      </c>
      <c r="AY446" s="153" t="s">
        <v>1949</v>
      </c>
      <c r="AZ446" s="153" t="s">
        <v>3333</v>
      </c>
      <c r="BA446" s="132" t="s">
        <v>2990</v>
      </c>
      <c r="BC446" s="111">
        <f>AW446+AX446</f>
      </c>
      <c r="BD446" s="111">
        <f>H446/(100-BE446)*100</f>
      </c>
      <c r="BE446" s="111" t="n">
        <v>0</v>
      </c>
      <c r="BF446" s="111">
        <f>446</f>
      </c>
      <c r="BH446" s="111">
        <f>G446*AO446</f>
      </c>
      <c r="BI446" s="111">
        <f>G446*AP446</f>
      </c>
      <c r="BJ446" s="111">
        <f>G446*H446</f>
      </c>
      <c r="BK446" s="111"/>
      <c r="BL446" s="111" t="n">
        <v>722</v>
      </c>
      <c r="BW446" s="111" t="n">
        <v>21</v>
      </c>
      <c r="BX446" s="14" t="s">
        <v>3632</v>
      </c>
    </row>
    <row r="447">
      <c r="A447" s="154"/>
      <c r="B447" s="155"/>
      <c r="C447" s="155"/>
      <c r="D447" s="156" t="s">
        <v>130</v>
      </c>
      <c r="E447" s="156" t="s">
        <v>4</v>
      </c>
      <c r="F447" s="155"/>
      <c r="G447" s="157" t="n">
        <v>1</v>
      </c>
      <c r="H447" s="155"/>
      <c r="I447" s="155"/>
      <c r="J447" s="155"/>
      <c r="K447" s="146"/>
    </row>
    <row r="448">
      <c r="A448" s="9" t="s">
        <v>1321</v>
      </c>
      <c r="B448" s="10" t="s">
        <v>87</v>
      </c>
      <c r="C448" s="10" t="s">
        <v>3634</v>
      </c>
      <c r="D448" s="14" t="s">
        <v>3635</v>
      </c>
      <c r="E448" s="10"/>
      <c r="F448" s="10" t="s">
        <v>133</v>
      </c>
      <c r="G448" s="111">
        <f>'Stavební rozpočet'!G2393</f>
      </c>
      <c r="H448" s="111">
        <f>'Stavební rozpočet'!H2393</f>
      </c>
      <c r="I448" s="111">
        <f>G448*H448</f>
      </c>
      <c r="J448" s="153" t="s">
        <v>134</v>
      </c>
      <c r="K448" s="146"/>
      <c r="Z448" s="111">
        <f>IF(AQ448="5",BJ448,0)</f>
      </c>
      <c r="AB448" s="111">
        <f>IF(AQ448="1",BH448,0)</f>
      </c>
      <c r="AC448" s="111">
        <f>IF(AQ448="1",BI448,0)</f>
      </c>
      <c r="AD448" s="111">
        <f>IF(AQ448="7",BH448,0)</f>
      </c>
      <c r="AE448" s="111">
        <f>IF(AQ448="7",BI448,0)</f>
      </c>
      <c r="AF448" s="111">
        <f>IF(AQ448="2",BH448,0)</f>
      </c>
      <c r="AG448" s="111">
        <f>IF(AQ448="2",BI448,0)</f>
      </c>
      <c r="AH448" s="111">
        <f>IF(AQ448="0",BJ448,0)</f>
      </c>
      <c r="AI448" s="132" t="s">
        <v>87</v>
      </c>
      <c r="AJ448" s="111">
        <f>IF(AN448=0,I448,0)</f>
      </c>
      <c r="AK448" s="111">
        <f>IF(AN448=12,I448,0)</f>
      </c>
      <c r="AL448" s="111">
        <f>IF(AN448=21,I448,0)</f>
      </c>
      <c r="AN448" s="111" t="n">
        <v>21</v>
      </c>
      <c r="AO448" s="111">
        <f>H448*0.064444444</f>
      </c>
      <c r="AP448" s="111">
        <f>H448*(1-0.064444444)</f>
      </c>
      <c r="AQ448" s="153" t="s">
        <v>173</v>
      </c>
      <c r="AV448" s="111">
        <f>AW448+AX448</f>
      </c>
      <c r="AW448" s="111">
        <f>G448*AO448</f>
      </c>
      <c r="AX448" s="111">
        <f>G448*AP448</f>
      </c>
      <c r="AY448" s="153" t="s">
        <v>1949</v>
      </c>
      <c r="AZ448" s="153" t="s">
        <v>3333</v>
      </c>
      <c r="BA448" s="132" t="s">
        <v>2990</v>
      </c>
      <c r="BC448" s="111">
        <f>AW448+AX448</f>
      </c>
      <c r="BD448" s="111">
        <f>H448/(100-BE448)*100</f>
      </c>
      <c r="BE448" s="111" t="n">
        <v>0</v>
      </c>
      <c r="BF448" s="111">
        <f>448</f>
      </c>
      <c r="BH448" s="111">
        <f>G448*AO448</f>
      </c>
      <c r="BI448" s="111">
        <f>G448*AP448</f>
      </c>
      <c r="BJ448" s="111">
        <f>G448*H448</f>
      </c>
      <c r="BK448" s="111"/>
      <c r="BL448" s="111" t="n">
        <v>722</v>
      </c>
      <c r="BW448" s="111" t="n">
        <v>21</v>
      </c>
      <c r="BX448" s="14" t="s">
        <v>3635</v>
      </c>
    </row>
    <row r="449">
      <c r="A449" s="154"/>
      <c r="B449" s="155"/>
      <c r="C449" s="155"/>
      <c r="D449" s="156" t="s">
        <v>130</v>
      </c>
      <c r="E449" s="156" t="s">
        <v>4</v>
      </c>
      <c r="F449" s="155"/>
      <c r="G449" s="157" t="n">
        <v>1</v>
      </c>
      <c r="H449" s="155"/>
      <c r="I449" s="155"/>
      <c r="J449" s="155"/>
      <c r="K449" s="146"/>
    </row>
    <row r="450">
      <c r="A450" s="9" t="s">
        <v>1330</v>
      </c>
      <c r="B450" s="10" t="s">
        <v>87</v>
      </c>
      <c r="C450" s="10" t="s">
        <v>3637</v>
      </c>
      <c r="D450" s="14" t="s">
        <v>3638</v>
      </c>
      <c r="E450" s="10"/>
      <c r="F450" s="10" t="s">
        <v>133</v>
      </c>
      <c r="G450" s="111">
        <f>'Stavební rozpočet'!G2395</f>
      </c>
      <c r="H450" s="111">
        <f>'Stavební rozpočet'!H2395</f>
      </c>
      <c r="I450" s="111">
        <f>G450*H450</f>
      </c>
      <c r="J450" s="153" t="s">
        <v>134</v>
      </c>
      <c r="K450" s="146"/>
      <c r="Z450" s="111">
        <f>IF(AQ450="5",BJ450,0)</f>
      </c>
      <c r="AB450" s="111">
        <f>IF(AQ450="1",BH450,0)</f>
      </c>
      <c r="AC450" s="111">
        <f>IF(AQ450="1",BI450,0)</f>
      </c>
      <c r="AD450" s="111">
        <f>IF(AQ450="7",BH450,0)</f>
      </c>
      <c r="AE450" s="111">
        <f>IF(AQ450="7",BI450,0)</f>
      </c>
      <c r="AF450" s="111">
        <f>IF(AQ450="2",BH450,0)</f>
      </c>
      <c r="AG450" s="111">
        <f>IF(AQ450="2",BI450,0)</f>
      </c>
      <c r="AH450" s="111">
        <f>IF(AQ450="0",BJ450,0)</f>
      </c>
      <c r="AI450" s="132" t="s">
        <v>87</v>
      </c>
      <c r="AJ450" s="111">
        <f>IF(AN450=0,I450,0)</f>
      </c>
      <c r="AK450" s="111">
        <f>IF(AN450=12,I450,0)</f>
      </c>
      <c r="AL450" s="111">
        <f>IF(AN450=21,I450,0)</f>
      </c>
      <c r="AN450" s="111" t="n">
        <v>21</v>
      </c>
      <c r="AO450" s="111">
        <f>H450*0.093863636</f>
      </c>
      <c r="AP450" s="111">
        <f>H450*(1-0.093863636)</f>
      </c>
      <c r="AQ450" s="153" t="s">
        <v>173</v>
      </c>
      <c r="AV450" s="111">
        <f>AW450+AX450</f>
      </c>
      <c r="AW450" s="111">
        <f>G450*AO450</f>
      </c>
      <c r="AX450" s="111">
        <f>G450*AP450</f>
      </c>
      <c r="AY450" s="153" t="s">
        <v>1949</v>
      </c>
      <c r="AZ450" s="153" t="s">
        <v>3333</v>
      </c>
      <c r="BA450" s="132" t="s">
        <v>2990</v>
      </c>
      <c r="BC450" s="111">
        <f>AW450+AX450</f>
      </c>
      <c r="BD450" s="111">
        <f>H450/(100-BE450)*100</f>
      </c>
      <c r="BE450" s="111" t="n">
        <v>0</v>
      </c>
      <c r="BF450" s="111">
        <f>450</f>
      </c>
      <c r="BH450" s="111">
        <f>G450*AO450</f>
      </c>
      <c r="BI450" s="111">
        <f>G450*AP450</f>
      </c>
      <c r="BJ450" s="111">
        <f>G450*H450</f>
      </c>
      <c r="BK450" s="111"/>
      <c r="BL450" s="111" t="n">
        <v>722</v>
      </c>
      <c r="BW450" s="111" t="n">
        <v>21</v>
      </c>
      <c r="BX450" s="14" t="s">
        <v>3638</v>
      </c>
    </row>
    <row r="451">
      <c r="A451" s="154"/>
      <c r="B451" s="155"/>
      <c r="C451" s="155"/>
      <c r="D451" s="156" t="s">
        <v>130</v>
      </c>
      <c r="E451" s="156" t="s">
        <v>4</v>
      </c>
      <c r="F451" s="155"/>
      <c r="G451" s="157" t="n">
        <v>1</v>
      </c>
      <c r="H451" s="155"/>
      <c r="I451" s="155"/>
      <c r="J451" s="155"/>
      <c r="K451" s="146"/>
    </row>
    <row r="452">
      <c r="A452" s="9" t="s">
        <v>1334</v>
      </c>
      <c r="B452" s="10" t="s">
        <v>87</v>
      </c>
      <c r="C452" s="10" t="s">
        <v>3640</v>
      </c>
      <c r="D452" s="14" t="s">
        <v>3641</v>
      </c>
      <c r="E452" s="10"/>
      <c r="F452" s="10" t="s">
        <v>133</v>
      </c>
      <c r="G452" s="111">
        <f>'Stavební rozpočet'!G2397</f>
      </c>
      <c r="H452" s="111">
        <f>'Stavební rozpočet'!H2397</f>
      </c>
      <c r="I452" s="111">
        <f>G452*H452</f>
      </c>
      <c r="J452" s="153" t="s">
        <v>134</v>
      </c>
      <c r="K452" s="146"/>
      <c r="Z452" s="111">
        <f>IF(AQ452="5",BJ452,0)</f>
      </c>
      <c r="AB452" s="111">
        <f>IF(AQ452="1",BH452,0)</f>
      </c>
      <c r="AC452" s="111">
        <f>IF(AQ452="1",BI452,0)</f>
      </c>
      <c r="AD452" s="111">
        <f>IF(AQ452="7",BH452,0)</f>
      </c>
      <c r="AE452" s="111">
        <f>IF(AQ452="7",BI452,0)</f>
      </c>
      <c r="AF452" s="111">
        <f>IF(AQ452="2",BH452,0)</f>
      </c>
      <c r="AG452" s="111">
        <f>IF(AQ452="2",BI452,0)</f>
      </c>
      <c r="AH452" s="111">
        <f>IF(AQ452="0",BJ452,0)</f>
      </c>
      <c r="AI452" s="132" t="s">
        <v>87</v>
      </c>
      <c r="AJ452" s="111">
        <f>IF(AN452=0,I452,0)</f>
      </c>
      <c r="AK452" s="111">
        <f>IF(AN452=12,I452,0)</f>
      </c>
      <c r="AL452" s="111">
        <f>IF(AN452=21,I452,0)</f>
      </c>
      <c r="AN452" s="111" t="n">
        <v>21</v>
      </c>
      <c r="AO452" s="111">
        <f>H452*0.92250515</f>
      </c>
      <c r="AP452" s="111">
        <f>H452*(1-0.92250515)</f>
      </c>
      <c r="AQ452" s="153" t="s">
        <v>173</v>
      </c>
      <c r="AV452" s="111">
        <f>AW452+AX452</f>
      </c>
      <c r="AW452" s="111">
        <f>G452*AO452</f>
      </c>
      <c r="AX452" s="111">
        <f>G452*AP452</f>
      </c>
      <c r="AY452" s="153" t="s">
        <v>1949</v>
      </c>
      <c r="AZ452" s="153" t="s">
        <v>3333</v>
      </c>
      <c r="BA452" s="132" t="s">
        <v>2990</v>
      </c>
      <c r="BC452" s="111">
        <f>AW452+AX452</f>
      </c>
      <c r="BD452" s="111">
        <f>H452/(100-BE452)*100</f>
      </c>
      <c r="BE452" s="111" t="n">
        <v>0</v>
      </c>
      <c r="BF452" s="111">
        <f>452</f>
      </c>
      <c r="BH452" s="111">
        <f>G452*AO452</f>
      </c>
      <c r="BI452" s="111">
        <f>G452*AP452</f>
      </c>
      <c r="BJ452" s="111">
        <f>G452*H452</f>
      </c>
      <c r="BK452" s="111"/>
      <c r="BL452" s="111" t="n">
        <v>722</v>
      </c>
      <c r="BW452" s="111" t="n">
        <v>21</v>
      </c>
      <c r="BX452" s="14" t="s">
        <v>3641</v>
      </c>
    </row>
    <row r="453" customHeight="true" ht="13.5">
      <c r="A453" s="159"/>
      <c r="C453" s="160" t="s">
        <v>146</v>
      </c>
      <c r="D453" s="161" t="s">
        <v>3642</v>
      </c>
      <c r="E453" s="156"/>
      <c r="F453" s="156"/>
      <c r="G453" s="156"/>
      <c r="H453" s="156"/>
      <c r="I453" s="156"/>
      <c r="J453" s="156"/>
      <c r="K453" s="163"/>
    </row>
    <row r="454">
      <c r="A454" s="154"/>
      <c r="B454" s="155"/>
      <c r="C454" s="155"/>
      <c r="D454" s="156" t="s">
        <v>130</v>
      </c>
      <c r="E454" s="156" t="s">
        <v>4</v>
      </c>
      <c r="F454" s="155"/>
      <c r="G454" s="157" t="n">
        <v>1</v>
      </c>
      <c r="H454" s="155"/>
      <c r="I454" s="155"/>
      <c r="J454" s="155"/>
      <c r="K454" s="146"/>
    </row>
    <row r="455">
      <c r="A455" s="9" t="s">
        <v>1339</v>
      </c>
      <c r="B455" s="10" t="s">
        <v>87</v>
      </c>
      <c r="C455" s="10" t="s">
        <v>1952</v>
      </c>
      <c r="D455" s="14" t="s">
        <v>3644</v>
      </c>
      <c r="E455" s="10"/>
      <c r="F455" s="10" t="s">
        <v>133</v>
      </c>
      <c r="G455" s="111">
        <f>'Stavební rozpočet'!G2400</f>
      </c>
      <c r="H455" s="111">
        <f>'Stavební rozpočet'!H2400</f>
      </c>
      <c r="I455" s="111">
        <f>G455*H455</f>
      </c>
      <c r="J455" s="153" t="s">
        <v>134</v>
      </c>
      <c r="K455" s="146"/>
      <c r="Z455" s="111">
        <f>IF(AQ455="5",BJ455,0)</f>
      </c>
      <c r="AB455" s="111">
        <f>IF(AQ455="1",BH455,0)</f>
      </c>
      <c r="AC455" s="111">
        <f>IF(AQ455="1",BI455,0)</f>
      </c>
      <c r="AD455" s="111">
        <f>IF(AQ455="7",BH455,0)</f>
      </c>
      <c r="AE455" s="111">
        <f>IF(AQ455="7",BI455,0)</f>
      </c>
      <c r="AF455" s="111">
        <f>IF(AQ455="2",BH455,0)</f>
      </c>
      <c r="AG455" s="111">
        <f>IF(AQ455="2",BI455,0)</f>
      </c>
      <c r="AH455" s="111">
        <f>IF(AQ455="0",BJ455,0)</f>
      </c>
      <c r="AI455" s="132" t="s">
        <v>87</v>
      </c>
      <c r="AJ455" s="111">
        <f>IF(AN455=0,I455,0)</f>
      </c>
      <c r="AK455" s="111">
        <f>IF(AN455=12,I455,0)</f>
      </c>
      <c r="AL455" s="111">
        <f>IF(AN455=21,I455,0)</f>
      </c>
      <c r="AN455" s="111" t="n">
        <v>21</v>
      </c>
      <c r="AO455" s="111">
        <f>H455*0</f>
      </c>
      <c r="AP455" s="111">
        <f>H455*(1-0)</f>
      </c>
      <c r="AQ455" s="153" t="s">
        <v>173</v>
      </c>
      <c r="AV455" s="111">
        <f>AW455+AX455</f>
      </c>
      <c r="AW455" s="111">
        <f>G455*AO455</f>
      </c>
      <c r="AX455" s="111">
        <f>G455*AP455</f>
      </c>
      <c r="AY455" s="153" t="s">
        <v>1949</v>
      </c>
      <c r="AZ455" s="153" t="s">
        <v>3333</v>
      </c>
      <c r="BA455" s="132" t="s">
        <v>2990</v>
      </c>
      <c r="BC455" s="111">
        <f>AW455+AX455</f>
      </c>
      <c r="BD455" s="111">
        <f>H455/(100-BE455)*100</f>
      </c>
      <c r="BE455" s="111" t="n">
        <v>0</v>
      </c>
      <c r="BF455" s="111">
        <f>455</f>
      </c>
      <c r="BH455" s="111">
        <f>G455*AO455</f>
      </c>
      <c r="BI455" s="111">
        <f>G455*AP455</f>
      </c>
      <c r="BJ455" s="111">
        <f>G455*H455</f>
      </c>
      <c r="BK455" s="111"/>
      <c r="BL455" s="111" t="n">
        <v>722</v>
      </c>
      <c r="BW455" s="111" t="n">
        <v>21</v>
      </c>
      <c r="BX455" s="14" t="s">
        <v>3644</v>
      </c>
    </row>
    <row r="456">
      <c r="A456" s="154"/>
      <c r="B456" s="155"/>
      <c r="C456" s="155"/>
      <c r="D456" s="156" t="s">
        <v>130</v>
      </c>
      <c r="E456" s="156" t="s">
        <v>4</v>
      </c>
      <c r="F456" s="155"/>
      <c r="G456" s="157" t="n">
        <v>1</v>
      </c>
      <c r="H456" s="155"/>
      <c r="I456" s="155"/>
      <c r="J456" s="155"/>
      <c r="K456" s="146"/>
    </row>
    <row r="457">
      <c r="A457" s="9" t="s">
        <v>1351</v>
      </c>
      <c r="B457" s="10" t="s">
        <v>87</v>
      </c>
      <c r="C457" s="10" t="s">
        <v>3646</v>
      </c>
      <c r="D457" s="14" t="s">
        <v>3647</v>
      </c>
      <c r="E457" s="10"/>
      <c r="F457" s="10" t="s">
        <v>133</v>
      </c>
      <c r="G457" s="111">
        <f>'Stavební rozpočet'!G2402</f>
      </c>
      <c r="H457" s="111">
        <f>'Stavební rozpočet'!H2402</f>
      </c>
      <c r="I457" s="111">
        <f>G457*H457</f>
      </c>
      <c r="J457" s="153" t="s">
        <v>134</v>
      </c>
      <c r="K457" s="146"/>
      <c r="Z457" s="111">
        <f>IF(AQ457="5",BJ457,0)</f>
      </c>
      <c r="AB457" s="111">
        <f>IF(AQ457="1",BH457,0)</f>
      </c>
      <c r="AC457" s="111">
        <f>IF(AQ457="1",BI457,0)</f>
      </c>
      <c r="AD457" s="111">
        <f>IF(AQ457="7",BH457,0)</f>
      </c>
      <c r="AE457" s="111">
        <f>IF(AQ457="7",BI457,0)</f>
      </c>
      <c r="AF457" s="111">
        <f>IF(AQ457="2",BH457,0)</f>
      </c>
      <c r="AG457" s="111">
        <f>IF(AQ457="2",BI457,0)</f>
      </c>
      <c r="AH457" s="111">
        <f>IF(AQ457="0",BJ457,0)</f>
      </c>
      <c r="AI457" s="132" t="s">
        <v>87</v>
      </c>
      <c r="AJ457" s="111">
        <f>IF(AN457=0,I457,0)</f>
      </c>
      <c r="AK457" s="111">
        <f>IF(AN457=12,I457,0)</f>
      </c>
      <c r="AL457" s="111">
        <f>IF(AN457=21,I457,0)</f>
      </c>
      <c r="AN457" s="111" t="n">
        <v>21</v>
      </c>
      <c r="AO457" s="111">
        <f>H457*0</f>
      </c>
      <c r="AP457" s="111">
        <f>H457*(1-0)</f>
      </c>
      <c r="AQ457" s="153" t="s">
        <v>173</v>
      </c>
      <c r="AV457" s="111">
        <f>AW457+AX457</f>
      </c>
      <c r="AW457" s="111">
        <f>G457*AO457</f>
      </c>
      <c r="AX457" s="111">
        <f>G457*AP457</f>
      </c>
      <c r="AY457" s="153" t="s">
        <v>1949</v>
      </c>
      <c r="AZ457" s="153" t="s">
        <v>3333</v>
      </c>
      <c r="BA457" s="132" t="s">
        <v>2990</v>
      </c>
      <c r="BC457" s="111">
        <f>AW457+AX457</f>
      </c>
      <c r="BD457" s="111">
        <f>H457/(100-BE457)*100</f>
      </c>
      <c r="BE457" s="111" t="n">
        <v>0</v>
      </c>
      <c r="BF457" s="111">
        <f>457</f>
      </c>
      <c r="BH457" s="111">
        <f>G457*AO457</f>
      </c>
      <c r="BI457" s="111">
        <f>G457*AP457</f>
      </c>
      <c r="BJ457" s="111">
        <f>G457*H457</f>
      </c>
      <c r="BK457" s="111"/>
      <c r="BL457" s="111" t="n">
        <v>722</v>
      </c>
      <c r="BW457" s="111" t="n">
        <v>21</v>
      </c>
      <c r="BX457" s="14" t="s">
        <v>3647</v>
      </c>
    </row>
    <row r="458">
      <c r="A458" s="154"/>
      <c r="B458" s="155"/>
      <c r="C458" s="155"/>
      <c r="D458" s="156" t="s">
        <v>130</v>
      </c>
      <c r="E458" s="156" t="s">
        <v>4</v>
      </c>
      <c r="F458" s="155"/>
      <c r="G458" s="157" t="n">
        <v>1</v>
      </c>
      <c r="H458" s="155"/>
      <c r="I458" s="155"/>
      <c r="J458" s="155"/>
      <c r="K458" s="146"/>
    </row>
    <row r="459">
      <c r="A459" s="9" t="s">
        <v>1358</v>
      </c>
      <c r="B459" s="10" t="s">
        <v>87</v>
      </c>
      <c r="C459" s="10" t="s">
        <v>1955</v>
      </c>
      <c r="D459" s="14" t="s">
        <v>3649</v>
      </c>
      <c r="E459" s="10"/>
      <c r="F459" s="10" t="s">
        <v>133</v>
      </c>
      <c r="G459" s="111">
        <f>'Stavební rozpočet'!G2404</f>
      </c>
      <c r="H459" s="111">
        <f>'Stavební rozpočet'!H2404</f>
      </c>
      <c r="I459" s="111">
        <f>G459*H459</f>
      </c>
      <c r="J459" s="153" t="s">
        <v>134</v>
      </c>
      <c r="K459" s="146"/>
      <c r="Z459" s="111">
        <f>IF(AQ459="5",BJ459,0)</f>
      </c>
      <c r="AB459" s="111">
        <f>IF(AQ459="1",BH459,0)</f>
      </c>
      <c r="AC459" s="111">
        <f>IF(AQ459="1",BI459,0)</f>
      </c>
      <c r="AD459" s="111">
        <f>IF(AQ459="7",BH459,0)</f>
      </c>
      <c r="AE459" s="111">
        <f>IF(AQ459="7",BI459,0)</f>
      </c>
      <c r="AF459" s="111">
        <f>IF(AQ459="2",BH459,0)</f>
      </c>
      <c r="AG459" s="111">
        <f>IF(AQ459="2",BI459,0)</f>
      </c>
      <c r="AH459" s="111">
        <f>IF(AQ459="0",BJ459,0)</f>
      </c>
      <c r="AI459" s="132" t="s">
        <v>87</v>
      </c>
      <c r="AJ459" s="111">
        <f>IF(AN459=0,I459,0)</f>
      </c>
      <c r="AK459" s="111">
        <f>IF(AN459=12,I459,0)</f>
      </c>
      <c r="AL459" s="111">
        <f>IF(AN459=21,I459,0)</f>
      </c>
      <c r="AN459" s="111" t="n">
        <v>21</v>
      </c>
      <c r="AO459" s="111">
        <f>H459*0</f>
      </c>
      <c r="AP459" s="111">
        <f>H459*(1-0)</f>
      </c>
      <c r="AQ459" s="153" t="s">
        <v>173</v>
      </c>
      <c r="AV459" s="111">
        <f>AW459+AX459</f>
      </c>
      <c r="AW459" s="111">
        <f>G459*AO459</f>
      </c>
      <c r="AX459" s="111">
        <f>G459*AP459</f>
      </c>
      <c r="AY459" s="153" t="s">
        <v>1949</v>
      </c>
      <c r="AZ459" s="153" t="s">
        <v>3333</v>
      </c>
      <c r="BA459" s="132" t="s">
        <v>2990</v>
      </c>
      <c r="BC459" s="111">
        <f>AW459+AX459</f>
      </c>
      <c r="BD459" s="111">
        <f>H459/(100-BE459)*100</f>
      </c>
      <c r="BE459" s="111" t="n">
        <v>0</v>
      </c>
      <c r="BF459" s="111">
        <f>459</f>
      </c>
      <c r="BH459" s="111">
        <f>G459*AO459</f>
      </c>
      <c r="BI459" s="111">
        <f>G459*AP459</f>
      </c>
      <c r="BJ459" s="111">
        <f>G459*H459</f>
      </c>
      <c r="BK459" s="111"/>
      <c r="BL459" s="111" t="n">
        <v>722</v>
      </c>
      <c r="BW459" s="111" t="n">
        <v>21</v>
      </c>
      <c r="BX459" s="14" t="s">
        <v>3649</v>
      </c>
    </row>
    <row r="460">
      <c r="A460" s="154"/>
      <c r="B460" s="155"/>
      <c r="C460" s="155"/>
      <c r="D460" s="156" t="s">
        <v>130</v>
      </c>
      <c r="E460" s="156" t="s">
        <v>4</v>
      </c>
      <c r="F460" s="155"/>
      <c r="G460" s="157" t="n">
        <v>1</v>
      </c>
      <c r="H460" s="155"/>
      <c r="I460" s="155"/>
      <c r="J460" s="155"/>
      <c r="K460" s="146"/>
    </row>
    <row r="461">
      <c r="A461" s="9" t="s">
        <v>1363</v>
      </c>
      <c r="B461" s="10" t="s">
        <v>87</v>
      </c>
      <c r="C461" s="10" t="s">
        <v>3651</v>
      </c>
      <c r="D461" s="14" t="s">
        <v>3652</v>
      </c>
      <c r="E461" s="10"/>
      <c r="F461" s="10" t="s">
        <v>133</v>
      </c>
      <c r="G461" s="111">
        <f>'Stavební rozpočet'!G2406</f>
      </c>
      <c r="H461" s="111">
        <f>'Stavební rozpočet'!H2406</f>
      </c>
      <c r="I461" s="111">
        <f>G461*H461</f>
      </c>
      <c r="J461" s="153" t="s">
        <v>134</v>
      </c>
      <c r="K461" s="146"/>
      <c r="Z461" s="111">
        <f>IF(AQ461="5",BJ461,0)</f>
      </c>
      <c r="AB461" s="111">
        <f>IF(AQ461="1",BH461,0)</f>
      </c>
      <c r="AC461" s="111">
        <f>IF(AQ461="1",BI461,0)</f>
      </c>
      <c r="AD461" s="111">
        <f>IF(AQ461="7",BH461,0)</f>
      </c>
      <c r="AE461" s="111">
        <f>IF(AQ461="7",BI461,0)</f>
      </c>
      <c r="AF461" s="111">
        <f>IF(AQ461="2",BH461,0)</f>
      </c>
      <c r="AG461" s="111">
        <f>IF(AQ461="2",BI461,0)</f>
      </c>
      <c r="AH461" s="111">
        <f>IF(AQ461="0",BJ461,0)</f>
      </c>
      <c r="AI461" s="132" t="s">
        <v>87</v>
      </c>
      <c r="AJ461" s="111">
        <f>IF(AN461=0,I461,0)</f>
      </c>
      <c r="AK461" s="111">
        <f>IF(AN461=12,I461,0)</f>
      </c>
      <c r="AL461" s="111">
        <f>IF(AN461=21,I461,0)</f>
      </c>
      <c r="AN461" s="111" t="n">
        <v>21</v>
      </c>
      <c r="AO461" s="111">
        <f>H461*0.782818653</f>
      </c>
      <c r="AP461" s="111">
        <f>H461*(1-0.782818653)</f>
      </c>
      <c r="AQ461" s="153" t="s">
        <v>173</v>
      </c>
      <c r="AV461" s="111">
        <f>AW461+AX461</f>
      </c>
      <c r="AW461" s="111">
        <f>G461*AO461</f>
      </c>
      <c r="AX461" s="111">
        <f>G461*AP461</f>
      </c>
      <c r="AY461" s="153" t="s">
        <v>1949</v>
      </c>
      <c r="AZ461" s="153" t="s">
        <v>3333</v>
      </c>
      <c r="BA461" s="132" t="s">
        <v>2990</v>
      </c>
      <c r="BC461" s="111">
        <f>AW461+AX461</f>
      </c>
      <c r="BD461" s="111">
        <f>H461/(100-BE461)*100</f>
      </c>
      <c r="BE461" s="111" t="n">
        <v>0</v>
      </c>
      <c r="BF461" s="111">
        <f>461</f>
      </c>
      <c r="BH461" s="111">
        <f>G461*AO461</f>
      </c>
      <c r="BI461" s="111">
        <f>G461*AP461</f>
      </c>
      <c r="BJ461" s="111">
        <f>G461*H461</f>
      </c>
      <c r="BK461" s="111"/>
      <c r="BL461" s="111" t="n">
        <v>722</v>
      </c>
      <c r="BW461" s="111" t="n">
        <v>21</v>
      </c>
      <c r="BX461" s="14" t="s">
        <v>3652</v>
      </c>
    </row>
    <row r="462">
      <c r="A462" s="154"/>
      <c r="B462" s="155"/>
      <c r="C462" s="155"/>
      <c r="D462" s="156" t="s">
        <v>130</v>
      </c>
      <c r="E462" s="156" t="s">
        <v>4</v>
      </c>
      <c r="F462" s="155"/>
      <c r="G462" s="157" t="n">
        <v>1</v>
      </c>
      <c r="H462" s="155"/>
      <c r="I462" s="155"/>
      <c r="J462" s="155"/>
      <c r="K462" s="146"/>
    </row>
    <row r="463">
      <c r="A463" s="9" t="s">
        <v>1373</v>
      </c>
      <c r="B463" s="10" t="s">
        <v>87</v>
      </c>
      <c r="C463" s="10" t="s">
        <v>3654</v>
      </c>
      <c r="D463" s="14" t="s">
        <v>3655</v>
      </c>
      <c r="E463" s="10"/>
      <c r="F463" s="10" t="s">
        <v>133</v>
      </c>
      <c r="G463" s="111">
        <f>'Stavební rozpočet'!G2408</f>
      </c>
      <c r="H463" s="111">
        <f>'Stavební rozpočet'!H2408</f>
      </c>
      <c r="I463" s="111">
        <f>G463*H463</f>
      </c>
      <c r="J463" s="153" t="s">
        <v>134</v>
      </c>
      <c r="K463" s="146"/>
      <c r="Z463" s="111">
        <f>IF(AQ463="5",BJ463,0)</f>
      </c>
      <c r="AB463" s="111">
        <f>IF(AQ463="1",BH463,0)</f>
      </c>
      <c r="AC463" s="111">
        <f>IF(AQ463="1",BI463,0)</f>
      </c>
      <c r="AD463" s="111">
        <f>IF(AQ463="7",BH463,0)</f>
      </c>
      <c r="AE463" s="111">
        <f>IF(AQ463="7",BI463,0)</f>
      </c>
      <c r="AF463" s="111">
        <f>IF(AQ463="2",BH463,0)</f>
      </c>
      <c r="AG463" s="111">
        <f>IF(AQ463="2",BI463,0)</f>
      </c>
      <c r="AH463" s="111">
        <f>IF(AQ463="0",BJ463,0)</f>
      </c>
      <c r="AI463" s="132" t="s">
        <v>87</v>
      </c>
      <c r="AJ463" s="111">
        <f>IF(AN463=0,I463,0)</f>
      </c>
      <c r="AK463" s="111">
        <f>IF(AN463=12,I463,0)</f>
      </c>
      <c r="AL463" s="111">
        <f>IF(AN463=21,I463,0)</f>
      </c>
      <c r="AN463" s="111" t="n">
        <v>21</v>
      </c>
      <c r="AO463" s="111">
        <f>H463*0.780119166</f>
      </c>
      <c r="AP463" s="111">
        <f>H463*(1-0.780119166)</f>
      </c>
      <c r="AQ463" s="153" t="s">
        <v>173</v>
      </c>
      <c r="AV463" s="111">
        <f>AW463+AX463</f>
      </c>
      <c r="AW463" s="111">
        <f>G463*AO463</f>
      </c>
      <c r="AX463" s="111">
        <f>G463*AP463</f>
      </c>
      <c r="AY463" s="153" t="s">
        <v>1949</v>
      </c>
      <c r="AZ463" s="153" t="s">
        <v>3333</v>
      </c>
      <c r="BA463" s="132" t="s">
        <v>2990</v>
      </c>
      <c r="BC463" s="111">
        <f>AW463+AX463</f>
      </c>
      <c r="BD463" s="111">
        <f>H463/(100-BE463)*100</f>
      </c>
      <c r="BE463" s="111" t="n">
        <v>0</v>
      </c>
      <c r="BF463" s="111">
        <f>463</f>
      </c>
      <c r="BH463" s="111">
        <f>G463*AO463</f>
      </c>
      <c r="BI463" s="111">
        <f>G463*AP463</f>
      </c>
      <c r="BJ463" s="111">
        <f>G463*H463</f>
      </c>
      <c r="BK463" s="111"/>
      <c r="BL463" s="111" t="n">
        <v>722</v>
      </c>
      <c r="BW463" s="111" t="n">
        <v>21</v>
      </c>
      <c r="BX463" s="14" t="s">
        <v>3655</v>
      </c>
    </row>
    <row r="464">
      <c r="A464" s="154"/>
      <c r="B464" s="155"/>
      <c r="C464" s="155"/>
      <c r="D464" s="156" t="s">
        <v>130</v>
      </c>
      <c r="E464" s="156" t="s">
        <v>4</v>
      </c>
      <c r="F464" s="155"/>
      <c r="G464" s="157" t="n">
        <v>1</v>
      </c>
      <c r="H464" s="155"/>
      <c r="I464" s="155"/>
      <c r="J464" s="155"/>
      <c r="K464" s="146"/>
    </row>
    <row r="465">
      <c r="A465" s="9" t="s">
        <v>1376</v>
      </c>
      <c r="B465" s="10" t="s">
        <v>87</v>
      </c>
      <c r="C465" s="10" t="s">
        <v>3657</v>
      </c>
      <c r="D465" s="14" t="s">
        <v>3658</v>
      </c>
      <c r="E465" s="10"/>
      <c r="F465" s="10" t="s">
        <v>133</v>
      </c>
      <c r="G465" s="111">
        <f>'Stavební rozpočet'!G2410</f>
      </c>
      <c r="H465" s="111">
        <f>'Stavební rozpočet'!H2410</f>
      </c>
      <c r="I465" s="111">
        <f>G465*H465</f>
      </c>
      <c r="J465" s="153" t="s">
        <v>134</v>
      </c>
      <c r="K465" s="146"/>
      <c r="Z465" s="111">
        <f>IF(AQ465="5",BJ465,0)</f>
      </c>
      <c r="AB465" s="111">
        <f>IF(AQ465="1",BH465,0)</f>
      </c>
      <c r="AC465" s="111">
        <f>IF(AQ465="1",BI465,0)</f>
      </c>
      <c r="AD465" s="111">
        <f>IF(AQ465="7",BH465,0)</f>
      </c>
      <c r="AE465" s="111">
        <f>IF(AQ465="7",BI465,0)</f>
      </c>
      <c r="AF465" s="111">
        <f>IF(AQ465="2",BH465,0)</f>
      </c>
      <c r="AG465" s="111">
        <f>IF(AQ465="2",BI465,0)</f>
      </c>
      <c r="AH465" s="111">
        <f>IF(AQ465="0",BJ465,0)</f>
      </c>
      <c r="AI465" s="132" t="s">
        <v>87</v>
      </c>
      <c r="AJ465" s="111">
        <f>IF(AN465=0,I465,0)</f>
      </c>
      <c r="AK465" s="111">
        <f>IF(AN465=12,I465,0)</f>
      </c>
      <c r="AL465" s="111">
        <f>IF(AN465=21,I465,0)</f>
      </c>
      <c r="AN465" s="111" t="n">
        <v>21</v>
      </c>
      <c r="AO465" s="111">
        <f>H465*0.919616848</f>
      </c>
      <c r="AP465" s="111">
        <f>H465*(1-0.919616848)</f>
      </c>
      <c r="AQ465" s="153" t="s">
        <v>173</v>
      </c>
      <c r="AV465" s="111">
        <f>AW465+AX465</f>
      </c>
      <c r="AW465" s="111">
        <f>G465*AO465</f>
      </c>
      <c r="AX465" s="111">
        <f>G465*AP465</f>
      </c>
      <c r="AY465" s="153" t="s">
        <v>1949</v>
      </c>
      <c r="AZ465" s="153" t="s">
        <v>3333</v>
      </c>
      <c r="BA465" s="132" t="s">
        <v>2990</v>
      </c>
      <c r="BC465" s="111">
        <f>AW465+AX465</f>
      </c>
      <c r="BD465" s="111">
        <f>H465/(100-BE465)*100</f>
      </c>
      <c r="BE465" s="111" t="n">
        <v>0</v>
      </c>
      <c r="BF465" s="111">
        <f>465</f>
      </c>
      <c r="BH465" s="111">
        <f>G465*AO465</f>
      </c>
      <c r="BI465" s="111">
        <f>G465*AP465</f>
      </c>
      <c r="BJ465" s="111">
        <f>G465*H465</f>
      </c>
      <c r="BK465" s="111"/>
      <c r="BL465" s="111" t="n">
        <v>722</v>
      </c>
      <c r="BW465" s="111" t="n">
        <v>21</v>
      </c>
      <c r="BX465" s="14" t="s">
        <v>3658</v>
      </c>
    </row>
    <row r="466">
      <c r="A466" s="154"/>
      <c r="B466" s="155"/>
      <c r="C466" s="155"/>
      <c r="D466" s="156" t="s">
        <v>130</v>
      </c>
      <c r="E466" s="156" t="s">
        <v>4</v>
      </c>
      <c r="F466" s="155"/>
      <c r="G466" s="157" t="n">
        <v>1</v>
      </c>
      <c r="H466" s="155"/>
      <c r="I466" s="155"/>
      <c r="J466" s="155"/>
      <c r="K466" s="146"/>
    </row>
    <row r="467">
      <c r="A467" s="9" t="s">
        <v>1379</v>
      </c>
      <c r="B467" s="10" t="s">
        <v>87</v>
      </c>
      <c r="C467" s="10" t="s">
        <v>3660</v>
      </c>
      <c r="D467" s="14" t="s">
        <v>3661</v>
      </c>
      <c r="E467" s="10"/>
      <c r="F467" s="10" t="s">
        <v>133</v>
      </c>
      <c r="G467" s="111">
        <f>'Stavební rozpočet'!G2412</f>
      </c>
      <c r="H467" s="111">
        <f>'Stavební rozpočet'!H2412</f>
      </c>
      <c r="I467" s="111">
        <f>G467*H467</f>
      </c>
      <c r="J467" s="153" t="s">
        <v>134</v>
      </c>
      <c r="K467" s="146"/>
      <c r="Z467" s="111">
        <f>IF(AQ467="5",BJ467,0)</f>
      </c>
      <c r="AB467" s="111">
        <f>IF(AQ467="1",BH467,0)</f>
      </c>
      <c r="AC467" s="111">
        <f>IF(AQ467="1",BI467,0)</f>
      </c>
      <c r="AD467" s="111">
        <f>IF(AQ467="7",BH467,0)</f>
      </c>
      <c r="AE467" s="111">
        <f>IF(AQ467="7",BI467,0)</f>
      </c>
      <c r="AF467" s="111">
        <f>IF(AQ467="2",BH467,0)</f>
      </c>
      <c r="AG467" s="111">
        <f>IF(AQ467="2",BI467,0)</f>
      </c>
      <c r="AH467" s="111">
        <f>IF(AQ467="0",BJ467,0)</f>
      </c>
      <c r="AI467" s="132" t="s">
        <v>87</v>
      </c>
      <c r="AJ467" s="111">
        <f>IF(AN467=0,I467,0)</f>
      </c>
      <c r="AK467" s="111">
        <f>IF(AN467=12,I467,0)</f>
      </c>
      <c r="AL467" s="111">
        <f>IF(AN467=21,I467,0)</f>
      </c>
      <c r="AN467" s="111" t="n">
        <v>21</v>
      </c>
      <c r="AO467" s="111">
        <f>H467*0.975172203</f>
      </c>
      <c r="AP467" s="111">
        <f>H467*(1-0.975172203)</f>
      </c>
      <c r="AQ467" s="153" t="s">
        <v>173</v>
      </c>
      <c r="AV467" s="111">
        <f>AW467+AX467</f>
      </c>
      <c r="AW467" s="111">
        <f>G467*AO467</f>
      </c>
      <c r="AX467" s="111">
        <f>G467*AP467</f>
      </c>
      <c r="AY467" s="153" t="s">
        <v>1949</v>
      </c>
      <c r="AZ467" s="153" t="s">
        <v>3333</v>
      </c>
      <c r="BA467" s="132" t="s">
        <v>2990</v>
      </c>
      <c r="BC467" s="111">
        <f>AW467+AX467</f>
      </c>
      <c r="BD467" s="111">
        <f>H467/(100-BE467)*100</f>
      </c>
      <c r="BE467" s="111" t="n">
        <v>0</v>
      </c>
      <c r="BF467" s="111">
        <f>467</f>
      </c>
      <c r="BH467" s="111">
        <f>G467*AO467</f>
      </c>
      <c r="BI467" s="111">
        <f>G467*AP467</f>
      </c>
      <c r="BJ467" s="111">
        <f>G467*H467</f>
      </c>
      <c r="BK467" s="111"/>
      <c r="BL467" s="111" t="n">
        <v>722</v>
      </c>
      <c r="BW467" s="111" t="n">
        <v>21</v>
      </c>
      <c r="BX467" s="14" t="s">
        <v>3661</v>
      </c>
    </row>
    <row r="468">
      <c r="A468" s="154"/>
      <c r="B468" s="155"/>
      <c r="C468" s="155"/>
      <c r="D468" s="156" t="s">
        <v>130</v>
      </c>
      <c r="E468" s="156" t="s">
        <v>4</v>
      </c>
      <c r="F468" s="155"/>
      <c r="G468" s="157" t="n">
        <v>1</v>
      </c>
      <c r="H468" s="155"/>
      <c r="I468" s="155"/>
      <c r="J468" s="155"/>
      <c r="K468" s="146"/>
    </row>
    <row r="469">
      <c r="A469" s="9" t="s">
        <v>1390</v>
      </c>
      <c r="B469" s="10" t="s">
        <v>87</v>
      </c>
      <c r="C469" s="10" t="s">
        <v>3663</v>
      </c>
      <c r="D469" s="14" t="s">
        <v>3664</v>
      </c>
      <c r="E469" s="10"/>
      <c r="F469" s="10" t="s">
        <v>282</v>
      </c>
      <c r="G469" s="111">
        <f>'Stavební rozpočet'!G2414</f>
      </c>
      <c r="H469" s="111">
        <f>'Stavební rozpočet'!H2414</f>
      </c>
      <c r="I469" s="111">
        <f>G469*H469</f>
      </c>
      <c r="J469" s="153" t="s">
        <v>134</v>
      </c>
      <c r="K469" s="146"/>
      <c r="Z469" s="111">
        <f>IF(AQ469="5",BJ469,0)</f>
      </c>
      <c r="AB469" s="111">
        <f>IF(AQ469="1",BH469,0)</f>
      </c>
      <c r="AC469" s="111">
        <f>IF(AQ469="1",BI469,0)</f>
      </c>
      <c r="AD469" s="111">
        <f>IF(AQ469="7",BH469,0)</f>
      </c>
      <c r="AE469" s="111">
        <f>IF(AQ469="7",BI469,0)</f>
      </c>
      <c r="AF469" s="111">
        <f>IF(AQ469="2",BH469,0)</f>
      </c>
      <c r="AG469" s="111">
        <f>IF(AQ469="2",BI469,0)</f>
      </c>
      <c r="AH469" s="111">
        <f>IF(AQ469="0",BJ469,0)</f>
      </c>
      <c r="AI469" s="132" t="s">
        <v>87</v>
      </c>
      <c r="AJ469" s="111">
        <f>IF(AN469=0,I469,0)</f>
      </c>
      <c r="AK469" s="111">
        <f>IF(AN469=12,I469,0)</f>
      </c>
      <c r="AL469" s="111">
        <f>IF(AN469=21,I469,0)</f>
      </c>
      <c r="AN469" s="111" t="n">
        <v>21</v>
      </c>
      <c r="AO469" s="111">
        <f>H469*0.015662651</f>
      </c>
      <c r="AP469" s="111">
        <f>H469*(1-0.015662651)</f>
      </c>
      <c r="AQ469" s="153" t="s">
        <v>173</v>
      </c>
      <c r="AV469" s="111">
        <f>AW469+AX469</f>
      </c>
      <c r="AW469" s="111">
        <f>G469*AO469</f>
      </c>
      <c r="AX469" s="111">
        <f>G469*AP469</f>
      </c>
      <c r="AY469" s="153" t="s">
        <v>1949</v>
      </c>
      <c r="AZ469" s="153" t="s">
        <v>3333</v>
      </c>
      <c r="BA469" s="132" t="s">
        <v>2990</v>
      </c>
      <c r="BC469" s="111">
        <f>AW469+AX469</f>
      </c>
      <c r="BD469" s="111">
        <f>H469/(100-BE469)*100</f>
      </c>
      <c r="BE469" s="111" t="n">
        <v>0</v>
      </c>
      <c r="BF469" s="111">
        <f>469</f>
      </c>
      <c r="BH469" s="111">
        <f>G469*AO469</f>
      </c>
      <c r="BI469" s="111">
        <f>G469*AP469</f>
      </c>
      <c r="BJ469" s="111">
        <f>G469*H469</f>
      </c>
      <c r="BK469" s="111"/>
      <c r="BL469" s="111" t="n">
        <v>722</v>
      </c>
      <c r="BW469" s="111" t="n">
        <v>21</v>
      </c>
      <c r="BX469" s="14" t="s">
        <v>3664</v>
      </c>
    </row>
    <row r="470">
      <c r="A470" s="154"/>
      <c r="B470" s="155"/>
      <c r="C470" s="155"/>
      <c r="D470" s="156" t="s">
        <v>3665</v>
      </c>
      <c r="E470" s="156" t="s">
        <v>4</v>
      </c>
      <c r="F470" s="155"/>
      <c r="G470" s="157" t="n">
        <v>298</v>
      </c>
      <c r="H470" s="155"/>
      <c r="I470" s="155"/>
      <c r="J470" s="155"/>
      <c r="K470" s="146"/>
    </row>
    <row r="471">
      <c r="A471" s="9" t="s">
        <v>1394</v>
      </c>
      <c r="B471" s="10" t="s">
        <v>87</v>
      </c>
      <c r="C471" s="10" t="s">
        <v>3667</v>
      </c>
      <c r="D471" s="14" t="s">
        <v>3668</v>
      </c>
      <c r="E471" s="10"/>
      <c r="F471" s="10" t="s">
        <v>282</v>
      </c>
      <c r="G471" s="111">
        <f>'Stavební rozpočet'!G2416</f>
      </c>
      <c r="H471" s="111">
        <f>'Stavební rozpočet'!H2416</f>
      </c>
      <c r="I471" s="111">
        <f>G471*H471</f>
      </c>
      <c r="J471" s="153" t="s">
        <v>134</v>
      </c>
      <c r="K471" s="146"/>
      <c r="Z471" s="111">
        <f>IF(AQ471="5",BJ471,0)</f>
      </c>
      <c r="AB471" s="111">
        <f>IF(AQ471="1",BH471,0)</f>
      </c>
      <c r="AC471" s="111">
        <f>IF(AQ471="1",BI471,0)</f>
      </c>
      <c r="AD471" s="111">
        <f>IF(AQ471="7",BH471,0)</f>
      </c>
      <c r="AE471" s="111">
        <f>IF(AQ471="7",BI471,0)</f>
      </c>
      <c r="AF471" s="111">
        <f>IF(AQ471="2",BH471,0)</f>
      </c>
      <c r="AG471" s="111">
        <f>IF(AQ471="2",BI471,0)</f>
      </c>
      <c r="AH471" s="111">
        <f>IF(AQ471="0",BJ471,0)</f>
      </c>
      <c r="AI471" s="132" t="s">
        <v>87</v>
      </c>
      <c r="AJ471" s="111">
        <f>IF(AN471=0,I471,0)</f>
      </c>
      <c r="AK471" s="111">
        <f>IF(AN471=12,I471,0)</f>
      </c>
      <c r="AL471" s="111">
        <f>IF(AN471=21,I471,0)</f>
      </c>
      <c r="AN471" s="111" t="n">
        <v>21</v>
      </c>
      <c r="AO471" s="111">
        <f>H471*0.017967434</f>
      </c>
      <c r="AP471" s="111">
        <f>H471*(1-0.017967434)</f>
      </c>
      <c r="AQ471" s="153" t="s">
        <v>173</v>
      </c>
      <c r="AV471" s="111">
        <f>AW471+AX471</f>
      </c>
      <c r="AW471" s="111">
        <f>G471*AO471</f>
      </c>
      <c r="AX471" s="111">
        <f>G471*AP471</f>
      </c>
      <c r="AY471" s="153" t="s">
        <v>1949</v>
      </c>
      <c r="AZ471" s="153" t="s">
        <v>3333</v>
      </c>
      <c r="BA471" s="132" t="s">
        <v>2990</v>
      </c>
      <c r="BC471" s="111">
        <f>AW471+AX471</f>
      </c>
      <c r="BD471" s="111">
        <f>H471/(100-BE471)*100</f>
      </c>
      <c r="BE471" s="111" t="n">
        <v>0</v>
      </c>
      <c r="BF471" s="111">
        <f>471</f>
      </c>
      <c r="BH471" s="111">
        <f>G471*AO471</f>
      </c>
      <c r="BI471" s="111">
        <f>G471*AP471</f>
      </c>
      <c r="BJ471" s="111">
        <f>G471*H471</f>
      </c>
      <c r="BK471" s="111"/>
      <c r="BL471" s="111" t="n">
        <v>722</v>
      </c>
      <c r="BW471" s="111" t="n">
        <v>21</v>
      </c>
      <c r="BX471" s="14" t="s">
        <v>3668</v>
      </c>
    </row>
    <row r="472">
      <c r="A472" s="154"/>
      <c r="B472" s="155"/>
      <c r="C472" s="155"/>
      <c r="D472" s="156" t="s">
        <v>715</v>
      </c>
      <c r="E472" s="156" t="s">
        <v>4</v>
      </c>
      <c r="F472" s="155"/>
      <c r="G472" s="157" t="n">
        <v>88</v>
      </c>
      <c r="H472" s="155"/>
      <c r="I472" s="155"/>
      <c r="J472" s="155"/>
      <c r="K472" s="146"/>
    </row>
    <row r="473">
      <c r="A473" s="9" t="s">
        <v>1398</v>
      </c>
      <c r="B473" s="10" t="s">
        <v>87</v>
      </c>
      <c r="C473" s="10" t="s">
        <v>3670</v>
      </c>
      <c r="D473" s="14" t="s">
        <v>3671</v>
      </c>
      <c r="E473" s="10"/>
      <c r="F473" s="10" t="s">
        <v>282</v>
      </c>
      <c r="G473" s="111">
        <f>'Stavební rozpočet'!G2418</f>
      </c>
      <c r="H473" s="111">
        <f>'Stavební rozpočet'!H2418</f>
      </c>
      <c r="I473" s="111">
        <f>G473*H473</f>
      </c>
      <c r="J473" s="153" t="s">
        <v>134</v>
      </c>
      <c r="K473" s="146"/>
      <c r="Z473" s="111">
        <f>IF(AQ473="5",BJ473,0)</f>
      </c>
      <c r="AB473" s="111">
        <f>IF(AQ473="1",BH473,0)</f>
      </c>
      <c r="AC473" s="111">
        <f>IF(AQ473="1",BI473,0)</f>
      </c>
      <c r="AD473" s="111">
        <f>IF(AQ473="7",BH473,0)</f>
      </c>
      <c r="AE473" s="111">
        <f>IF(AQ473="7",BI473,0)</f>
      </c>
      <c r="AF473" s="111">
        <f>IF(AQ473="2",BH473,0)</f>
      </c>
      <c r="AG473" s="111">
        <f>IF(AQ473="2",BI473,0)</f>
      </c>
      <c r="AH473" s="111">
        <f>IF(AQ473="0",BJ473,0)</f>
      </c>
      <c r="AI473" s="132" t="s">
        <v>87</v>
      </c>
      <c r="AJ473" s="111">
        <f>IF(AN473=0,I473,0)</f>
      </c>
      <c r="AK473" s="111">
        <f>IF(AN473=12,I473,0)</f>
      </c>
      <c r="AL473" s="111">
        <f>IF(AN473=21,I473,0)</f>
      </c>
      <c r="AN473" s="111" t="n">
        <v>21</v>
      </c>
      <c r="AO473" s="111">
        <f>H473*0.020661157</f>
      </c>
      <c r="AP473" s="111">
        <f>H473*(1-0.020661157)</f>
      </c>
      <c r="AQ473" s="153" t="s">
        <v>173</v>
      </c>
      <c r="AV473" s="111">
        <f>AW473+AX473</f>
      </c>
      <c r="AW473" s="111">
        <f>G473*AO473</f>
      </c>
      <c r="AX473" s="111">
        <f>G473*AP473</f>
      </c>
      <c r="AY473" s="153" t="s">
        <v>1949</v>
      </c>
      <c r="AZ473" s="153" t="s">
        <v>3333</v>
      </c>
      <c r="BA473" s="132" t="s">
        <v>2990</v>
      </c>
      <c r="BC473" s="111">
        <f>AW473+AX473</f>
      </c>
      <c r="BD473" s="111">
        <f>H473/(100-BE473)*100</f>
      </c>
      <c r="BE473" s="111" t="n">
        <v>0</v>
      </c>
      <c r="BF473" s="111">
        <f>473</f>
      </c>
      <c r="BH473" s="111">
        <f>G473*AO473</f>
      </c>
      <c r="BI473" s="111">
        <f>G473*AP473</f>
      </c>
      <c r="BJ473" s="111">
        <f>G473*H473</f>
      </c>
      <c r="BK473" s="111"/>
      <c r="BL473" s="111" t="n">
        <v>722</v>
      </c>
      <c r="BW473" s="111" t="n">
        <v>21</v>
      </c>
      <c r="BX473" s="14" t="s">
        <v>3671</v>
      </c>
    </row>
    <row r="474">
      <c r="A474" s="154"/>
      <c r="B474" s="155"/>
      <c r="C474" s="155"/>
      <c r="D474" s="156" t="s">
        <v>3672</v>
      </c>
      <c r="E474" s="156" t="s">
        <v>4</v>
      </c>
      <c r="F474" s="155"/>
      <c r="G474" s="157" t="n">
        <v>11</v>
      </c>
      <c r="H474" s="155"/>
      <c r="I474" s="155"/>
      <c r="J474" s="155"/>
      <c r="K474" s="146"/>
    </row>
    <row r="475">
      <c r="A475" s="9" t="s">
        <v>1401</v>
      </c>
      <c r="B475" s="10" t="s">
        <v>87</v>
      </c>
      <c r="C475" s="10" t="s">
        <v>3674</v>
      </c>
      <c r="D475" s="14" t="s">
        <v>3675</v>
      </c>
      <c r="E475" s="10"/>
      <c r="F475" s="10" t="s">
        <v>282</v>
      </c>
      <c r="G475" s="111">
        <f>'Stavební rozpočet'!G2420</f>
      </c>
      <c r="H475" s="111">
        <f>'Stavební rozpočet'!H2420</f>
      </c>
      <c r="I475" s="111">
        <f>G475*H475</f>
      </c>
      <c r="J475" s="153" t="s">
        <v>134</v>
      </c>
      <c r="K475" s="146"/>
      <c r="Z475" s="111">
        <f>IF(AQ475="5",BJ475,0)</f>
      </c>
      <c r="AB475" s="111">
        <f>IF(AQ475="1",BH475,0)</f>
      </c>
      <c r="AC475" s="111">
        <f>IF(AQ475="1",BI475,0)</f>
      </c>
      <c r="AD475" s="111">
        <f>IF(AQ475="7",BH475,0)</f>
      </c>
      <c r="AE475" s="111">
        <f>IF(AQ475="7",BI475,0)</f>
      </c>
      <c r="AF475" s="111">
        <f>IF(AQ475="2",BH475,0)</f>
      </c>
      <c r="AG475" s="111">
        <f>IF(AQ475="2",BI475,0)</f>
      </c>
      <c r="AH475" s="111">
        <f>IF(AQ475="0",BJ475,0)</f>
      </c>
      <c r="AI475" s="132" t="s">
        <v>87</v>
      </c>
      <c r="AJ475" s="111">
        <f>IF(AN475=0,I475,0)</f>
      </c>
      <c r="AK475" s="111">
        <f>IF(AN475=12,I475,0)</f>
      </c>
      <c r="AL475" s="111">
        <f>IF(AN475=21,I475,0)</f>
      </c>
      <c r="AN475" s="111" t="n">
        <v>21</v>
      </c>
      <c r="AO475" s="111">
        <f>H475*0.054324324</f>
      </c>
      <c r="AP475" s="111">
        <f>H475*(1-0.054324324)</f>
      </c>
      <c r="AQ475" s="153" t="s">
        <v>173</v>
      </c>
      <c r="AV475" s="111">
        <f>AW475+AX475</f>
      </c>
      <c r="AW475" s="111">
        <f>G475*AO475</f>
      </c>
      <c r="AX475" s="111">
        <f>G475*AP475</f>
      </c>
      <c r="AY475" s="153" t="s">
        <v>1949</v>
      </c>
      <c r="AZ475" s="153" t="s">
        <v>3333</v>
      </c>
      <c r="BA475" s="132" t="s">
        <v>2990</v>
      </c>
      <c r="BC475" s="111">
        <f>AW475+AX475</f>
      </c>
      <c r="BD475" s="111">
        <f>H475/(100-BE475)*100</f>
      </c>
      <c r="BE475" s="111" t="n">
        <v>0</v>
      </c>
      <c r="BF475" s="111">
        <f>475</f>
      </c>
      <c r="BH475" s="111">
        <f>G475*AO475</f>
      </c>
      <c r="BI475" s="111">
        <f>G475*AP475</f>
      </c>
      <c r="BJ475" s="111">
        <f>G475*H475</f>
      </c>
      <c r="BK475" s="111"/>
      <c r="BL475" s="111" t="n">
        <v>722</v>
      </c>
      <c r="BW475" s="111" t="n">
        <v>21</v>
      </c>
      <c r="BX475" s="14" t="s">
        <v>3675</v>
      </c>
    </row>
    <row r="476">
      <c r="A476" s="154"/>
      <c r="B476" s="155"/>
      <c r="C476" s="155"/>
      <c r="D476" s="156" t="s">
        <v>3676</v>
      </c>
      <c r="E476" s="156" t="s">
        <v>4</v>
      </c>
      <c r="F476" s="155"/>
      <c r="G476" s="157" t="n">
        <v>397</v>
      </c>
      <c r="H476" s="155"/>
      <c r="I476" s="155"/>
      <c r="J476" s="155"/>
      <c r="K476" s="146"/>
    </row>
    <row r="477">
      <c r="A477" s="147" t="s">
        <v>4</v>
      </c>
      <c r="B477" s="148" t="s">
        <v>87</v>
      </c>
      <c r="C477" s="148" t="s">
        <v>3677</v>
      </c>
      <c r="D477" s="149" t="s">
        <v>3678</v>
      </c>
      <c r="E477" s="148"/>
      <c r="F477" s="150" t="s">
        <v>79</v>
      </c>
      <c r="G477" s="150" t="s">
        <v>79</v>
      </c>
      <c r="H477" s="150" t="s">
        <v>79</v>
      </c>
      <c r="I477" s="117">
        <f>SUM(I478:I478)</f>
      </c>
      <c r="J477" s="132" t="s">
        <v>4</v>
      </c>
      <c r="K477" s="146"/>
      <c r="AI477" s="132" t="s">
        <v>87</v>
      </c>
      <c r="AS477" s="117">
        <f>SUM(AJ478:AJ478)</f>
      </c>
      <c r="AT477" s="117">
        <f>SUM(AK478:AK478)</f>
      </c>
      <c r="AU477" s="117">
        <f>SUM(AL478:AL478)</f>
      </c>
    </row>
    <row r="478">
      <c r="A478" s="9" t="s">
        <v>1405</v>
      </c>
      <c r="B478" s="10" t="s">
        <v>87</v>
      </c>
      <c r="C478" s="10" t="s">
        <v>3680</v>
      </c>
      <c r="D478" s="14" t="s">
        <v>3681</v>
      </c>
      <c r="E478" s="10"/>
      <c r="F478" s="10" t="s">
        <v>1962</v>
      </c>
      <c r="G478" s="111">
        <f>'Stavební rozpočet'!G2423</f>
      </c>
      <c r="H478" s="111">
        <f>'Stavební rozpočet'!H2423</f>
      </c>
      <c r="I478" s="111">
        <f>G478*H478</f>
      </c>
      <c r="J478" s="153" t="s">
        <v>134</v>
      </c>
      <c r="K478" s="146"/>
      <c r="Z478" s="111">
        <f>IF(AQ478="5",BJ478,0)</f>
      </c>
      <c r="AB478" s="111">
        <f>IF(AQ478="1",BH478,0)</f>
      </c>
      <c r="AC478" s="111">
        <f>IF(AQ478="1",BI478,0)</f>
      </c>
      <c r="AD478" s="111">
        <f>IF(AQ478="7",BH478,0)</f>
      </c>
      <c r="AE478" s="111">
        <f>IF(AQ478="7",BI478,0)</f>
      </c>
      <c r="AF478" s="111">
        <f>IF(AQ478="2",BH478,0)</f>
      </c>
      <c r="AG478" s="111">
        <f>IF(AQ478="2",BI478,0)</f>
      </c>
      <c r="AH478" s="111">
        <f>IF(AQ478="0",BJ478,0)</f>
      </c>
      <c r="AI478" s="132" t="s">
        <v>87</v>
      </c>
      <c r="AJ478" s="111">
        <f>IF(AN478=0,I478,0)</f>
      </c>
      <c r="AK478" s="111">
        <f>IF(AN478=12,I478,0)</f>
      </c>
      <c r="AL478" s="111">
        <f>IF(AN478=21,I478,0)</f>
      </c>
      <c r="AN478" s="111" t="n">
        <v>21</v>
      </c>
      <c r="AO478" s="111">
        <f>H478*0.715081433</f>
      </c>
      <c r="AP478" s="111">
        <f>H478*(1-0.715081433)</f>
      </c>
      <c r="AQ478" s="153" t="s">
        <v>173</v>
      </c>
      <c r="AV478" s="111">
        <f>AW478+AX478</f>
      </c>
      <c r="AW478" s="111">
        <f>G478*AO478</f>
      </c>
      <c r="AX478" s="111">
        <f>G478*AP478</f>
      </c>
      <c r="AY478" s="153" t="s">
        <v>3682</v>
      </c>
      <c r="AZ478" s="153" t="s">
        <v>3333</v>
      </c>
      <c r="BA478" s="132" t="s">
        <v>2990</v>
      </c>
      <c r="BC478" s="111">
        <f>AW478+AX478</f>
      </c>
      <c r="BD478" s="111">
        <f>H478/(100-BE478)*100</f>
      </c>
      <c r="BE478" s="111" t="n">
        <v>0</v>
      </c>
      <c r="BF478" s="111">
        <f>478</f>
      </c>
      <c r="BH478" s="111">
        <f>G478*AO478</f>
      </c>
      <c r="BI478" s="111">
        <f>G478*AP478</f>
      </c>
      <c r="BJ478" s="111">
        <f>G478*H478</f>
      </c>
      <c r="BK478" s="111"/>
      <c r="BL478" s="111" t="n">
        <v>724</v>
      </c>
      <c r="BW478" s="111" t="n">
        <v>21</v>
      </c>
      <c r="BX478" s="14" t="s">
        <v>3681</v>
      </c>
    </row>
    <row r="479">
      <c r="A479" s="154"/>
      <c r="B479" s="155"/>
      <c r="C479" s="155"/>
      <c r="D479" s="156" t="s">
        <v>140</v>
      </c>
      <c r="E479" s="156" t="s">
        <v>4</v>
      </c>
      <c r="F479" s="155"/>
      <c r="G479" s="157" t="n">
        <v>2</v>
      </c>
      <c r="H479" s="155"/>
      <c r="I479" s="155"/>
      <c r="J479" s="155"/>
      <c r="K479" s="146"/>
    </row>
    <row r="480">
      <c r="A480" s="147" t="s">
        <v>4</v>
      </c>
      <c r="B480" s="148" t="s">
        <v>87</v>
      </c>
      <c r="C480" s="148" t="s">
        <v>1957</v>
      </c>
      <c r="D480" s="149" t="s">
        <v>1958</v>
      </c>
      <c r="E480" s="148"/>
      <c r="F480" s="150" t="s">
        <v>79</v>
      </c>
      <c r="G480" s="150" t="s">
        <v>79</v>
      </c>
      <c r="H480" s="150" t="s">
        <v>79</v>
      </c>
      <c r="I480" s="117">
        <f>SUM(I481:I506)</f>
      </c>
      <c r="J480" s="132" t="s">
        <v>4</v>
      </c>
      <c r="K480" s="146"/>
      <c r="AI480" s="132" t="s">
        <v>87</v>
      </c>
      <c r="AS480" s="117">
        <f>SUM(AJ481:AJ506)</f>
      </c>
      <c r="AT480" s="117">
        <f>SUM(AK481:AK506)</f>
      </c>
      <c r="AU480" s="117">
        <f>SUM(AL481:AL506)</f>
      </c>
    </row>
    <row r="481">
      <c r="A481" s="9" t="s">
        <v>1410</v>
      </c>
      <c r="B481" s="10" t="s">
        <v>87</v>
      </c>
      <c r="C481" s="10" t="s">
        <v>3684</v>
      </c>
      <c r="D481" s="14" t="s">
        <v>3685</v>
      </c>
      <c r="E481" s="10"/>
      <c r="F481" s="10" t="s">
        <v>1962</v>
      </c>
      <c r="G481" s="111">
        <f>'Stavební rozpočet'!G2426</f>
      </c>
      <c r="H481" s="111">
        <f>'Stavební rozpočet'!H2426</f>
      </c>
      <c r="I481" s="111">
        <f>G481*H481</f>
      </c>
      <c r="J481" s="153" t="s">
        <v>134</v>
      </c>
      <c r="K481" s="146"/>
      <c r="Z481" s="111">
        <f>IF(AQ481="5",BJ481,0)</f>
      </c>
      <c r="AB481" s="111">
        <f>IF(AQ481="1",BH481,0)</f>
      </c>
      <c r="AC481" s="111">
        <f>IF(AQ481="1",BI481,0)</f>
      </c>
      <c r="AD481" s="111">
        <f>IF(AQ481="7",BH481,0)</f>
      </c>
      <c r="AE481" s="111">
        <f>IF(AQ481="7",BI481,0)</f>
      </c>
      <c r="AF481" s="111">
        <f>IF(AQ481="2",BH481,0)</f>
      </c>
      <c r="AG481" s="111">
        <f>IF(AQ481="2",BI481,0)</f>
      </c>
      <c r="AH481" s="111">
        <f>IF(AQ481="0",BJ481,0)</f>
      </c>
      <c r="AI481" s="132" t="s">
        <v>87</v>
      </c>
      <c r="AJ481" s="111">
        <f>IF(AN481=0,I481,0)</f>
      </c>
      <c r="AK481" s="111">
        <f>IF(AN481=12,I481,0)</f>
      </c>
      <c r="AL481" s="111">
        <f>IF(AN481=21,I481,0)</f>
      </c>
      <c r="AN481" s="111" t="n">
        <v>21</v>
      </c>
      <c r="AO481" s="111">
        <f>H481*0.932211952</f>
      </c>
      <c r="AP481" s="111">
        <f>H481*(1-0.932211952)</f>
      </c>
      <c r="AQ481" s="153" t="s">
        <v>173</v>
      </c>
      <c r="AV481" s="111">
        <f>AW481+AX481</f>
      </c>
      <c r="AW481" s="111">
        <f>G481*AO481</f>
      </c>
      <c r="AX481" s="111">
        <f>G481*AP481</f>
      </c>
      <c r="AY481" s="153" t="s">
        <v>1963</v>
      </c>
      <c r="AZ481" s="153" t="s">
        <v>3333</v>
      </c>
      <c r="BA481" s="132" t="s">
        <v>2990</v>
      </c>
      <c r="BC481" s="111">
        <f>AW481+AX481</f>
      </c>
      <c r="BD481" s="111">
        <f>H481/(100-BE481)*100</f>
      </c>
      <c r="BE481" s="111" t="n">
        <v>0</v>
      </c>
      <c r="BF481" s="111">
        <f>481</f>
      </c>
      <c r="BH481" s="111">
        <f>G481*AO481</f>
      </c>
      <c r="BI481" s="111">
        <f>G481*AP481</f>
      </c>
      <c r="BJ481" s="111">
        <f>G481*H481</f>
      </c>
      <c r="BK481" s="111"/>
      <c r="BL481" s="111" t="n">
        <v>725</v>
      </c>
      <c r="BW481" s="111" t="n">
        <v>21</v>
      </c>
      <c r="BX481" s="14" t="s">
        <v>3685</v>
      </c>
    </row>
    <row r="482" customHeight="true" ht="13.5">
      <c r="A482" s="159"/>
      <c r="C482" s="160" t="s">
        <v>146</v>
      </c>
      <c r="D482" s="161" t="s">
        <v>3686</v>
      </c>
      <c r="E482" s="156"/>
      <c r="F482" s="156"/>
      <c r="G482" s="156"/>
      <c r="H482" s="156"/>
      <c r="I482" s="156"/>
      <c r="J482" s="156"/>
      <c r="K482" s="163"/>
    </row>
    <row r="483">
      <c r="A483" s="154"/>
      <c r="B483" s="155"/>
      <c r="C483" s="155"/>
      <c r="D483" s="156" t="s">
        <v>140</v>
      </c>
      <c r="E483" s="156" t="s">
        <v>4</v>
      </c>
      <c r="F483" s="155"/>
      <c r="G483" s="157" t="n">
        <v>2</v>
      </c>
      <c r="H483" s="155"/>
      <c r="I483" s="155"/>
      <c r="J483" s="155"/>
      <c r="K483" s="146"/>
    </row>
    <row r="484">
      <c r="A484" s="9" t="s">
        <v>1413</v>
      </c>
      <c r="B484" s="10" t="s">
        <v>87</v>
      </c>
      <c r="C484" s="10" t="s">
        <v>3688</v>
      </c>
      <c r="D484" s="14" t="s">
        <v>3689</v>
      </c>
      <c r="E484" s="10"/>
      <c r="F484" s="10" t="s">
        <v>1962</v>
      </c>
      <c r="G484" s="111">
        <f>'Stavební rozpočet'!G2429</f>
      </c>
      <c r="H484" s="111">
        <f>'Stavební rozpočet'!H2429</f>
      </c>
      <c r="I484" s="111">
        <f>G484*H484</f>
      </c>
      <c r="J484" s="153" t="s">
        <v>134</v>
      </c>
      <c r="K484" s="146"/>
      <c r="Z484" s="111">
        <f>IF(AQ484="5",BJ484,0)</f>
      </c>
      <c r="AB484" s="111">
        <f>IF(AQ484="1",BH484,0)</f>
      </c>
      <c r="AC484" s="111">
        <f>IF(AQ484="1",BI484,0)</f>
      </c>
      <c r="AD484" s="111">
        <f>IF(AQ484="7",BH484,0)</f>
      </c>
      <c r="AE484" s="111">
        <f>IF(AQ484="7",BI484,0)</f>
      </c>
      <c r="AF484" s="111">
        <f>IF(AQ484="2",BH484,0)</f>
      </c>
      <c r="AG484" s="111">
        <f>IF(AQ484="2",BI484,0)</f>
      </c>
      <c r="AH484" s="111">
        <f>IF(AQ484="0",BJ484,0)</f>
      </c>
      <c r="AI484" s="132" t="s">
        <v>87</v>
      </c>
      <c r="AJ484" s="111">
        <f>IF(AN484=0,I484,0)</f>
      </c>
      <c r="AK484" s="111">
        <f>IF(AN484=12,I484,0)</f>
      </c>
      <c r="AL484" s="111">
        <f>IF(AN484=21,I484,0)</f>
      </c>
      <c r="AN484" s="111" t="n">
        <v>21</v>
      </c>
      <c r="AO484" s="111">
        <f>H484*0.889170219</f>
      </c>
      <c r="AP484" s="111">
        <f>H484*(1-0.889170219)</f>
      </c>
      <c r="AQ484" s="153" t="s">
        <v>173</v>
      </c>
      <c r="AV484" s="111">
        <f>AW484+AX484</f>
      </c>
      <c r="AW484" s="111">
        <f>G484*AO484</f>
      </c>
      <c r="AX484" s="111">
        <f>G484*AP484</f>
      </c>
      <c r="AY484" s="153" t="s">
        <v>1963</v>
      </c>
      <c r="AZ484" s="153" t="s">
        <v>3333</v>
      </c>
      <c r="BA484" s="132" t="s">
        <v>2990</v>
      </c>
      <c r="BC484" s="111">
        <f>AW484+AX484</f>
      </c>
      <c r="BD484" s="111">
        <f>H484/(100-BE484)*100</f>
      </c>
      <c r="BE484" s="111" t="n">
        <v>0</v>
      </c>
      <c r="BF484" s="111">
        <f>484</f>
      </c>
      <c r="BH484" s="111">
        <f>G484*AO484</f>
      </c>
      <c r="BI484" s="111">
        <f>G484*AP484</f>
      </c>
      <c r="BJ484" s="111">
        <f>G484*H484</f>
      </c>
      <c r="BK484" s="111"/>
      <c r="BL484" s="111" t="n">
        <v>725</v>
      </c>
      <c r="BW484" s="111" t="n">
        <v>21</v>
      </c>
      <c r="BX484" s="14" t="s">
        <v>3689</v>
      </c>
    </row>
    <row r="485">
      <c r="A485" s="154"/>
      <c r="B485" s="155"/>
      <c r="C485" s="155"/>
      <c r="D485" s="156" t="s">
        <v>130</v>
      </c>
      <c r="E485" s="156" t="s">
        <v>4</v>
      </c>
      <c r="F485" s="155"/>
      <c r="G485" s="157" t="n">
        <v>1</v>
      </c>
      <c r="H485" s="155"/>
      <c r="I485" s="155"/>
      <c r="J485" s="155"/>
      <c r="K485" s="146"/>
    </row>
    <row r="486">
      <c r="A486" s="9" t="s">
        <v>1418</v>
      </c>
      <c r="B486" s="10" t="s">
        <v>87</v>
      </c>
      <c r="C486" s="10" t="s">
        <v>3691</v>
      </c>
      <c r="D486" s="14" t="s">
        <v>3692</v>
      </c>
      <c r="E486" s="10"/>
      <c r="F486" s="10" t="s">
        <v>133</v>
      </c>
      <c r="G486" s="111">
        <f>'Stavební rozpočet'!G2431</f>
      </c>
      <c r="H486" s="111">
        <f>'Stavební rozpočet'!H2431</f>
      </c>
      <c r="I486" s="111">
        <f>G486*H486</f>
      </c>
      <c r="J486" s="153" t="s">
        <v>134</v>
      </c>
      <c r="K486" s="146"/>
      <c r="Z486" s="111">
        <f>IF(AQ486="5",BJ486,0)</f>
      </c>
      <c r="AB486" s="111">
        <f>IF(AQ486="1",BH486,0)</f>
      </c>
      <c r="AC486" s="111">
        <f>IF(AQ486="1",BI486,0)</f>
      </c>
      <c r="AD486" s="111">
        <f>IF(AQ486="7",BH486,0)</f>
      </c>
      <c r="AE486" s="111">
        <f>IF(AQ486="7",BI486,0)</f>
      </c>
      <c r="AF486" s="111">
        <f>IF(AQ486="2",BH486,0)</f>
      </c>
      <c r="AG486" s="111">
        <f>IF(AQ486="2",BI486,0)</f>
      </c>
      <c r="AH486" s="111">
        <f>IF(AQ486="0",BJ486,0)</f>
      </c>
      <c r="AI486" s="132" t="s">
        <v>87</v>
      </c>
      <c r="AJ486" s="111">
        <f>IF(AN486=0,I486,0)</f>
      </c>
      <c r="AK486" s="111">
        <f>IF(AN486=12,I486,0)</f>
      </c>
      <c r="AL486" s="111">
        <f>IF(AN486=21,I486,0)</f>
      </c>
      <c r="AN486" s="111" t="n">
        <v>21</v>
      </c>
      <c r="AO486" s="111">
        <f>H486*0.740318368</f>
      </c>
      <c r="AP486" s="111">
        <f>H486*(1-0.740318368)</f>
      </c>
      <c r="AQ486" s="153" t="s">
        <v>173</v>
      </c>
      <c r="AV486" s="111">
        <f>AW486+AX486</f>
      </c>
      <c r="AW486" s="111">
        <f>G486*AO486</f>
      </c>
      <c r="AX486" s="111">
        <f>G486*AP486</f>
      </c>
      <c r="AY486" s="153" t="s">
        <v>1963</v>
      </c>
      <c r="AZ486" s="153" t="s">
        <v>3333</v>
      </c>
      <c r="BA486" s="132" t="s">
        <v>2990</v>
      </c>
      <c r="BC486" s="111">
        <f>AW486+AX486</f>
      </c>
      <c r="BD486" s="111">
        <f>H486/(100-BE486)*100</f>
      </c>
      <c r="BE486" s="111" t="n">
        <v>0</v>
      </c>
      <c r="BF486" s="111">
        <f>486</f>
      </c>
      <c r="BH486" s="111">
        <f>G486*AO486</f>
      </c>
      <c r="BI486" s="111">
        <f>G486*AP486</f>
      </c>
      <c r="BJ486" s="111">
        <f>G486*H486</f>
      </c>
      <c r="BK486" s="111"/>
      <c r="BL486" s="111" t="n">
        <v>725</v>
      </c>
      <c r="BW486" s="111" t="n">
        <v>21</v>
      </c>
      <c r="BX486" s="14" t="s">
        <v>3692</v>
      </c>
    </row>
    <row r="487" customHeight="true" ht="13.5">
      <c r="A487" s="159"/>
      <c r="C487" s="160" t="s">
        <v>146</v>
      </c>
      <c r="D487" s="161" t="s">
        <v>3693</v>
      </c>
      <c r="E487" s="156"/>
      <c r="F487" s="156"/>
      <c r="G487" s="156"/>
      <c r="H487" s="156"/>
      <c r="I487" s="156"/>
      <c r="J487" s="156"/>
      <c r="K487" s="163"/>
    </row>
    <row r="488">
      <c r="A488" s="154"/>
      <c r="B488" s="155"/>
      <c r="C488" s="155"/>
      <c r="D488" s="156" t="s">
        <v>183</v>
      </c>
      <c r="E488" s="156" t="s">
        <v>4</v>
      </c>
      <c r="F488" s="155"/>
      <c r="G488" s="157" t="n">
        <v>9</v>
      </c>
      <c r="H488" s="155"/>
      <c r="I488" s="155"/>
      <c r="J488" s="155"/>
      <c r="K488" s="146"/>
    </row>
    <row r="489">
      <c r="A489" s="9" t="s">
        <v>1423</v>
      </c>
      <c r="B489" s="10" t="s">
        <v>87</v>
      </c>
      <c r="C489" s="10" t="s">
        <v>3695</v>
      </c>
      <c r="D489" s="14" t="s">
        <v>3696</v>
      </c>
      <c r="E489" s="10"/>
      <c r="F489" s="10" t="s">
        <v>133</v>
      </c>
      <c r="G489" s="111">
        <f>'Stavební rozpočet'!G2434</f>
      </c>
      <c r="H489" s="111">
        <f>'Stavební rozpočet'!H2434</f>
      </c>
      <c r="I489" s="111">
        <f>G489*H489</f>
      </c>
      <c r="J489" s="153" t="s">
        <v>134</v>
      </c>
      <c r="K489" s="146"/>
      <c r="Z489" s="111">
        <f>IF(AQ489="5",BJ489,0)</f>
      </c>
      <c r="AB489" s="111">
        <f>IF(AQ489="1",BH489,0)</f>
      </c>
      <c r="AC489" s="111">
        <f>IF(AQ489="1",BI489,0)</f>
      </c>
      <c r="AD489" s="111">
        <f>IF(AQ489="7",BH489,0)</f>
      </c>
      <c r="AE489" s="111">
        <f>IF(AQ489="7",BI489,0)</f>
      </c>
      <c r="AF489" s="111">
        <f>IF(AQ489="2",BH489,0)</f>
      </c>
      <c r="AG489" s="111">
        <f>IF(AQ489="2",BI489,0)</f>
      </c>
      <c r="AH489" s="111">
        <f>IF(AQ489="0",BJ489,0)</f>
      </c>
      <c r="AI489" s="132" t="s">
        <v>87</v>
      </c>
      <c r="AJ489" s="111">
        <f>IF(AN489=0,I489,0)</f>
      </c>
      <c r="AK489" s="111">
        <f>IF(AN489=12,I489,0)</f>
      </c>
      <c r="AL489" s="111">
        <f>IF(AN489=21,I489,0)</f>
      </c>
      <c r="AN489" s="111" t="n">
        <v>21</v>
      </c>
      <c r="AO489" s="111">
        <f>H489*0.899833785</f>
      </c>
      <c r="AP489" s="111">
        <f>H489*(1-0.899833785)</f>
      </c>
      <c r="AQ489" s="153" t="s">
        <v>173</v>
      </c>
      <c r="AV489" s="111">
        <f>AW489+AX489</f>
      </c>
      <c r="AW489" s="111">
        <f>G489*AO489</f>
      </c>
      <c r="AX489" s="111">
        <f>G489*AP489</f>
      </c>
      <c r="AY489" s="153" t="s">
        <v>1963</v>
      </c>
      <c r="AZ489" s="153" t="s">
        <v>3333</v>
      </c>
      <c r="BA489" s="132" t="s">
        <v>2990</v>
      </c>
      <c r="BC489" s="111">
        <f>AW489+AX489</f>
      </c>
      <c r="BD489" s="111">
        <f>H489/(100-BE489)*100</f>
      </c>
      <c r="BE489" s="111" t="n">
        <v>0</v>
      </c>
      <c r="BF489" s="111">
        <f>489</f>
      </c>
      <c r="BH489" s="111">
        <f>G489*AO489</f>
      </c>
      <c r="BI489" s="111">
        <f>G489*AP489</f>
      </c>
      <c r="BJ489" s="111">
        <f>G489*H489</f>
      </c>
      <c r="BK489" s="111"/>
      <c r="BL489" s="111" t="n">
        <v>725</v>
      </c>
      <c r="BW489" s="111" t="n">
        <v>21</v>
      </c>
      <c r="BX489" s="14" t="s">
        <v>3696</v>
      </c>
    </row>
    <row r="490" customHeight="true" ht="13.5">
      <c r="A490" s="159"/>
      <c r="C490" s="160" t="s">
        <v>146</v>
      </c>
      <c r="D490" s="161" t="s">
        <v>3693</v>
      </c>
      <c r="E490" s="156"/>
      <c r="F490" s="156"/>
      <c r="G490" s="156"/>
      <c r="H490" s="156"/>
      <c r="I490" s="156"/>
      <c r="J490" s="156"/>
      <c r="K490" s="163"/>
    </row>
    <row r="491">
      <c r="A491" s="154"/>
      <c r="B491" s="155"/>
      <c r="C491" s="155"/>
      <c r="D491" s="156" t="s">
        <v>130</v>
      </c>
      <c r="E491" s="156" t="s">
        <v>4</v>
      </c>
      <c r="F491" s="155"/>
      <c r="G491" s="157" t="n">
        <v>1</v>
      </c>
      <c r="H491" s="155"/>
      <c r="I491" s="155"/>
      <c r="J491" s="155"/>
      <c r="K491" s="146"/>
    </row>
    <row r="492">
      <c r="A492" s="9" t="s">
        <v>1427</v>
      </c>
      <c r="B492" s="10" t="s">
        <v>87</v>
      </c>
      <c r="C492" s="10" t="s">
        <v>3698</v>
      </c>
      <c r="D492" s="14" t="s">
        <v>3699</v>
      </c>
      <c r="E492" s="10"/>
      <c r="F492" s="10" t="s">
        <v>133</v>
      </c>
      <c r="G492" s="111">
        <f>'Stavební rozpočet'!G2437</f>
      </c>
      <c r="H492" s="111">
        <f>'Stavební rozpočet'!H2437</f>
      </c>
      <c r="I492" s="111">
        <f>G492*H492</f>
      </c>
      <c r="J492" s="153" t="s">
        <v>134</v>
      </c>
      <c r="K492" s="146"/>
      <c r="Z492" s="111">
        <f>IF(AQ492="5",BJ492,0)</f>
      </c>
      <c r="AB492" s="111">
        <f>IF(AQ492="1",BH492,0)</f>
      </c>
      <c r="AC492" s="111">
        <f>IF(AQ492="1",BI492,0)</f>
      </c>
      <c r="AD492" s="111">
        <f>IF(AQ492="7",BH492,0)</f>
      </c>
      <c r="AE492" s="111">
        <f>IF(AQ492="7",BI492,0)</f>
      </c>
      <c r="AF492" s="111">
        <f>IF(AQ492="2",BH492,0)</f>
      </c>
      <c r="AG492" s="111">
        <f>IF(AQ492="2",BI492,0)</f>
      </c>
      <c r="AH492" s="111">
        <f>IF(AQ492="0",BJ492,0)</f>
      </c>
      <c r="AI492" s="132" t="s">
        <v>87</v>
      </c>
      <c r="AJ492" s="111">
        <f>IF(AN492=0,I492,0)</f>
      </c>
      <c r="AK492" s="111">
        <f>IF(AN492=12,I492,0)</f>
      </c>
      <c r="AL492" s="111">
        <f>IF(AN492=21,I492,0)</f>
      </c>
      <c r="AN492" s="111" t="n">
        <v>21</v>
      </c>
      <c r="AO492" s="111">
        <f>H492*0.938623341</f>
      </c>
      <c r="AP492" s="111">
        <f>H492*(1-0.938623341)</f>
      </c>
      <c r="AQ492" s="153" t="s">
        <v>173</v>
      </c>
      <c r="AV492" s="111">
        <f>AW492+AX492</f>
      </c>
      <c r="AW492" s="111">
        <f>G492*AO492</f>
      </c>
      <c r="AX492" s="111">
        <f>G492*AP492</f>
      </c>
      <c r="AY492" s="153" t="s">
        <v>1963</v>
      </c>
      <c r="AZ492" s="153" t="s">
        <v>3333</v>
      </c>
      <c r="BA492" s="132" t="s">
        <v>2990</v>
      </c>
      <c r="BC492" s="111">
        <f>AW492+AX492</f>
      </c>
      <c r="BD492" s="111">
        <f>H492/(100-BE492)*100</f>
      </c>
      <c r="BE492" s="111" t="n">
        <v>0</v>
      </c>
      <c r="BF492" s="111">
        <f>492</f>
      </c>
      <c r="BH492" s="111">
        <f>G492*AO492</f>
      </c>
      <c r="BI492" s="111">
        <f>G492*AP492</f>
      </c>
      <c r="BJ492" s="111">
        <f>G492*H492</f>
      </c>
      <c r="BK492" s="111"/>
      <c r="BL492" s="111" t="n">
        <v>725</v>
      </c>
      <c r="BW492" s="111" t="n">
        <v>21</v>
      </c>
      <c r="BX492" s="14" t="s">
        <v>3699</v>
      </c>
    </row>
    <row r="493" customHeight="true" ht="13.5">
      <c r="A493" s="159"/>
      <c r="C493" s="160" t="s">
        <v>146</v>
      </c>
      <c r="D493" s="161" t="s">
        <v>3700</v>
      </c>
      <c r="E493" s="156"/>
      <c r="F493" s="156"/>
      <c r="G493" s="156"/>
      <c r="H493" s="156"/>
      <c r="I493" s="156"/>
      <c r="J493" s="156"/>
      <c r="K493" s="163"/>
    </row>
    <row r="494">
      <c r="A494" s="154"/>
      <c r="B494" s="155"/>
      <c r="C494" s="155"/>
      <c r="D494" s="156" t="s">
        <v>149</v>
      </c>
      <c r="E494" s="156" t="s">
        <v>4</v>
      </c>
      <c r="F494" s="155"/>
      <c r="G494" s="157" t="n">
        <v>4</v>
      </c>
      <c r="H494" s="155"/>
      <c r="I494" s="155"/>
      <c r="J494" s="155"/>
      <c r="K494" s="146"/>
    </row>
    <row r="495">
      <c r="A495" s="9" t="s">
        <v>1433</v>
      </c>
      <c r="B495" s="10" t="s">
        <v>87</v>
      </c>
      <c r="C495" s="10" t="s">
        <v>3702</v>
      </c>
      <c r="D495" s="14" t="s">
        <v>3703</v>
      </c>
      <c r="E495" s="10"/>
      <c r="F495" s="10" t="s">
        <v>133</v>
      </c>
      <c r="G495" s="111">
        <f>'Stavební rozpočet'!G2440</f>
      </c>
      <c r="H495" s="111">
        <f>'Stavební rozpočet'!H2440</f>
      </c>
      <c r="I495" s="111">
        <f>G495*H495</f>
      </c>
      <c r="J495" s="153" t="s">
        <v>134</v>
      </c>
      <c r="K495" s="146"/>
      <c r="Z495" s="111">
        <f>IF(AQ495="5",BJ495,0)</f>
      </c>
      <c r="AB495" s="111">
        <f>IF(AQ495="1",BH495,0)</f>
      </c>
      <c r="AC495" s="111">
        <f>IF(AQ495="1",BI495,0)</f>
      </c>
      <c r="AD495" s="111">
        <f>IF(AQ495="7",BH495,0)</f>
      </c>
      <c r="AE495" s="111">
        <f>IF(AQ495="7",BI495,0)</f>
      </c>
      <c r="AF495" s="111">
        <f>IF(AQ495="2",BH495,0)</f>
      </c>
      <c r="AG495" s="111">
        <f>IF(AQ495="2",BI495,0)</f>
      </c>
      <c r="AH495" s="111">
        <f>IF(AQ495="0",BJ495,0)</f>
      </c>
      <c r="AI495" s="132" t="s">
        <v>87</v>
      </c>
      <c r="AJ495" s="111">
        <f>IF(AN495=0,I495,0)</f>
      </c>
      <c r="AK495" s="111">
        <f>IF(AN495=12,I495,0)</f>
      </c>
      <c r="AL495" s="111">
        <f>IF(AN495=21,I495,0)</f>
      </c>
      <c r="AN495" s="111" t="n">
        <v>21</v>
      </c>
      <c r="AO495" s="111">
        <f>H495*0.896312826</f>
      </c>
      <c r="AP495" s="111">
        <f>H495*(1-0.896312826)</f>
      </c>
      <c r="AQ495" s="153" t="s">
        <v>173</v>
      </c>
      <c r="AV495" s="111">
        <f>AW495+AX495</f>
      </c>
      <c r="AW495" s="111">
        <f>G495*AO495</f>
      </c>
      <c r="AX495" s="111">
        <f>G495*AP495</f>
      </c>
      <c r="AY495" s="153" t="s">
        <v>1963</v>
      </c>
      <c r="AZ495" s="153" t="s">
        <v>3333</v>
      </c>
      <c r="BA495" s="132" t="s">
        <v>2990</v>
      </c>
      <c r="BC495" s="111">
        <f>AW495+AX495</f>
      </c>
      <c r="BD495" s="111">
        <f>H495/(100-BE495)*100</f>
      </c>
      <c r="BE495" s="111" t="n">
        <v>0</v>
      </c>
      <c r="BF495" s="111">
        <f>495</f>
      </c>
      <c r="BH495" s="111">
        <f>G495*AO495</f>
      </c>
      <c r="BI495" s="111">
        <f>G495*AP495</f>
      </c>
      <c r="BJ495" s="111">
        <f>G495*H495</f>
      </c>
      <c r="BK495" s="111"/>
      <c r="BL495" s="111" t="n">
        <v>725</v>
      </c>
      <c r="BW495" s="111" t="n">
        <v>21</v>
      </c>
      <c r="BX495" s="14" t="s">
        <v>3703</v>
      </c>
    </row>
    <row r="496">
      <c r="A496" s="154"/>
      <c r="B496" s="155"/>
      <c r="C496" s="155"/>
      <c r="D496" s="156" t="s">
        <v>149</v>
      </c>
      <c r="E496" s="156" t="s">
        <v>4</v>
      </c>
      <c r="F496" s="155"/>
      <c r="G496" s="157" t="n">
        <v>4</v>
      </c>
      <c r="H496" s="155"/>
      <c r="I496" s="155"/>
      <c r="J496" s="155"/>
      <c r="K496" s="146"/>
    </row>
    <row r="497">
      <c r="A497" s="9" t="s">
        <v>1439</v>
      </c>
      <c r="B497" s="10" t="s">
        <v>87</v>
      </c>
      <c r="C497" s="10" t="s">
        <v>3705</v>
      </c>
      <c r="D497" s="14" t="s">
        <v>3706</v>
      </c>
      <c r="E497" s="10"/>
      <c r="F497" s="10" t="s">
        <v>133</v>
      </c>
      <c r="G497" s="111">
        <f>'Stavební rozpočet'!G2442</f>
      </c>
      <c r="H497" s="111">
        <f>'Stavební rozpočet'!H2442</f>
      </c>
      <c r="I497" s="111">
        <f>G497*H497</f>
      </c>
      <c r="J497" s="153" t="s">
        <v>134</v>
      </c>
      <c r="K497" s="146"/>
      <c r="Z497" s="111">
        <f>IF(AQ497="5",BJ497,0)</f>
      </c>
      <c r="AB497" s="111">
        <f>IF(AQ497="1",BH497,0)</f>
      </c>
      <c r="AC497" s="111">
        <f>IF(AQ497="1",BI497,0)</f>
      </c>
      <c r="AD497" s="111">
        <f>IF(AQ497="7",BH497,0)</f>
      </c>
      <c r="AE497" s="111">
        <f>IF(AQ497="7",BI497,0)</f>
      </c>
      <c r="AF497" s="111">
        <f>IF(AQ497="2",BH497,0)</f>
      </c>
      <c r="AG497" s="111">
        <f>IF(AQ497="2",BI497,0)</f>
      </c>
      <c r="AH497" s="111">
        <f>IF(AQ497="0",BJ497,0)</f>
      </c>
      <c r="AI497" s="132" t="s">
        <v>87</v>
      </c>
      <c r="AJ497" s="111">
        <f>IF(AN497=0,I497,0)</f>
      </c>
      <c r="AK497" s="111">
        <f>IF(AN497=12,I497,0)</f>
      </c>
      <c r="AL497" s="111">
        <f>IF(AN497=21,I497,0)</f>
      </c>
      <c r="AN497" s="111" t="n">
        <v>21</v>
      </c>
      <c r="AO497" s="111">
        <f>H497*0.89527893</f>
      </c>
      <c r="AP497" s="111">
        <f>H497*(1-0.89527893)</f>
      </c>
      <c r="AQ497" s="153" t="s">
        <v>173</v>
      </c>
      <c r="AV497" s="111">
        <f>AW497+AX497</f>
      </c>
      <c r="AW497" s="111">
        <f>G497*AO497</f>
      </c>
      <c r="AX497" s="111">
        <f>G497*AP497</f>
      </c>
      <c r="AY497" s="153" t="s">
        <v>1963</v>
      </c>
      <c r="AZ497" s="153" t="s">
        <v>3333</v>
      </c>
      <c r="BA497" s="132" t="s">
        <v>2990</v>
      </c>
      <c r="BC497" s="111">
        <f>AW497+AX497</f>
      </c>
      <c r="BD497" s="111">
        <f>H497/(100-BE497)*100</f>
      </c>
      <c r="BE497" s="111" t="n">
        <v>0</v>
      </c>
      <c r="BF497" s="111">
        <f>497</f>
      </c>
      <c r="BH497" s="111">
        <f>G497*AO497</f>
      </c>
      <c r="BI497" s="111">
        <f>G497*AP497</f>
      </c>
      <c r="BJ497" s="111">
        <f>G497*H497</f>
      </c>
      <c r="BK497" s="111"/>
      <c r="BL497" s="111" t="n">
        <v>725</v>
      </c>
      <c r="BW497" s="111" t="n">
        <v>21</v>
      </c>
      <c r="BX497" s="14" t="s">
        <v>3706</v>
      </c>
    </row>
    <row r="498">
      <c r="A498" s="154"/>
      <c r="B498" s="155"/>
      <c r="C498" s="155"/>
      <c r="D498" s="156" t="s">
        <v>130</v>
      </c>
      <c r="E498" s="156" t="s">
        <v>4</v>
      </c>
      <c r="F498" s="155"/>
      <c r="G498" s="157" t="n">
        <v>1</v>
      </c>
      <c r="H498" s="155"/>
      <c r="I498" s="155"/>
      <c r="J498" s="155"/>
      <c r="K498" s="146"/>
    </row>
    <row r="499">
      <c r="A499" s="9" t="s">
        <v>1442</v>
      </c>
      <c r="B499" s="10" t="s">
        <v>87</v>
      </c>
      <c r="C499" s="10" t="s">
        <v>3708</v>
      </c>
      <c r="D499" s="14" t="s">
        <v>3709</v>
      </c>
      <c r="E499" s="10"/>
      <c r="F499" s="10" t="s">
        <v>1962</v>
      </c>
      <c r="G499" s="111">
        <f>'Stavební rozpočet'!G2444</f>
      </c>
      <c r="H499" s="111">
        <f>'Stavební rozpočet'!H2444</f>
      </c>
      <c r="I499" s="111">
        <f>G499*H499</f>
      </c>
      <c r="J499" s="153" t="s">
        <v>134</v>
      </c>
      <c r="K499" s="146"/>
      <c r="Z499" s="111">
        <f>IF(AQ499="5",BJ499,0)</f>
      </c>
      <c r="AB499" s="111">
        <f>IF(AQ499="1",BH499,0)</f>
      </c>
      <c r="AC499" s="111">
        <f>IF(AQ499="1",BI499,0)</f>
      </c>
      <c r="AD499" s="111">
        <f>IF(AQ499="7",BH499,0)</f>
      </c>
      <c r="AE499" s="111">
        <f>IF(AQ499="7",BI499,0)</f>
      </c>
      <c r="AF499" s="111">
        <f>IF(AQ499="2",BH499,0)</f>
      </c>
      <c r="AG499" s="111">
        <f>IF(AQ499="2",BI499,0)</f>
      </c>
      <c r="AH499" s="111">
        <f>IF(AQ499="0",BJ499,0)</f>
      </c>
      <c r="AI499" s="132" t="s">
        <v>87</v>
      </c>
      <c r="AJ499" s="111">
        <f>IF(AN499=0,I499,0)</f>
      </c>
      <c r="AK499" s="111">
        <f>IF(AN499=12,I499,0)</f>
      </c>
      <c r="AL499" s="111">
        <f>IF(AN499=21,I499,0)</f>
      </c>
      <c r="AN499" s="111" t="n">
        <v>21</v>
      </c>
      <c r="AO499" s="111">
        <f>H499*0.900545455</f>
      </c>
      <c r="AP499" s="111">
        <f>H499*(1-0.900545455)</f>
      </c>
      <c r="AQ499" s="153" t="s">
        <v>173</v>
      </c>
      <c r="AV499" s="111">
        <f>AW499+AX499</f>
      </c>
      <c r="AW499" s="111">
        <f>G499*AO499</f>
      </c>
      <c r="AX499" s="111">
        <f>G499*AP499</f>
      </c>
      <c r="AY499" s="153" t="s">
        <v>1963</v>
      </c>
      <c r="AZ499" s="153" t="s">
        <v>3333</v>
      </c>
      <c r="BA499" s="132" t="s">
        <v>2990</v>
      </c>
      <c r="BC499" s="111">
        <f>AW499+AX499</f>
      </c>
      <c r="BD499" s="111">
        <f>H499/(100-BE499)*100</f>
      </c>
      <c r="BE499" s="111" t="n">
        <v>0</v>
      </c>
      <c r="BF499" s="111">
        <f>499</f>
      </c>
      <c r="BH499" s="111">
        <f>G499*AO499</f>
      </c>
      <c r="BI499" s="111">
        <f>G499*AP499</f>
      </c>
      <c r="BJ499" s="111">
        <f>G499*H499</f>
      </c>
      <c r="BK499" s="111"/>
      <c r="BL499" s="111" t="n">
        <v>725</v>
      </c>
      <c r="BW499" s="111" t="n">
        <v>21</v>
      </c>
      <c r="BX499" s="14" t="s">
        <v>3709</v>
      </c>
    </row>
    <row r="500" customHeight="true" ht="13.5">
      <c r="A500" s="159"/>
      <c r="C500" s="160" t="s">
        <v>146</v>
      </c>
      <c r="D500" s="161" t="s">
        <v>3710</v>
      </c>
      <c r="E500" s="156"/>
      <c r="F500" s="156"/>
      <c r="G500" s="156"/>
      <c r="H500" s="156"/>
      <c r="I500" s="156"/>
      <c r="J500" s="156"/>
      <c r="K500" s="163"/>
    </row>
    <row r="501">
      <c r="A501" s="154"/>
      <c r="B501" s="155"/>
      <c r="C501" s="155"/>
      <c r="D501" s="156" t="s">
        <v>140</v>
      </c>
      <c r="E501" s="156" t="s">
        <v>4</v>
      </c>
      <c r="F501" s="155"/>
      <c r="G501" s="157" t="n">
        <v>2</v>
      </c>
      <c r="H501" s="155"/>
      <c r="I501" s="155"/>
      <c r="J501" s="155"/>
      <c r="K501" s="146"/>
    </row>
    <row r="502">
      <c r="A502" s="9" t="s">
        <v>1446</v>
      </c>
      <c r="B502" s="10" t="s">
        <v>87</v>
      </c>
      <c r="C502" s="10" t="s">
        <v>3712</v>
      </c>
      <c r="D502" s="14" t="s">
        <v>3713</v>
      </c>
      <c r="E502" s="10"/>
      <c r="F502" s="10" t="s">
        <v>1962</v>
      </c>
      <c r="G502" s="111">
        <f>'Stavební rozpočet'!G2447</f>
      </c>
      <c r="H502" s="111">
        <f>'Stavební rozpočet'!H2447</f>
      </c>
      <c r="I502" s="111">
        <f>G502*H502</f>
      </c>
      <c r="J502" s="153" t="s">
        <v>134</v>
      </c>
      <c r="K502" s="146"/>
      <c r="Z502" s="111">
        <f>IF(AQ502="5",BJ502,0)</f>
      </c>
      <c r="AB502" s="111">
        <f>IF(AQ502="1",BH502,0)</f>
      </c>
      <c r="AC502" s="111">
        <f>IF(AQ502="1",BI502,0)</f>
      </c>
      <c r="AD502" s="111">
        <f>IF(AQ502="7",BH502,0)</f>
      </c>
      <c r="AE502" s="111">
        <f>IF(AQ502="7",BI502,0)</f>
      </c>
      <c r="AF502" s="111">
        <f>IF(AQ502="2",BH502,0)</f>
      </c>
      <c r="AG502" s="111">
        <f>IF(AQ502="2",BI502,0)</f>
      </c>
      <c r="AH502" s="111">
        <f>IF(AQ502="0",BJ502,0)</f>
      </c>
      <c r="AI502" s="132" t="s">
        <v>87</v>
      </c>
      <c r="AJ502" s="111">
        <f>IF(AN502=0,I502,0)</f>
      </c>
      <c r="AK502" s="111">
        <f>IF(AN502=12,I502,0)</f>
      </c>
      <c r="AL502" s="111">
        <f>IF(AN502=21,I502,0)</f>
      </c>
      <c r="AN502" s="111" t="n">
        <v>21</v>
      </c>
      <c r="AO502" s="111">
        <f>H502*0.821334493</f>
      </c>
      <c r="AP502" s="111">
        <f>H502*(1-0.821334493)</f>
      </c>
      <c r="AQ502" s="153" t="s">
        <v>173</v>
      </c>
      <c r="AV502" s="111">
        <f>AW502+AX502</f>
      </c>
      <c r="AW502" s="111">
        <f>G502*AO502</f>
      </c>
      <c r="AX502" s="111">
        <f>G502*AP502</f>
      </c>
      <c r="AY502" s="153" t="s">
        <v>1963</v>
      </c>
      <c r="AZ502" s="153" t="s">
        <v>3333</v>
      </c>
      <c r="BA502" s="132" t="s">
        <v>2990</v>
      </c>
      <c r="BC502" s="111">
        <f>AW502+AX502</f>
      </c>
      <c r="BD502" s="111">
        <f>H502/(100-BE502)*100</f>
      </c>
      <c r="BE502" s="111" t="n">
        <v>0</v>
      </c>
      <c r="BF502" s="111">
        <f>502</f>
      </c>
      <c r="BH502" s="111">
        <f>G502*AO502</f>
      </c>
      <c r="BI502" s="111">
        <f>G502*AP502</f>
      </c>
      <c r="BJ502" s="111">
        <f>G502*H502</f>
      </c>
      <c r="BK502" s="111"/>
      <c r="BL502" s="111" t="n">
        <v>725</v>
      </c>
      <c r="BW502" s="111" t="n">
        <v>21</v>
      </c>
      <c r="BX502" s="14" t="s">
        <v>3713</v>
      </c>
    </row>
    <row r="503">
      <c r="A503" s="154"/>
      <c r="B503" s="155"/>
      <c r="C503" s="155"/>
      <c r="D503" s="156" t="s">
        <v>3714</v>
      </c>
      <c r="E503" s="156" t="s">
        <v>4</v>
      </c>
      <c r="F503" s="155"/>
      <c r="G503" s="157" t="n">
        <v>25</v>
      </c>
      <c r="H503" s="155"/>
      <c r="I503" s="155"/>
      <c r="J503" s="155"/>
      <c r="K503" s="146"/>
    </row>
    <row r="504">
      <c r="A504" s="9" t="s">
        <v>1450</v>
      </c>
      <c r="B504" s="10" t="s">
        <v>87</v>
      </c>
      <c r="C504" s="10" t="s">
        <v>3716</v>
      </c>
      <c r="D504" s="14" t="s">
        <v>3717</v>
      </c>
      <c r="E504" s="10"/>
      <c r="F504" s="10" t="s">
        <v>133</v>
      </c>
      <c r="G504" s="111">
        <f>'Stavební rozpočet'!G2449</f>
      </c>
      <c r="H504" s="111">
        <f>'Stavební rozpočet'!H2449</f>
      </c>
      <c r="I504" s="111">
        <f>G504*H504</f>
      </c>
      <c r="J504" s="153" t="s">
        <v>134</v>
      </c>
      <c r="K504" s="146"/>
      <c r="Z504" s="111">
        <f>IF(AQ504="5",BJ504,0)</f>
      </c>
      <c r="AB504" s="111">
        <f>IF(AQ504="1",BH504,0)</f>
      </c>
      <c r="AC504" s="111">
        <f>IF(AQ504="1",BI504,0)</f>
      </c>
      <c r="AD504" s="111">
        <f>IF(AQ504="7",BH504,0)</f>
      </c>
      <c r="AE504" s="111">
        <f>IF(AQ504="7",BI504,0)</f>
      </c>
      <c r="AF504" s="111">
        <f>IF(AQ504="2",BH504,0)</f>
      </c>
      <c r="AG504" s="111">
        <f>IF(AQ504="2",BI504,0)</f>
      </c>
      <c r="AH504" s="111">
        <f>IF(AQ504="0",BJ504,0)</f>
      </c>
      <c r="AI504" s="132" t="s">
        <v>87</v>
      </c>
      <c r="AJ504" s="111">
        <f>IF(AN504=0,I504,0)</f>
      </c>
      <c r="AK504" s="111">
        <f>IF(AN504=12,I504,0)</f>
      </c>
      <c r="AL504" s="111">
        <f>IF(AN504=21,I504,0)</f>
      </c>
      <c r="AN504" s="111" t="n">
        <v>21</v>
      </c>
      <c r="AO504" s="111">
        <f>H504*0.780890523</f>
      </c>
      <c r="AP504" s="111">
        <f>H504*(1-0.780890523)</f>
      </c>
      <c r="AQ504" s="153" t="s">
        <v>173</v>
      </c>
      <c r="AV504" s="111">
        <f>AW504+AX504</f>
      </c>
      <c r="AW504" s="111">
        <f>G504*AO504</f>
      </c>
      <c r="AX504" s="111">
        <f>G504*AP504</f>
      </c>
      <c r="AY504" s="153" t="s">
        <v>1963</v>
      </c>
      <c r="AZ504" s="153" t="s">
        <v>3333</v>
      </c>
      <c r="BA504" s="132" t="s">
        <v>2990</v>
      </c>
      <c r="BC504" s="111">
        <f>AW504+AX504</f>
      </c>
      <c r="BD504" s="111">
        <f>H504/(100-BE504)*100</f>
      </c>
      <c r="BE504" s="111" t="n">
        <v>0</v>
      </c>
      <c r="BF504" s="111">
        <f>504</f>
      </c>
      <c r="BH504" s="111">
        <f>G504*AO504</f>
      </c>
      <c r="BI504" s="111">
        <f>G504*AP504</f>
      </c>
      <c r="BJ504" s="111">
        <f>G504*H504</f>
      </c>
      <c r="BK504" s="111"/>
      <c r="BL504" s="111" t="n">
        <v>725</v>
      </c>
      <c r="BW504" s="111" t="n">
        <v>21</v>
      </c>
      <c r="BX504" s="14" t="s">
        <v>3717</v>
      </c>
    </row>
    <row r="505">
      <c r="A505" s="154"/>
      <c r="B505" s="155"/>
      <c r="C505" s="155"/>
      <c r="D505" s="156" t="s">
        <v>130</v>
      </c>
      <c r="E505" s="156" t="s">
        <v>3718</v>
      </c>
      <c r="F505" s="155"/>
      <c r="G505" s="157" t="n">
        <v>1</v>
      </c>
      <c r="H505" s="155"/>
      <c r="I505" s="155"/>
      <c r="J505" s="155"/>
      <c r="K505" s="146"/>
    </row>
    <row r="506">
      <c r="A506" s="9" t="s">
        <v>1455</v>
      </c>
      <c r="B506" s="10" t="s">
        <v>87</v>
      </c>
      <c r="C506" s="10" t="s">
        <v>3720</v>
      </c>
      <c r="D506" s="14" t="s">
        <v>3721</v>
      </c>
      <c r="E506" s="10"/>
      <c r="F506" s="10" t="s">
        <v>133</v>
      </c>
      <c r="G506" s="111">
        <f>'Stavební rozpočet'!G2451</f>
      </c>
      <c r="H506" s="111">
        <f>'Stavební rozpočet'!H2451</f>
      </c>
      <c r="I506" s="111">
        <f>G506*H506</f>
      </c>
      <c r="J506" s="153" t="s">
        <v>134</v>
      </c>
      <c r="K506" s="146"/>
      <c r="Z506" s="111">
        <f>IF(AQ506="5",BJ506,0)</f>
      </c>
      <c r="AB506" s="111">
        <f>IF(AQ506="1",BH506,0)</f>
      </c>
      <c r="AC506" s="111">
        <f>IF(AQ506="1",BI506,0)</f>
      </c>
      <c r="AD506" s="111">
        <f>IF(AQ506="7",BH506,0)</f>
      </c>
      <c r="AE506" s="111">
        <f>IF(AQ506="7",BI506,0)</f>
      </c>
      <c r="AF506" s="111">
        <f>IF(AQ506="2",BH506,0)</f>
      </c>
      <c r="AG506" s="111">
        <f>IF(AQ506="2",BI506,0)</f>
      </c>
      <c r="AH506" s="111">
        <f>IF(AQ506="0",BJ506,0)</f>
      </c>
      <c r="AI506" s="132" t="s">
        <v>87</v>
      </c>
      <c r="AJ506" s="111">
        <f>IF(AN506=0,I506,0)</f>
      </c>
      <c r="AK506" s="111">
        <f>IF(AN506=12,I506,0)</f>
      </c>
      <c r="AL506" s="111">
        <f>IF(AN506=21,I506,0)</f>
      </c>
      <c r="AN506" s="111" t="n">
        <v>21</v>
      </c>
      <c r="AO506" s="111">
        <f>H506*0.867358852</f>
      </c>
      <c r="AP506" s="111">
        <f>H506*(1-0.867358852)</f>
      </c>
      <c r="AQ506" s="153" t="s">
        <v>173</v>
      </c>
      <c r="AV506" s="111">
        <f>AW506+AX506</f>
      </c>
      <c r="AW506" s="111">
        <f>G506*AO506</f>
      </c>
      <c r="AX506" s="111">
        <f>G506*AP506</f>
      </c>
      <c r="AY506" s="153" t="s">
        <v>1963</v>
      </c>
      <c r="AZ506" s="153" t="s">
        <v>3333</v>
      </c>
      <c r="BA506" s="132" t="s">
        <v>2990</v>
      </c>
      <c r="BC506" s="111">
        <f>AW506+AX506</f>
      </c>
      <c r="BD506" s="111">
        <f>H506/(100-BE506)*100</f>
      </c>
      <c r="BE506" s="111" t="n">
        <v>0</v>
      </c>
      <c r="BF506" s="111">
        <f>506</f>
      </c>
      <c r="BH506" s="111">
        <f>G506*AO506</f>
      </c>
      <c r="BI506" s="111">
        <f>G506*AP506</f>
      </c>
      <c r="BJ506" s="111">
        <f>G506*H506</f>
      </c>
      <c r="BK506" s="111"/>
      <c r="BL506" s="111" t="n">
        <v>725</v>
      </c>
      <c r="BW506" s="111" t="n">
        <v>21</v>
      </c>
      <c r="BX506" s="14" t="s">
        <v>3721</v>
      </c>
    </row>
    <row r="507" customHeight="true" ht="13.5">
      <c r="A507" s="159"/>
      <c r="C507" s="160" t="s">
        <v>146</v>
      </c>
      <c r="D507" s="161" t="s">
        <v>3722</v>
      </c>
      <c r="E507" s="156"/>
      <c r="F507" s="156"/>
      <c r="G507" s="156"/>
      <c r="H507" s="156"/>
      <c r="I507" s="156"/>
      <c r="J507" s="156"/>
      <c r="K507" s="163"/>
    </row>
    <row r="508">
      <c r="A508" s="154"/>
      <c r="B508" s="155"/>
      <c r="C508" s="155"/>
      <c r="D508" s="156" t="s">
        <v>138</v>
      </c>
      <c r="E508" s="156" t="s">
        <v>4</v>
      </c>
      <c r="F508" s="155"/>
      <c r="G508" s="157" t="n">
        <v>3</v>
      </c>
      <c r="H508" s="155"/>
      <c r="I508" s="155"/>
      <c r="J508" s="155"/>
      <c r="K508" s="146"/>
    </row>
    <row r="509">
      <c r="A509" s="147" t="s">
        <v>4</v>
      </c>
      <c r="B509" s="148" t="s">
        <v>87</v>
      </c>
      <c r="C509" s="148" t="s">
        <v>3723</v>
      </c>
      <c r="D509" s="149" t="s">
        <v>3724</v>
      </c>
      <c r="E509" s="148"/>
      <c r="F509" s="150" t="s">
        <v>79</v>
      </c>
      <c r="G509" s="150" t="s">
        <v>79</v>
      </c>
      <c r="H509" s="150" t="s">
        <v>79</v>
      </c>
      <c r="I509" s="117">
        <f>SUM(I510:I510)</f>
      </c>
      <c r="J509" s="132" t="s">
        <v>4</v>
      </c>
      <c r="K509" s="146"/>
      <c r="AI509" s="132" t="s">
        <v>87</v>
      </c>
      <c r="AS509" s="117">
        <f>SUM(AJ510:AJ510)</f>
      </c>
      <c r="AT509" s="117">
        <f>SUM(AK510:AK510)</f>
      </c>
      <c r="AU509" s="117">
        <f>SUM(AL510:AL510)</f>
      </c>
    </row>
    <row r="510">
      <c r="A510" s="9" t="s">
        <v>1458</v>
      </c>
      <c r="B510" s="10" t="s">
        <v>87</v>
      </c>
      <c r="C510" s="10" t="s">
        <v>3726</v>
      </c>
      <c r="D510" s="14" t="s">
        <v>3727</v>
      </c>
      <c r="E510" s="10"/>
      <c r="F510" s="10" t="s">
        <v>1962</v>
      </c>
      <c r="G510" s="111">
        <f>'Stavební rozpočet'!G2455</f>
      </c>
      <c r="H510" s="111">
        <f>'Stavební rozpočet'!H2455</f>
      </c>
      <c r="I510" s="111">
        <f>G510*H510</f>
      </c>
      <c r="J510" s="153" t="s">
        <v>134</v>
      </c>
      <c r="K510" s="146"/>
      <c r="Z510" s="111">
        <f>IF(AQ510="5",BJ510,0)</f>
      </c>
      <c r="AB510" s="111">
        <f>IF(AQ510="1",BH510,0)</f>
      </c>
      <c r="AC510" s="111">
        <f>IF(AQ510="1",BI510,0)</f>
      </c>
      <c r="AD510" s="111">
        <f>IF(AQ510="7",BH510,0)</f>
      </c>
      <c r="AE510" s="111">
        <f>IF(AQ510="7",BI510,0)</f>
      </c>
      <c r="AF510" s="111">
        <f>IF(AQ510="2",BH510,0)</f>
      </c>
      <c r="AG510" s="111">
        <f>IF(AQ510="2",BI510,0)</f>
      </c>
      <c r="AH510" s="111">
        <f>IF(AQ510="0",BJ510,0)</f>
      </c>
      <c r="AI510" s="132" t="s">
        <v>87</v>
      </c>
      <c r="AJ510" s="111">
        <f>IF(AN510=0,I510,0)</f>
      </c>
      <c r="AK510" s="111">
        <f>IF(AN510=12,I510,0)</f>
      </c>
      <c r="AL510" s="111">
        <f>IF(AN510=21,I510,0)</f>
      </c>
      <c r="AN510" s="111" t="n">
        <v>21</v>
      </c>
      <c r="AO510" s="111">
        <f>H510*0.918253047</f>
      </c>
      <c r="AP510" s="111">
        <f>H510*(1-0.918253047)</f>
      </c>
      <c r="AQ510" s="153" t="s">
        <v>173</v>
      </c>
      <c r="AV510" s="111">
        <f>AW510+AX510</f>
      </c>
      <c r="AW510" s="111">
        <f>G510*AO510</f>
      </c>
      <c r="AX510" s="111">
        <f>G510*AP510</f>
      </c>
      <c r="AY510" s="153" t="s">
        <v>3728</v>
      </c>
      <c r="AZ510" s="153" t="s">
        <v>3729</v>
      </c>
      <c r="BA510" s="132" t="s">
        <v>2990</v>
      </c>
      <c r="BC510" s="111">
        <f>AW510+AX510</f>
      </c>
      <c r="BD510" s="111">
        <f>H510/(100-BE510)*100</f>
      </c>
      <c r="BE510" s="111" t="n">
        <v>0</v>
      </c>
      <c r="BF510" s="111">
        <f>510</f>
      </c>
      <c r="BH510" s="111">
        <f>G510*AO510</f>
      </c>
      <c r="BI510" s="111">
        <f>G510*AP510</f>
      </c>
      <c r="BJ510" s="111">
        <f>G510*H510</f>
      </c>
      <c r="BK510" s="111"/>
      <c r="BL510" s="111" t="n">
        <v>732</v>
      </c>
      <c r="BW510" s="111" t="n">
        <v>21</v>
      </c>
      <c r="BX510" s="14" t="s">
        <v>3727</v>
      </c>
    </row>
    <row r="511">
      <c r="A511" s="154"/>
      <c r="B511" s="155"/>
      <c r="C511" s="155"/>
      <c r="D511" s="156" t="s">
        <v>130</v>
      </c>
      <c r="E511" s="156" t="s">
        <v>4</v>
      </c>
      <c r="F511" s="155"/>
      <c r="G511" s="157" t="n">
        <v>1</v>
      </c>
      <c r="H511" s="155"/>
      <c r="I511" s="155"/>
      <c r="J511" s="155"/>
      <c r="K511" s="146"/>
    </row>
    <row r="512">
      <c r="A512" s="147" t="s">
        <v>4</v>
      </c>
      <c r="B512" s="148" t="s">
        <v>87</v>
      </c>
      <c r="C512" s="148" t="s">
        <v>3730</v>
      </c>
      <c r="D512" s="149" t="s">
        <v>3731</v>
      </c>
      <c r="E512" s="148"/>
      <c r="F512" s="150" t="s">
        <v>79</v>
      </c>
      <c r="G512" s="150" t="s">
        <v>79</v>
      </c>
      <c r="H512" s="150" t="s">
        <v>79</v>
      </c>
      <c r="I512" s="117">
        <f>SUM(I513:I513)</f>
      </c>
      <c r="J512" s="132" t="s">
        <v>4</v>
      </c>
      <c r="K512" s="146"/>
      <c r="AI512" s="132" t="s">
        <v>87</v>
      </c>
      <c r="AS512" s="117">
        <f>SUM(AJ513:AJ513)</f>
      </c>
      <c r="AT512" s="117">
        <f>SUM(AK513:AK513)</f>
      </c>
      <c r="AU512" s="117">
        <f>SUM(AL513:AL513)</f>
      </c>
    </row>
    <row r="513">
      <c r="A513" s="9" t="s">
        <v>1462</v>
      </c>
      <c r="B513" s="10" t="s">
        <v>87</v>
      </c>
      <c r="C513" s="10" t="s">
        <v>3733</v>
      </c>
      <c r="D513" s="14" t="s">
        <v>3734</v>
      </c>
      <c r="E513" s="10"/>
      <c r="F513" s="10" t="s">
        <v>229</v>
      </c>
      <c r="G513" s="111">
        <f>'Stavební rozpočet'!G2458</f>
      </c>
      <c r="H513" s="111">
        <f>'Stavební rozpočet'!H2458</f>
      </c>
      <c r="I513" s="111">
        <f>G513*H513</f>
      </c>
      <c r="J513" s="153" t="s">
        <v>134</v>
      </c>
      <c r="K513" s="146"/>
      <c r="Z513" s="111">
        <f>IF(AQ513="5",BJ513,0)</f>
      </c>
      <c r="AB513" s="111">
        <f>IF(AQ513="1",BH513,0)</f>
      </c>
      <c r="AC513" s="111">
        <f>IF(AQ513="1",BI513,0)</f>
      </c>
      <c r="AD513" s="111">
        <f>IF(AQ513="7",BH513,0)</f>
      </c>
      <c r="AE513" s="111">
        <f>IF(AQ513="7",BI513,0)</f>
      </c>
      <c r="AF513" s="111">
        <f>IF(AQ513="2",BH513,0)</f>
      </c>
      <c r="AG513" s="111">
        <f>IF(AQ513="2",BI513,0)</f>
      </c>
      <c r="AH513" s="111">
        <f>IF(AQ513="0",BJ513,0)</f>
      </c>
      <c r="AI513" s="132" t="s">
        <v>87</v>
      </c>
      <c r="AJ513" s="111">
        <f>IF(AN513=0,I513,0)</f>
      </c>
      <c r="AK513" s="111">
        <f>IF(AN513=12,I513,0)</f>
      </c>
      <c r="AL513" s="111">
        <f>IF(AN513=21,I513,0)</f>
      </c>
      <c r="AN513" s="111" t="n">
        <v>21</v>
      </c>
      <c r="AO513" s="111">
        <f>H513*0</f>
      </c>
      <c r="AP513" s="111">
        <f>H513*(1-0)</f>
      </c>
      <c r="AQ513" s="153" t="s">
        <v>156</v>
      </c>
      <c r="AV513" s="111">
        <f>AW513+AX513</f>
      </c>
      <c r="AW513" s="111">
        <f>G513*AO513</f>
      </c>
      <c r="AX513" s="111">
        <f>G513*AP513</f>
      </c>
      <c r="AY513" s="153" t="s">
        <v>3735</v>
      </c>
      <c r="AZ513" s="153" t="s">
        <v>3286</v>
      </c>
      <c r="BA513" s="132" t="s">
        <v>2990</v>
      </c>
      <c r="BC513" s="111">
        <f>AW513+AX513</f>
      </c>
      <c r="BD513" s="111">
        <f>H513/(100-BE513)*100</f>
      </c>
      <c r="BE513" s="111" t="n">
        <v>0</v>
      </c>
      <c r="BF513" s="111">
        <f>513</f>
      </c>
      <c r="BH513" s="111">
        <f>G513*AO513</f>
      </c>
      <c r="BI513" s="111">
        <f>G513*AP513</f>
      </c>
      <c r="BJ513" s="111">
        <f>G513*H513</f>
      </c>
      <c r="BK513" s="111"/>
      <c r="BL513" s="111"/>
      <c r="BW513" s="111" t="n">
        <v>21</v>
      </c>
      <c r="BX513" s="14" t="s">
        <v>3734</v>
      </c>
    </row>
    <row r="514">
      <c r="A514" s="154"/>
      <c r="B514" s="155"/>
      <c r="C514" s="155"/>
      <c r="D514" s="156" t="s">
        <v>3736</v>
      </c>
      <c r="E514" s="156" t="s">
        <v>4</v>
      </c>
      <c r="F514" s="155"/>
      <c r="G514" s="157" t="n">
        <v>8.44956</v>
      </c>
      <c r="H514" s="155"/>
      <c r="I514" s="155"/>
      <c r="J514" s="155"/>
      <c r="K514" s="146"/>
    </row>
    <row r="515">
      <c r="A515" s="147" t="s">
        <v>4</v>
      </c>
      <c r="B515" s="148" t="s">
        <v>87</v>
      </c>
      <c r="C515" s="148" t="s">
        <v>3737</v>
      </c>
      <c r="D515" s="149" t="s">
        <v>3328</v>
      </c>
      <c r="E515" s="148"/>
      <c r="F515" s="150" t="s">
        <v>79</v>
      </c>
      <c r="G515" s="150" t="s">
        <v>79</v>
      </c>
      <c r="H515" s="150" t="s">
        <v>79</v>
      </c>
      <c r="I515" s="117">
        <f>SUM(I516:I516)</f>
      </c>
      <c r="J515" s="132" t="s">
        <v>4</v>
      </c>
      <c r="K515" s="146"/>
      <c r="AI515" s="132" t="s">
        <v>87</v>
      </c>
      <c r="AS515" s="117">
        <f>SUM(AJ516:AJ516)</f>
      </c>
      <c r="AT515" s="117">
        <f>SUM(AK516:AK516)</f>
      </c>
      <c r="AU515" s="117">
        <f>SUM(AL516:AL516)</f>
      </c>
    </row>
    <row r="516">
      <c r="A516" s="9" t="s">
        <v>1466</v>
      </c>
      <c r="B516" s="10" t="s">
        <v>87</v>
      </c>
      <c r="C516" s="10" t="s">
        <v>3739</v>
      </c>
      <c r="D516" s="14" t="s">
        <v>3740</v>
      </c>
      <c r="E516" s="10"/>
      <c r="F516" s="10" t="s">
        <v>229</v>
      </c>
      <c r="G516" s="111">
        <f>'Stavební rozpočet'!G2461</f>
      </c>
      <c r="H516" s="111">
        <f>'Stavební rozpočet'!H2461</f>
      </c>
      <c r="I516" s="111">
        <f>G516*H516</f>
      </c>
      <c r="J516" s="153" t="s">
        <v>134</v>
      </c>
      <c r="K516" s="146"/>
      <c r="Z516" s="111">
        <f>IF(AQ516="5",BJ516,0)</f>
      </c>
      <c r="AB516" s="111">
        <f>IF(AQ516="1",BH516,0)</f>
      </c>
      <c r="AC516" s="111">
        <f>IF(AQ516="1",BI516,0)</f>
      </c>
      <c r="AD516" s="111">
        <f>IF(AQ516="7",BH516,0)</f>
      </c>
      <c r="AE516" s="111">
        <f>IF(AQ516="7",BI516,0)</f>
      </c>
      <c r="AF516" s="111">
        <f>IF(AQ516="2",BH516,0)</f>
      </c>
      <c r="AG516" s="111">
        <f>IF(AQ516="2",BI516,0)</f>
      </c>
      <c r="AH516" s="111">
        <f>IF(AQ516="0",BJ516,0)</f>
      </c>
      <c r="AI516" s="132" t="s">
        <v>87</v>
      </c>
      <c r="AJ516" s="111">
        <f>IF(AN516=0,I516,0)</f>
      </c>
      <c r="AK516" s="111">
        <f>IF(AN516=12,I516,0)</f>
      </c>
      <c r="AL516" s="111">
        <f>IF(AN516=21,I516,0)</f>
      </c>
      <c r="AN516" s="111" t="n">
        <v>21</v>
      </c>
      <c r="AO516" s="111">
        <f>H516*0</f>
      </c>
      <c r="AP516" s="111">
        <f>H516*(1-0)</f>
      </c>
      <c r="AQ516" s="153" t="s">
        <v>156</v>
      </c>
      <c r="AV516" s="111">
        <f>AW516+AX516</f>
      </c>
      <c r="AW516" s="111">
        <f>G516*AO516</f>
      </c>
      <c r="AX516" s="111">
        <f>G516*AP516</f>
      </c>
      <c r="AY516" s="153" t="s">
        <v>3741</v>
      </c>
      <c r="AZ516" s="153" t="s">
        <v>3286</v>
      </c>
      <c r="BA516" s="132" t="s">
        <v>2990</v>
      </c>
      <c r="BC516" s="111">
        <f>AW516+AX516</f>
      </c>
      <c r="BD516" s="111">
        <f>H516/(100-BE516)*100</f>
      </c>
      <c r="BE516" s="111" t="n">
        <v>0</v>
      </c>
      <c r="BF516" s="111">
        <f>516</f>
      </c>
      <c r="BH516" s="111">
        <f>G516*AO516</f>
      </c>
      <c r="BI516" s="111">
        <f>G516*AP516</f>
      </c>
      <c r="BJ516" s="111">
        <f>G516*H516</f>
      </c>
      <c r="BK516" s="111"/>
      <c r="BL516" s="111"/>
      <c r="BW516" s="111" t="n">
        <v>21</v>
      </c>
      <c r="BX516" s="14" t="s">
        <v>3740</v>
      </c>
    </row>
    <row r="517">
      <c r="A517" s="154"/>
      <c r="B517" s="155"/>
      <c r="C517" s="155"/>
      <c r="D517" s="156" t="s">
        <v>3742</v>
      </c>
      <c r="E517" s="156" t="s">
        <v>4</v>
      </c>
      <c r="F517" s="155"/>
      <c r="G517" s="157" t="n">
        <v>2.01228</v>
      </c>
      <c r="H517" s="155"/>
      <c r="I517" s="155"/>
      <c r="J517" s="155"/>
      <c r="K517" s="146"/>
    </row>
    <row r="518">
      <c r="A518" s="147" t="s">
        <v>4</v>
      </c>
      <c r="B518" s="148" t="s">
        <v>87</v>
      </c>
      <c r="C518" s="148" t="s">
        <v>3743</v>
      </c>
      <c r="D518" s="149" t="s">
        <v>1945</v>
      </c>
      <c r="E518" s="148"/>
      <c r="F518" s="150" t="s">
        <v>79</v>
      </c>
      <c r="G518" s="150" t="s">
        <v>79</v>
      </c>
      <c r="H518" s="150" t="s">
        <v>79</v>
      </c>
      <c r="I518" s="117">
        <f>SUM(I519:I519)</f>
      </c>
      <c r="J518" s="132" t="s">
        <v>4</v>
      </c>
      <c r="K518" s="146"/>
      <c r="AI518" s="132" t="s">
        <v>87</v>
      </c>
      <c r="AS518" s="117">
        <f>SUM(AJ519:AJ519)</f>
      </c>
      <c r="AT518" s="117">
        <f>SUM(AK519:AK519)</f>
      </c>
      <c r="AU518" s="117">
        <f>SUM(AL519:AL519)</f>
      </c>
    </row>
    <row r="519">
      <c r="A519" s="9" t="s">
        <v>1472</v>
      </c>
      <c r="B519" s="10" t="s">
        <v>87</v>
      </c>
      <c r="C519" s="10" t="s">
        <v>3745</v>
      </c>
      <c r="D519" s="14" t="s">
        <v>3746</v>
      </c>
      <c r="E519" s="10"/>
      <c r="F519" s="10" t="s">
        <v>229</v>
      </c>
      <c r="G519" s="111">
        <f>'Stavební rozpočet'!G2464</f>
      </c>
      <c r="H519" s="111">
        <f>'Stavební rozpočet'!H2464</f>
      </c>
      <c r="I519" s="111">
        <f>G519*H519</f>
      </c>
      <c r="J519" s="153" t="s">
        <v>134</v>
      </c>
      <c r="K519" s="146"/>
      <c r="Z519" s="111">
        <f>IF(AQ519="5",BJ519,0)</f>
      </c>
      <c r="AB519" s="111">
        <f>IF(AQ519="1",BH519,0)</f>
      </c>
      <c r="AC519" s="111">
        <f>IF(AQ519="1",BI519,0)</f>
      </c>
      <c r="AD519" s="111">
        <f>IF(AQ519="7",BH519,0)</f>
      </c>
      <c r="AE519" s="111">
        <f>IF(AQ519="7",BI519,0)</f>
      </c>
      <c r="AF519" s="111">
        <f>IF(AQ519="2",BH519,0)</f>
      </c>
      <c r="AG519" s="111">
        <f>IF(AQ519="2",BI519,0)</f>
      </c>
      <c r="AH519" s="111">
        <f>IF(AQ519="0",BJ519,0)</f>
      </c>
      <c r="AI519" s="132" t="s">
        <v>87</v>
      </c>
      <c r="AJ519" s="111">
        <f>IF(AN519=0,I519,0)</f>
      </c>
      <c r="AK519" s="111">
        <f>IF(AN519=12,I519,0)</f>
      </c>
      <c r="AL519" s="111">
        <f>IF(AN519=21,I519,0)</f>
      </c>
      <c r="AN519" s="111" t="n">
        <v>21</v>
      </c>
      <c r="AO519" s="111">
        <f>H519*0</f>
      </c>
      <c r="AP519" s="111">
        <f>H519*(1-0)</f>
      </c>
      <c r="AQ519" s="153" t="s">
        <v>156</v>
      </c>
      <c r="AV519" s="111">
        <f>AW519+AX519</f>
      </c>
      <c r="AW519" s="111">
        <f>G519*AO519</f>
      </c>
      <c r="AX519" s="111">
        <f>G519*AP519</f>
      </c>
      <c r="AY519" s="153" t="s">
        <v>3747</v>
      </c>
      <c r="AZ519" s="153" t="s">
        <v>3286</v>
      </c>
      <c r="BA519" s="132" t="s">
        <v>2990</v>
      </c>
      <c r="BC519" s="111">
        <f>AW519+AX519</f>
      </c>
      <c r="BD519" s="111">
        <f>H519/(100-BE519)*100</f>
      </c>
      <c r="BE519" s="111" t="n">
        <v>0</v>
      </c>
      <c r="BF519" s="111">
        <f>519</f>
      </c>
      <c r="BH519" s="111">
        <f>G519*AO519</f>
      </c>
      <c r="BI519" s="111">
        <f>G519*AP519</f>
      </c>
      <c r="BJ519" s="111">
        <f>G519*H519</f>
      </c>
      <c r="BK519" s="111"/>
      <c r="BL519" s="111"/>
      <c r="BW519" s="111" t="n">
        <v>21</v>
      </c>
      <c r="BX519" s="14" t="s">
        <v>3746</v>
      </c>
    </row>
    <row r="520">
      <c r="A520" s="154"/>
      <c r="B520" s="155"/>
      <c r="C520" s="155"/>
      <c r="D520" s="156" t="s">
        <v>3748</v>
      </c>
      <c r="E520" s="156" t="s">
        <v>4</v>
      </c>
      <c r="F520" s="155"/>
      <c r="G520" s="157" t="n">
        <v>1.48387</v>
      </c>
      <c r="H520" s="155"/>
      <c r="I520" s="155"/>
      <c r="J520" s="155"/>
      <c r="K520" s="146"/>
    </row>
    <row r="521">
      <c r="A521" s="147" t="s">
        <v>4</v>
      </c>
      <c r="B521" s="148" t="s">
        <v>87</v>
      </c>
      <c r="C521" s="148" t="s">
        <v>3749</v>
      </c>
      <c r="D521" s="149" t="s">
        <v>1958</v>
      </c>
      <c r="E521" s="148"/>
      <c r="F521" s="150" t="s">
        <v>79</v>
      </c>
      <c r="G521" s="150" t="s">
        <v>79</v>
      </c>
      <c r="H521" s="150" t="s">
        <v>79</v>
      </c>
      <c r="I521" s="117">
        <f>SUM(I522:I522)</f>
      </c>
      <c r="J521" s="132" t="s">
        <v>4</v>
      </c>
      <c r="K521" s="146"/>
      <c r="AI521" s="132" t="s">
        <v>87</v>
      </c>
      <c r="AS521" s="117">
        <f>SUM(AJ522:AJ522)</f>
      </c>
      <c r="AT521" s="117">
        <f>SUM(AK522:AK522)</f>
      </c>
      <c r="AU521" s="117">
        <f>SUM(AL522:AL522)</f>
      </c>
    </row>
    <row r="522">
      <c r="A522" s="9" t="s">
        <v>1478</v>
      </c>
      <c r="B522" s="10" t="s">
        <v>87</v>
      </c>
      <c r="C522" s="10" t="s">
        <v>3751</v>
      </c>
      <c r="D522" s="14" t="s">
        <v>3752</v>
      </c>
      <c r="E522" s="10"/>
      <c r="F522" s="10" t="s">
        <v>229</v>
      </c>
      <c r="G522" s="111">
        <f>'Stavební rozpočet'!G2467</f>
      </c>
      <c r="H522" s="111">
        <f>'Stavební rozpočet'!H2467</f>
      </c>
      <c r="I522" s="111">
        <f>G522*H522</f>
      </c>
      <c r="J522" s="153" t="s">
        <v>134</v>
      </c>
      <c r="K522" s="146"/>
      <c r="Z522" s="111">
        <f>IF(AQ522="5",BJ522,0)</f>
      </c>
      <c r="AB522" s="111">
        <f>IF(AQ522="1",BH522,0)</f>
      </c>
      <c r="AC522" s="111">
        <f>IF(AQ522="1",BI522,0)</f>
      </c>
      <c r="AD522" s="111">
        <f>IF(AQ522="7",BH522,0)</f>
      </c>
      <c r="AE522" s="111">
        <f>IF(AQ522="7",BI522,0)</f>
      </c>
      <c r="AF522" s="111">
        <f>IF(AQ522="2",BH522,0)</f>
      </c>
      <c r="AG522" s="111">
        <f>IF(AQ522="2",BI522,0)</f>
      </c>
      <c r="AH522" s="111">
        <f>IF(AQ522="0",BJ522,0)</f>
      </c>
      <c r="AI522" s="132" t="s">
        <v>87</v>
      </c>
      <c r="AJ522" s="111">
        <f>IF(AN522=0,I522,0)</f>
      </c>
      <c r="AK522" s="111">
        <f>IF(AN522=12,I522,0)</f>
      </c>
      <c r="AL522" s="111">
        <f>IF(AN522=21,I522,0)</f>
      </c>
      <c r="AN522" s="111" t="n">
        <v>21</v>
      </c>
      <c r="AO522" s="111">
        <f>H522*0</f>
      </c>
      <c r="AP522" s="111">
        <f>H522*(1-0)</f>
      </c>
      <c r="AQ522" s="153" t="s">
        <v>156</v>
      </c>
      <c r="AV522" s="111">
        <f>AW522+AX522</f>
      </c>
      <c r="AW522" s="111">
        <f>G522*AO522</f>
      </c>
      <c r="AX522" s="111">
        <f>G522*AP522</f>
      </c>
      <c r="AY522" s="153" t="s">
        <v>3753</v>
      </c>
      <c r="AZ522" s="153" t="s">
        <v>3286</v>
      </c>
      <c r="BA522" s="132" t="s">
        <v>2990</v>
      </c>
      <c r="BC522" s="111">
        <f>AW522+AX522</f>
      </c>
      <c r="BD522" s="111">
        <f>H522/(100-BE522)*100</f>
      </c>
      <c r="BE522" s="111" t="n">
        <v>0</v>
      </c>
      <c r="BF522" s="111">
        <f>522</f>
      </c>
      <c r="BH522" s="111">
        <f>G522*AO522</f>
      </c>
      <c r="BI522" s="111">
        <f>G522*AP522</f>
      </c>
      <c r="BJ522" s="111">
        <f>G522*H522</f>
      </c>
      <c r="BK522" s="111"/>
      <c r="BL522" s="111"/>
      <c r="BW522" s="111" t="n">
        <v>21</v>
      </c>
      <c r="BX522" s="14" t="s">
        <v>3752</v>
      </c>
    </row>
    <row r="523">
      <c r="A523" s="154"/>
      <c r="B523" s="155"/>
      <c r="C523" s="155"/>
      <c r="D523" s="156" t="s">
        <v>3754</v>
      </c>
      <c r="E523" s="156" t="s">
        <v>4</v>
      </c>
      <c r="F523" s="155"/>
      <c r="G523" s="157" t="n">
        <v>0.40249</v>
      </c>
      <c r="H523" s="155"/>
      <c r="I523" s="155"/>
      <c r="J523" s="155"/>
      <c r="K523" s="146"/>
    </row>
    <row r="524">
      <c r="A524" s="147" t="s">
        <v>4</v>
      </c>
      <c r="B524" s="148" t="s">
        <v>87</v>
      </c>
      <c r="C524" s="148" t="s">
        <v>3755</v>
      </c>
      <c r="D524" s="149" t="s">
        <v>36</v>
      </c>
      <c r="E524" s="148"/>
      <c r="F524" s="150" t="s">
        <v>79</v>
      </c>
      <c r="G524" s="150" t="s">
        <v>79</v>
      </c>
      <c r="H524" s="150" t="s">
        <v>79</v>
      </c>
      <c r="I524" s="117">
        <f>SUM(I525:I586)</f>
      </c>
      <c r="J524" s="132" t="s">
        <v>4</v>
      </c>
      <c r="K524" s="146"/>
      <c r="AI524" s="132" t="s">
        <v>87</v>
      </c>
      <c r="AS524" s="117">
        <f>SUM(AJ525:AJ586)</f>
      </c>
      <c r="AT524" s="117">
        <f>SUM(AK525:AK586)</f>
      </c>
      <c r="AU524" s="117">
        <f>SUM(AL525:AL586)</f>
      </c>
    </row>
    <row r="525" ht="24.75">
      <c r="A525" s="9" t="s">
        <v>1490</v>
      </c>
      <c r="B525" s="10" t="s">
        <v>87</v>
      </c>
      <c r="C525" s="10" t="s">
        <v>3757</v>
      </c>
      <c r="D525" s="14" t="s">
        <v>3758</v>
      </c>
      <c r="E525" s="10"/>
      <c r="F525" s="10" t="s">
        <v>133</v>
      </c>
      <c r="G525" s="111">
        <f>'Stavební rozpočet'!G2470</f>
      </c>
      <c r="H525" s="111">
        <f>'Stavební rozpočet'!H2470</f>
      </c>
      <c r="I525" s="111">
        <f>G525*H525</f>
      </c>
      <c r="J525" s="153" t="s">
        <v>3003</v>
      </c>
      <c r="K525" s="146"/>
      <c r="Z525" s="111">
        <f>IF(AQ525="5",BJ525,0)</f>
      </c>
      <c r="AB525" s="111">
        <f>IF(AQ525="1",BH525,0)</f>
      </c>
      <c r="AC525" s="111">
        <f>IF(AQ525="1",BI525,0)</f>
      </c>
      <c r="AD525" s="111">
        <f>IF(AQ525="7",BH525,0)</f>
      </c>
      <c r="AE525" s="111">
        <f>IF(AQ525="7",BI525,0)</f>
      </c>
      <c r="AF525" s="111">
        <f>IF(AQ525="2",BH525,0)</f>
      </c>
      <c r="AG525" s="111">
        <f>IF(AQ525="2",BI525,0)</f>
      </c>
      <c r="AH525" s="111">
        <f>IF(AQ525="0",BJ525,0)</f>
      </c>
      <c r="AI525" s="132" t="s">
        <v>87</v>
      </c>
      <c r="AJ525" s="111">
        <f>IF(AN525=0,I525,0)</f>
      </c>
      <c r="AK525" s="111">
        <f>IF(AN525=12,I525,0)</f>
      </c>
      <c r="AL525" s="111">
        <f>IF(AN525=21,I525,0)</f>
      </c>
      <c r="AN525" s="111" t="n">
        <v>21</v>
      </c>
      <c r="AO525" s="111">
        <f>H525*1</f>
      </c>
      <c r="AP525" s="111">
        <f>H525*(1-1)</f>
      </c>
      <c r="AQ525" s="153" t="s">
        <v>3759</v>
      </c>
      <c r="AV525" s="111">
        <f>AW525+AX525</f>
      </c>
      <c r="AW525" s="111">
        <f>G525*AO525</f>
      </c>
      <c r="AX525" s="111">
        <f>G525*AP525</f>
      </c>
      <c r="AY525" s="153" t="s">
        <v>3760</v>
      </c>
      <c r="AZ525" s="153" t="s">
        <v>3761</v>
      </c>
      <c r="BA525" s="132" t="s">
        <v>2990</v>
      </c>
      <c r="BC525" s="111">
        <f>AW525+AX525</f>
      </c>
      <c r="BD525" s="111">
        <f>H525/(100-BE525)*100</f>
      </c>
      <c r="BE525" s="111" t="n">
        <v>0</v>
      </c>
      <c r="BF525" s="111">
        <f>525</f>
      </c>
      <c r="BH525" s="111">
        <f>G525*AO525</f>
      </c>
      <c r="BI525" s="111">
        <f>G525*AP525</f>
      </c>
      <c r="BJ525" s="111">
        <f>G525*H525</f>
      </c>
      <c r="BK525" s="111"/>
      <c r="BL525" s="111"/>
      <c r="BW525" s="111" t="n">
        <v>21</v>
      </c>
      <c r="BX525" s="14" t="s">
        <v>3758</v>
      </c>
    </row>
    <row r="526">
      <c r="A526" s="154"/>
      <c r="B526" s="155"/>
      <c r="C526" s="155"/>
      <c r="D526" s="156" t="s">
        <v>130</v>
      </c>
      <c r="E526" s="156" t="s">
        <v>4</v>
      </c>
      <c r="F526" s="155"/>
      <c r="G526" s="157" t="n">
        <v>1</v>
      </c>
      <c r="H526" s="155"/>
      <c r="I526" s="155"/>
      <c r="J526" s="155"/>
      <c r="K526" s="146"/>
    </row>
    <row r="527">
      <c r="A527" s="9" t="s">
        <v>1496</v>
      </c>
      <c r="B527" s="10" t="s">
        <v>87</v>
      </c>
      <c r="C527" s="10" t="s">
        <v>3763</v>
      </c>
      <c r="D527" s="14" t="s">
        <v>3764</v>
      </c>
      <c r="E527" s="10"/>
      <c r="F527" s="10" t="s">
        <v>133</v>
      </c>
      <c r="G527" s="111">
        <f>'Stavební rozpočet'!G2472</f>
      </c>
      <c r="H527" s="111">
        <f>'Stavební rozpočet'!H2472</f>
      </c>
      <c r="I527" s="111">
        <f>G527*H527</f>
      </c>
      <c r="J527" s="153" t="s">
        <v>134</v>
      </c>
      <c r="K527" s="146"/>
      <c r="Z527" s="111">
        <f>IF(AQ527="5",BJ527,0)</f>
      </c>
      <c r="AB527" s="111">
        <f>IF(AQ527="1",BH527,0)</f>
      </c>
      <c r="AC527" s="111">
        <f>IF(AQ527="1",BI527,0)</f>
      </c>
      <c r="AD527" s="111">
        <f>IF(AQ527="7",BH527,0)</f>
      </c>
      <c r="AE527" s="111">
        <f>IF(AQ527="7",BI527,0)</f>
      </c>
      <c r="AF527" s="111">
        <f>IF(AQ527="2",BH527,0)</f>
      </c>
      <c r="AG527" s="111">
        <f>IF(AQ527="2",BI527,0)</f>
      </c>
      <c r="AH527" s="111">
        <f>IF(AQ527="0",BJ527,0)</f>
      </c>
      <c r="AI527" s="132" t="s">
        <v>87</v>
      </c>
      <c r="AJ527" s="111">
        <f>IF(AN527=0,I527,0)</f>
      </c>
      <c r="AK527" s="111">
        <f>IF(AN527=12,I527,0)</f>
      </c>
      <c r="AL527" s="111">
        <f>IF(AN527=21,I527,0)</f>
      </c>
      <c r="AN527" s="111" t="n">
        <v>21</v>
      </c>
      <c r="AO527" s="111">
        <f>H527*1</f>
      </c>
      <c r="AP527" s="111">
        <f>H527*(1-1)</f>
      </c>
      <c r="AQ527" s="153" t="s">
        <v>3759</v>
      </c>
      <c r="AV527" s="111">
        <f>AW527+AX527</f>
      </c>
      <c r="AW527" s="111">
        <f>G527*AO527</f>
      </c>
      <c r="AX527" s="111">
        <f>G527*AP527</f>
      </c>
      <c r="AY527" s="153" t="s">
        <v>3760</v>
      </c>
      <c r="AZ527" s="153" t="s">
        <v>3761</v>
      </c>
      <c r="BA527" s="132" t="s">
        <v>2990</v>
      </c>
      <c r="BC527" s="111">
        <f>AW527+AX527</f>
      </c>
      <c r="BD527" s="111">
        <f>H527/(100-BE527)*100</f>
      </c>
      <c r="BE527" s="111" t="n">
        <v>0</v>
      </c>
      <c r="BF527" s="111">
        <f>527</f>
      </c>
      <c r="BH527" s="111">
        <f>G527*AO527</f>
      </c>
      <c r="BI527" s="111">
        <f>G527*AP527</f>
      </c>
      <c r="BJ527" s="111">
        <f>G527*H527</f>
      </c>
      <c r="BK527" s="111"/>
      <c r="BL527" s="111"/>
      <c r="BW527" s="111" t="n">
        <v>21</v>
      </c>
      <c r="BX527" s="14" t="s">
        <v>3764</v>
      </c>
    </row>
    <row r="528">
      <c r="A528" s="154"/>
      <c r="B528" s="155"/>
      <c r="C528" s="155"/>
      <c r="D528" s="156" t="s">
        <v>202</v>
      </c>
      <c r="E528" s="156" t="s">
        <v>4</v>
      </c>
      <c r="F528" s="155"/>
      <c r="G528" s="157" t="n">
        <v>16</v>
      </c>
      <c r="H528" s="155"/>
      <c r="I528" s="155"/>
      <c r="J528" s="155"/>
      <c r="K528" s="146"/>
    </row>
    <row r="529">
      <c r="A529" s="9" t="s">
        <v>1501</v>
      </c>
      <c r="B529" s="10" t="s">
        <v>87</v>
      </c>
      <c r="C529" s="10" t="s">
        <v>3766</v>
      </c>
      <c r="D529" s="14" t="s">
        <v>3767</v>
      </c>
      <c r="E529" s="10"/>
      <c r="F529" s="10" t="s">
        <v>133</v>
      </c>
      <c r="G529" s="111">
        <f>'Stavební rozpočet'!G2474</f>
      </c>
      <c r="H529" s="111">
        <f>'Stavební rozpočet'!H2474</f>
      </c>
      <c r="I529" s="111">
        <f>G529*H529</f>
      </c>
      <c r="J529" s="153" t="s">
        <v>134</v>
      </c>
      <c r="K529" s="146"/>
      <c r="Z529" s="111">
        <f>IF(AQ529="5",BJ529,0)</f>
      </c>
      <c r="AB529" s="111">
        <f>IF(AQ529="1",BH529,0)</f>
      </c>
      <c r="AC529" s="111">
        <f>IF(AQ529="1",BI529,0)</f>
      </c>
      <c r="AD529" s="111">
        <f>IF(AQ529="7",BH529,0)</f>
      </c>
      <c r="AE529" s="111">
        <f>IF(AQ529="7",BI529,0)</f>
      </c>
      <c r="AF529" s="111">
        <f>IF(AQ529="2",BH529,0)</f>
      </c>
      <c r="AG529" s="111">
        <f>IF(AQ529="2",BI529,0)</f>
      </c>
      <c r="AH529" s="111">
        <f>IF(AQ529="0",BJ529,0)</f>
      </c>
      <c r="AI529" s="132" t="s">
        <v>87</v>
      </c>
      <c r="AJ529" s="111">
        <f>IF(AN529=0,I529,0)</f>
      </c>
      <c r="AK529" s="111">
        <f>IF(AN529=12,I529,0)</f>
      </c>
      <c r="AL529" s="111">
        <f>IF(AN529=21,I529,0)</f>
      </c>
      <c r="AN529" s="111" t="n">
        <v>21</v>
      </c>
      <c r="AO529" s="111">
        <f>H529*1</f>
      </c>
      <c r="AP529" s="111">
        <f>H529*(1-1)</f>
      </c>
      <c r="AQ529" s="153" t="s">
        <v>3759</v>
      </c>
      <c r="AV529" s="111">
        <f>AW529+AX529</f>
      </c>
      <c r="AW529" s="111">
        <f>G529*AO529</f>
      </c>
      <c r="AX529" s="111">
        <f>G529*AP529</f>
      </c>
      <c r="AY529" s="153" t="s">
        <v>3760</v>
      </c>
      <c r="AZ529" s="153" t="s">
        <v>3761</v>
      </c>
      <c r="BA529" s="132" t="s">
        <v>2990</v>
      </c>
      <c r="BC529" s="111">
        <f>AW529+AX529</f>
      </c>
      <c r="BD529" s="111">
        <f>H529/(100-BE529)*100</f>
      </c>
      <c r="BE529" s="111" t="n">
        <v>0</v>
      </c>
      <c r="BF529" s="111">
        <f>529</f>
      </c>
      <c r="BH529" s="111">
        <f>G529*AO529</f>
      </c>
      <c r="BI529" s="111">
        <f>G529*AP529</f>
      </c>
      <c r="BJ529" s="111">
        <f>G529*H529</f>
      </c>
      <c r="BK529" s="111"/>
      <c r="BL529" s="111"/>
      <c r="BW529" s="111" t="n">
        <v>21</v>
      </c>
      <c r="BX529" s="14" t="s">
        <v>3767</v>
      </c>
    </row>
    <row r="530">
      <c r="A530" s="154"/>
      <c r="B530" s="155"/>
      <c r="C530" s="155"/>
      <c r="D530" s="156" t="s">
        <v>140</v>
      </c>
      <c r="E530" s="156" t="s">
        <v>4</v>
      </c>
      <c r="F530" s="155"/>
      <c r="G530" s="157" t="n">
        <v>2</v>
      </c>
      <c r="H530" s="155"/>
      <c r="I530" s="155"/>
      <c r="J530" s="155"/>
      <c r="K530" s="146"/>
    </row>
    <row r="531">
      <c r="A531" s="9" t="s">
        <v>1505</v>
      </c>
      <c r="B531" s="10" t="s">
        <v>87</v>
      </c>
      <c r="C531" s="10" t="s">
        <v>3769</v>
      </c>
      <c r="D531" s="14" t="s">
        <v>3770</v>
      </c>
      <c r="E531" s="10"/>
      <c r="F531" s="10" t="s">
        <v>133</v>
      </c>
      <c r="G531" s="111">
        <f>'Stavební rozpočet'!G2476</f>
      </c>
      <c r="H531" s="111">
        <f>'Stavební rozpočet'!H2476</f>
      </c>
      <c r="I531" s="111">
        <f>G531*H531</f>
      </c>
      <c r="J531" s="153" t="s">
        <v>3003</v>
      </c>
      <c r="K531" s="146"/>
      <c r="Z531" s="111">
        <f>IF(AQ531="5",BJ531,0)</f>
      </c>
      <c r="AB531" s="111">
        <f>IF(AQ531="1",BH531,0)</f>
      </c>
      <c r="AC531" s="111">
        <f>IF(AQ531="1",BI531,0)</f>
      </c>
      <c r="AD531" s="111">
        <f>IF(AQ531="7",BH531,0)</f>
      </c>
      <c r="AE531" s="111">
        <f>IF(AQ531="7",BI531,0)</f>
      </c>
      <c r="AF531" s="111">
        <f>IF(AQ531="2",BH531,0)</f>
      </c>
      <c r="AG531" s="111">
        <f>IF(AQ531="2",BI531,0)</f>
      </c>
      <c r="AH531" s="111">
        <f>IF(AQ531="0",BJ531,0)</f>
      </c>
      <c r="AI531" s="132" t="s">
        <v>87</v>
      </c>
      <c r="AJ531" s="111">
        <f>IF(AN531=0,I531,0)</f>
      </c>
      <c r="AK531" s="111">
        <f>IF(AN531=12,I531,0)</f>
      </c>
      <c r="AL531" s="111">
        <f>IF(AN531=21,I531,0)</f>
      </c>
      <c r="AN531" s="111" t="n">
        <v>21</v>
      </c>
      <c r="AO531" s="111">
        <f>H531*1</f>
      </c>
      <c r="AP531" s="111">
        <f>H531*(1-1)</f>
      </c>
      <c r="AQ531" s="153" t="s">
        <v>3759</v>
      </c>
      <c r="AV531" s="111">
        <f>AW531+AX531</f>
      </c>
      <c r="AW531" s="111">
        <f>G531*AO531</f>
      </c>
      <c r="AX531" s="111">
        <f>G531*AP531</f>
      </c>
      <c r="AY531" s="153" t="s">
        <v>3760</v>
      </c>
      <c r="AZ531" s="153" t="s">
        <v>3761</v>
      </c>
      <c r="BA531" s="132" t="s">
        <v>2990</v>
      </c>
      <c r="BC531" s="111">
        <f>AW531+AX531</f>
      </c>
      <c r="BD531" s="111">
        <f>H531/(100-BE531)*100</f>
      </c>
      <c r="BE531" s="111" t="n">
        <v>0</v>
      </c>
      <c r="BF531" s="111">
        <f>531</f>
      </c>
      <c r="BH531" s="111">
        <f>G531*AO531</f>
      </c>
      <c r="BI531" s="111">
        <f>G531*AP531</f>
      </c>
      <c r="BJ531" s="111">
        <f>G531*H531</f>
      </c>
      <c r="BK531" s="111"/>
      <c r="BL531" s="111"/>
      <c r="BW531" s="111" t="n">
        <v>21</v>
      </c>
      <c r="BX531" s="14" t="s">
        <v>3770</v>
      </c>
    </row>
    <row r="532">
      <c r="A532" s="154"/>
      <c r="B532" s="155"/>
      <c r="C532" s="155"/>
      <c r="D532" s="156" t="s">
        <v>186</v>
      </c>
      <c r="E532" s="156" t="s">
        <v>4</v>
      </c>
      <c r="F532" s="155"/>
      <c r="G532" s="157" t="n">
        <v>10</v>
      </c>
      <c r="H532" s="155"/>
      <c r="I532" s="155"/>
      <c r="J532" s="155"/>
      <c r="K532" s="146"/>
    </row>
    <row r="533">
      <c r="A533" s="9" t="s">
        <v>1510</v>
      </c>
      <c r="B533" s="10" t="s">
        <v>87</v>
      </c>
      <c r="C533" s="10" t="s">
        <v>3772</v>
      </c>
      <c r="D533" s="14" t="s">
        <v>3773</v>
      </c>
      <c r="E533" s="10"/>
      <c r="F533" s="10" t="s">
        <v>133</v>
      </c>
      <c r="G533" s="111">
        <f>'Stavební rozpočet'!G2478</f>
      </c>
      <c r="H533" s="111">
        <f>'Stavební rozpočet'!H2478</f>
      </c>
      <c r="I533" s="111">
        <f>G533*H533</f>
      </c>
      <c r="J533" s="153" t="s">
        <v>3003</v>
      </c>
      <c r="K533" s="146"/>
      <c r="Z533" s="111">
        <f>IF(AQ533="5",BJ533,0)</f>
      </c>
      <c r="AB533" s="111">
        <f>IF(AQ533="1",BH533,0)</f>
      </c>
      <c r="AC533" s="111">
        <f>IF(AQ533="1",BI533,0)</f>
      </c>
      <c r="AD533" s="111">
        <f>IF(AQ533="7",BH533,0)</f>
      </c>
      <c r="AE533" s="111">
        <f>IF(AQ533="7",BI533,0)</f>
      </c>
      <c r="AF533" s="111">
        <f>IF(AQ533="2",BH533,0)</f>
      </c>
      <c r="AG533" s="111">
        <f>IF(AQ533="2",BI533,0)</f>
      </c>
      <c r="AH533" s="111">
        <f>IF(AQ533="0",BJ533,0)</f>
      </c>
      <c r="AI533" s="132" t="s">
        <v>87</v>
      </c>
      <c r="AJ533" s="111">
        <f>IF(AN533=0,I533,0)</f>
      </c>
      <c r="AK533" s="111">
        <f>IF(AN533=12,I533,0)</f>
      </c>
      <c r="AL533" s="111">
        <f>IF(AN533=21,I533,0)</f>
      </c>
      <c r="AN533" s="111" t="n">
        <v>21</v>
      </c>
      <c r="AO533" s="111">
        <f>H533*1</f>
      </c>
      <c r="AP533" s="111">
        <f>H533*(1-1)</f>
      </c>
      <c r="AQ533" s="153" t="s">
        <v>3759</v>
      </c>
      <c r="AV533" s="111">
        <f>AW533+AX533</f>
      </c>
      <c r="AW533" s="111">
        <f>G533*AO533</f>
      </c>
      <c r="AX533" s="111">
        <f>G533*AP533</f>
      </c>
      <c r="AY533" s="153" t="s">
        <v>3760</v>
      </c>
      <c r="AZ533" s="153" t="s">
        <v>3761</v>
      </c>
      <c r="BA533" s="132" t="s">
        <v>2990</v>
      </c>
      <c r="BC533" s="111">
        <f>AW533+AX533</f>
      </c>
      <c r="BD533" s="111">
        <f>H533/(100-BE533)*100</f>
      </c>
      <c r="BE533" s="111" t="n">
        <v>0</v>
      </c>
      <c r="BF533" s="111">
        <f>533</f>
      </c>
      <c r="BH533" s="111">
        <f>G533*AO533</f>
      </c>
      <c r="BI533" s="111">
        <f>G533*AP533</f>
      </c>
      <c r="BJ533" s="111">
        <f>G533*H533</f>
      </c>
      <c r="BK533" s="111"/>
      <c r="BL533" s="111"/>
      <c r="BW533" s="111" t="n">
        <v>21</v>
      </c>
      <c r="BX533" s="14" t="s">
        <v>3773</v>
      </c>
    </row>
    <row r="534">
      <c r="A534" s="154"/>
      <c r="B534" s="155"/>
      <c r="C534" s="155"/>
      <c r="D534" s="156" t="s">
        <v>149</v>
      </c>
      <c r="E534" s="156" t="s">
        <v>4</v>
      </c>
      <c r="F534" s="155"/>
      <c r="G534" s="157" t="n">
        <v>4</v>
      </c>
      <c r="H534" s="155"/>
      <c r="I534" s="155"/>
      <c r="J534" s="155"/>
      <c r="K534" s="146"/>
    </row>
    <row r="535">
      <c r="A535" s="9" t="s">
        <v>1517</v>
      </c>
      <c r="B535" s="10" t="s">
        <v>87</v>
      </c>
      <c r="C535" s="10" t="s">
        <v>3775</v>
      </c>
      <c r="D535" s="14" t="s">
        <v>3776</v>
      </c>
      <c r="E535" s="10"/>
      <c r="F535" s="10" t="s">
        <v>133</v>
      </c>
      <c r="G535" s="111">
        <f>'Stavební rozpočet'!G2480</f>
      </c>
      <c r="H535" s="111">
        <f>'Stavební rozpočet'!H2480</f>
      </c>
      <c r="I535" s="111">
        <f>G535*H535</f>
      </c>
      <c r="J535" s="153" t="s">
        <v>134</v>
      </c>
      <c r="K535" s="146"/>
      <c r="Z535" s="111">
        <f>IF(AQ535="5",BJ535,0)</f>
      </c>
      <c r="AB535" s="111">
        <f>IF(AQ535="1",BH535,0)</f>
      </c>
      <c r="AC535" s="111">
        <f>IF(AQ535="1",BI535,0)</f>
      </c>
      <c r="AD535" s="111">
        <f>IF(AQ535="7",BH535,0)</f>
      </c>
      <c r="AE535" s="111">
        <f>IF(AQ535="7",BI535,0)</f>
      </c>
      <c r="AF535" s="111">
        <f>IF(AQ535="2",BH535,0)</f>
      </c>
      <c r="AG535" s="111">
        <f>IF(AQ535="2",BI535,0)</f>
      </c>
      <c r="AH535" s="111">
        <f>IF(AQ535="0",BJ535,0)</f>
      </c>
      <c r="AI535" s="132" t="s">
        <v>87</v>
      </c>
      <c r="AJ535" s="111">
        <f>IF(AN535=0,I535,0)</f>
      </c>
      <c r="AK535" s="111">
        <f>IF(AN535=12,I535,0)</f>
      </c>
      <c r="AL535" s="111">
        <f>IF(AN535=21,I535,0)</f>
      </c>
      <c r="AN535" s="111" t="n">
        <v>21</v>
      </c>
      <c r="AO535" s="111">
        <f>H535*1</f>
      </c>
      <c r="AP535" s="111">
        <f>H535*(1-1)</f>
      </c>
      <c r="AQ535" s="153" t="s">
        <v>3759</v>
      </c>
      <c r="AV535" s="111">
        <f>AW535+AX535</f>
      </c>
      <c r="AW535" s="111">
        <f>G535*AO535</f>
      </c>
      <c r="AX535" s="111">
        <f>G535*AP535</f>
      </c>
      <c r="AY535" s="153" t="s">
        <v>3760</v>
      </c>
      <c r="AZ535" s="153" t="s">
        <v>3761</v>
      </c>
      <c r="BA535" s="132" t="s">
        <v>2990</v>
      </c>
      <c r="BC535" s="111">
        <f>AW535+AX535</f>
      </c>
      <c r="BD535" s="111">
        <f>H535/(100-BE535)*100</f>
      </c>
      <c r="BE535" s="111" t="n">
        <v>0</v>
      </c>
      <c r="BF535" s="111">
        <f>535</f>
      </c>
      <c r="BH535" s="111">
        <f>G535*AO535</f>
      </c>
      <c r="BI535" s="111">
        <f>G535*AP535</f>
      </c>
      <c r="BJ535" s="111">
        <f>G535*H535</f>
      </c>
      <c r="BK535" s="111"/>
      <c r="BL535" s="111"/>
      <c r="BW535" s="111" t="n">
        <v>21</v>
      </c>
      <c r="BX535" s="14" t="s">
        <v>3776</v>
      </c>
    </row>
    <row r="536">
      <c r="A536" s="154"/>
      <c r="B536" s="155"/>
      <c r="C536" s="155"/>
      <c r="D536" s="156" t="s">
        <v>255</v>
      </c>
      <c r="E536" s="156" t="s">
        <v>4</v>
      </c>
      <c r="F536" s="155"/>
      <c r="G536" s="157" t="n">
        <v>20</v>
      </c>
      <c r="H536" s="155"/>
      <c r="I536" s="155"/>
      <c r="J536" s="155"/>
      <c r="K536" s="146"/>
    </row>
    <row r="537">
      <c r="A537" s="154"/>
      <c r="B537" s="155"/>
      <c r="C537" s="155"/>
      <c r="D537" s="156" t="s">
        <v>3777</v>
      </c>
      <c r="E537" s="156" t="s">
        <v>4</v>
      </c>
      <c r="F537" s="155"/>
      <c r="G537" s="157" t="n">
        <v>2</v>
      </c>
      <c r="H537" s="155"/>
      <c r="I537" s="155"/>
      <c r="J537" s="155"/>
      <c r="K537" s="146"/>
    </row>
    <row r="538">
      <c r="A538" s="9" t="s">
        <v>1521</v>
      </c>
      <c r="B538" s="10" t="s">
        <v>87</v>
      </c>
      <c r="C538" s="10" t="s">
        <v>3779</v>
      </c>
      <c r="D538" s="14" t="s">
        <v>3780</v>
      </c>
      <c r="E538" s="10"/>
      <c r="F538" s="10" t="s">
        <v>133</v>
      </c>
      <c r="G538" s="111">
        <f>'Stavební rozpočet'!G2483</f>
      </c>
      <c r="H538" s="111">
        <f>'Stavební rozpočet'!H2483</f>
      </c>
      <c r="I538" s="111">
        <f>G538*H538</f>
      </c>
      <c r="J538" s="153" t="s">
        <v>134</v>
      </c>
      <c r="K538" s="146"/>
      <c r="Z538" s="111">
        <f>IF(AQ538="5",BJ538,0)</f>
      </c>
      <c r="AB538" s="111">
        <f>IF(AQ538="1",BH538,0)</f>
      </c>
      <c r="AC538" s="111">
        <f>IF(AQ538="1",BI538,0)</f>
      </c>
      <c r="AD538" s="111">
        <f>IF(AQ538="7",BH538,0)</f>
      </c>
      <c r="AE538" s="111">
        <f>IF(AQ538="7",BI538,0)</f>
      </c>
      <c r="AF538" s="111">
        <f>IF(AQ538="2",BH538,0)</f>
      </c>
      <c r="AG538" s="111">
        <f>IF(AQ538="2",BI538,0)</f>
      </c>
      <c r="AH538" s="111">
        <f>IF(AQ538="0",BJ538,0)</f>
      </c>
      <c r="AI538" s="132" t="s">
        <v>87</v>
      </c>
      <c r="AJ538" s="111">
        <f>IF(AN538=0,I538,0)</f>
      </c>
      <c r="AK538" s="111">
        <f>IF(AN538=12,I538,0)</f>
      </c>
      <c r="AL538" s="111">
        <f>IF(AN538=21,I538,0)</f>
      </c>
      <c r="AN538" s="111" t="n">
        <v>21</v>
      </c>
      <c r="AO538" s="111">
        <f>H538*1</f>
      </c>
      <c r="AP538" s="111">
        <f>H538*(1-1)</f>
      </c>
      <c r="AQ538" s="153" t="s">
        <v>3759</v>
      </c>
      <c r="AV538" s="111">
        <f>AW538+AX538</f>
      </c>
      <c r="AW538" s="111">
        <f>G538*AO538</f>
      </c>
      <c r="AX538" s="111">
        <f>G538*AP538</f>
      </c>
      <c r="AY538" s="153" t="s">
        <v>3760</v>
      </c>
      <c r="AZ538" s="153" t="s">
        <v>3761</v>
      </c>
      <c r="BA538" s="132" t="s">
        <v>2990</v>
      </c>
      <c r="BC538" s="111">
        <f>AW538+AX538</f>
      </c>
      <c r="BD538" s="111">
        <f>H538/(100-BE538)*100</f>
      </c>
      <c r="BE538" s="111" t="n">
        <v>0</v>
      </c>
      <c r="BF538" s="111">
        <f>538</f>
      </c>
      <c r="BH538" s="111">
        <f>G538*AO538</f>
      </c>
      <c r="BI538" s="111">
        <f>G538*AP538</f>
      </c>
      <c r="BJ538" s="111">
        <f>G538*H538</f>
      </c>
      <c r="BK538" s="111"/>
      <c r="BL538" s="111"/>
      <c r="BW538" s="111" t="n">
        <v>21</v>
      </c>
      <c r="BX538" s="14" t="s">
        <v>3780</v>
      </c>
    </row>
    <row r="539">
      <c r="A539" s="154"/>
      <c r="B539" s="155"/>
      <c r="C539" s="155"/>
      <c r="D539" s="156" t="s">
        <v>140</v>
      </c>
      <c r="E539" s="156" t="s">
        <v>4</v>
      </c>
      <c r="F539" s="155"/>
      <c r="G539" s="157" t="n">
        <v>2</v>
      </c>
      <c r="H539" s="155"/>
      <c r="I539" s="155"/>
      <c r="J539" s="155"/>
      <c r="K539" s="146"/>
    </row>
    <row r="540">
      <c r="A540" s="154"/>
      <c r="B540" s="155"/>
      <c r="C540" s="155"/>
      <c r="D540" s="156" t="s">
        <v>3781</v>
      </c>
      <c r="E540" s="156" t="s">
        <v>4</v>
      </c>
      <c r="F540" s="155"/>
      <c r="G540" s="157" t="n">
        <v>0.2</v>
      </c>
      <c r="H540" s="155"/>
      <c r="I540" s="155"/>
      <c r="J540" s="155"/>
      <c r="K540" s="146"/>
    </row>
    <row r="541">
      <c r="A541" s="9" t="s">
        <v>1527</v>
      </c>
      <c r="B541" s="10" t="s">
        <v>87</v>
      </c>
      <c r="C541" s="10" t="s">
        <v>3783</v>
      </c>
      <c r="D541" s="14" t="s">
        <v>3784</v>
      </c>
      <c r="E541" s="10"/>
      <c r="F541" s="10" t="s">
        <v>133</v>
      </c>
      <c r="G541" s="111">
        <f>'Stavební rozpočet'!G2486</f>
      </c>
      <c r="H541" s="111">
        <f>'Stavební rozpočet'!H2486</f>
      </c>
      <c r="I541" s="111">
        <f>G541*H541</f>
      </c>
      <c r="J541" s="153" t="s">
        <v>134</v>
      </c>
      <c r="K541" s="146"/>
      <c r="Z541" s="111">
        <f>IF(AQ541="5",BJ541,0)</f>
      </c>
      <c r="AB541" s="111">
        <f>IF(AQ541="1",BH541,0)</f>
      </c>
      <c r="AC541" s="111">
        <f>IF(AQ541="1",BI541,0)</f>
      </c>
      <c r="AD541" s="111">
        <f>IF(AQ541="7",BH541,0)</f>
      </c>
      <c r="AE541" s="111">
        <f>IF(AQ541="7",BI541,0)</f>
      </c>
      <c r="AF541" s="111">
        <f>IF(AQ541="2",BH541,0)</f>
      </c>
      <c r="AG541" s="111">
        <f>IF(AQ541="2",BI541,0)</f>
      </c>
      <c r="AH541" s="111">
        <f>IF(AQ541="0",BJ541,0)</f>
      </c>
      <c r="AI541" s="132" t="s">
        <v>87</v>
      </c>
      <c r="AJ541" s="111">
        <f>IF(AN541=0,I541,0)</f>
      </c>
      <c r="AK541" s="111">
        <f>IF(AN541=12,I541,0)</f>
      </c>
      <c r="AL541" s="111">
        <f>IF(AN541=21,I541,0)</f>
      </c>
      <c r="AN541" s="111" t="n">
        <v>21</v>
      </c>
      <c r="AO541" s="111">
        <f>H541*1</f>
      </c>
      <c r="AP541" s="111">
        <f>H541*(1-1)</f>
      </c>
      <c r="AQ541" s="153" t="s">
        <v>3759</v>
      </c>
      <c r="AV541" s="111">
        <f>AW541+AX541</f>
      </c>
      <c r="AW541" s="111">
        <f>G541*AO541</f>
      </c>
      <c r="AX541" s="111">
        <f>G541*AP541</f>
      </c>
      <c r="AY541" s="153" t="s">
        <v>3760</v>
      </c>
      <c r="AZ541" s="153" t="s">
        <v>3761</v>
      </c>
      <c r="BA541" s="132" t="s">
        <v>2990</v>
      </c>
      <c r="BC541" s="111">
        <f>AW541+AX541</f>
      </c>
      <c r="BD541" s="111">
        <f>H541/(100-BE541)*100</f>
      </c>
      <c r="BE541" s="111" t="n">
        <v>0</v>
      </c>
      <c r="BF541" s="111">
        <f>541</f>
      </c>
      <c r="BH541" s="111">
        <f>G541*AO541</f>
      </c>
      <c r="BI541" s="111">
        <f>G541*AP541</f>
      </c>
      <c r="BJ541" s="111">
        <f>G541*H541</f>
      </c>
      <c r="BK541" s="111"/>
      <c r="BL541" s="111"/>
      <c r="BW541" s="111" t="n">
        <v>21</v>
      </c>
      <c r="BX541" s="14" t="s">
        <v>3784</v>
      </c>
    </row>
    <row r="542">
      <c r="A542" s="154"/>
      <c r="B542" s="155"/>
      <c r="C542" s="155"/>
      <c r="D542" s="156" t="s">
        <v>186</v>
      </c>
      <c r="E542" s="156" t="s">
        <v>4</v>
      </c>
      <c r="F542" s="155"/>
      <c r="G542" s="157" t="n">
        <v>10</v>
      </c>
      <c r="H542" s="155"/>
      <c r="I542" s="155"/>
      <c r="J542" s="155"/>
      <c r="K542" s="146"/>
    </row>
    <row r="543">
      <c r="A543" s="154"/>
      <c r="B543" s="155"/>
      <c r="C543" s="155"/>
      <c r="D543" s="156" t="s">
        <v>3785</v>
      </c>
      <c r="E543" s="156" t="s">
        <v>4</v>
      </c>
      <c r="F543" s="155"/>
      <c r="G543" s="157" t="n">
        <v>1</v>
      </c>
      <c r="H543" s="155"/>
      <c r="I543" s="155"/>
      <c r="J543" s="155"/>
      <c r="K543" s="146"/>
    </row>
    <row r="544">
      <c r="A544" s="9" t="s">
        <v>1532</v>
      </c>
      <c r="B544" s="10" t="s">
        <v>87</v>
      </c>
      <c r="C544" s="10" t="s">
        <v>3787</v>
      </c>
      <c r="D544" s="14" t="s">
        <v>3788</v>
      </c>
      <c r="E544" s="10"/>
      <c r="F544" s="10" t="s">
        <v>282</v>
      </c>
      <c r="G544" s="111">
        <f>'Stavební rozpočet'!G2489</f>
      </c>
      <c r="H544" s="111">
        <f>'Stavební rozpočet'!H2489</f>
      </c>
      <c r="I544" s="111">
        <f>G544*H544</f>
      </c>
      <c r="J544" s="153" t="s">
        <v>134</v>
      </c>
      <c r="K544" s="146"/>
      <c r="Z544" s="111">
        <f>IF(AQ544="5",BJ544,0)</f>
      </c>
      <c r="AB544" s="111">
        <f>IF(AQ544="1",BH544,0)</f>
      </c>
      <c r="AC544" s="111">
        <f>IF(AQ544="1",BI544,0)</f>
      </c>
      <c r="AD544" s="111">
        <f>IF(AQ544="7",BH544,0)</f>
      </c>
      <c r="AE544" s="111">
        <f>IF(AQ544="7",BI544,0)</f>
      </c>
      <c r="AF544" s="111">
        <f>IF(AQ544="2",BH544,0)</f>
      </c>
      <c r="AG544" s="111">
        <f>IF(AQ544="2",BI544,0)</f>
      </c>
      <c r="AH544" s="111">
        <f>IF(AQ544="0",BJ544,0)</f>
      </c>
      <c r="AI544" s="132" t="s">
        <v>87</v>
      </c>
      <c r="AJ544" s="111">
        <f>IF(AN544=0,I544,0)</f>
      </c>
      <c r="AK544" s="111">
        <f>IF(AN544=12,I544,0)</f>
      </c>
      <c r="AL544" s="111">
        <f>IF(AN544=21,I544,0)</f>
      </c>
      <c r="AN544" s="111" t="n">
        <v>21</v>
      </c>
      <c r="AO544" s="111">
        <f>H544*1</f>
      </c>
      <c r="AP544" s="111">
        <f>H544*(1-1)</f>
      </c>
      <c r="AQ544" s="153" t="s">
        <v>3759</v>
      </c>
      <c r="AV544" s="111">
        <f>AW544+AX544</f>
      </c>
      <c r="AW544" s="111">
        <f>G544*AO544</f>
      </c>
      <c r="AX544" s="111">
        <f>G544*AP544</f>
      </c>
      <c r="AY544" s="153" t="s">
        <v>3760</v>
      </c>
      <c r="AZ544" s="153" t="s">
        <v>3761</v>
      </c>
      <c r="BA544" s="132" t="s">
        <v>2990</v>
      </c>
      <c r="BC544" s="111">
        <f>AW544+AX544</f>
      </c>
      <c r="BD544" s="111">
        <f>H544/(100-BE544)*100</f>
      </c>
      <c r="BE544" s="111" t="n">
        <v>0</v>
      </c>
      <c r="BF544" s="111">
        <f>544</f>
      </c>
      <c r="BH544" s="111">
        <f>G544*AO544</f>
      </c>
      <c r="BI544" s="111">
        <f>G544*AP544</f>
      </c>
      <c r="BJ544" s="111">
        <f>G544*H544</f>
      </c>
      <c r="BK544" s="111"/>
      <c r="BL544" s="111"/>
      <c r="BW544" s="111" t="n">
        <v>21</v>
      </c>
      <c r="BX544" s="14" t="s">
        <v>3788</v>
      </c>
    </row>
    <row r="545">
      <c r="A545" s="154"/>
      <c r="B545" s="155"/>
      <c r="C545" s="155"/>
      <c r="D545" s="156" t="s">
        <v>366</v>
      </c>
      <c r="E545" s="156" t="s">
        <v>4</v>
      </c>
      <c r="F545" s="155"/>
      <c r="G545" s="157" t="n">
        <v>34</v>
      </c>
      <c r="H545" s="155"/>
      <c r="I545" s="155"/>
      <c r="J545" s="155"/>
      <c r="K545" s="146"/>
    </row>
    <row r="546">
      <c r="A546" s="154"/>
      <c r="B546" s="155"/>
      <c r="C546" s="155"/>
      <c r="D546" s="156" t="s">
        <v>3789</v>
      </c>
      <c r="E546" s="156" t="s">
        <v>4</v>
      </c>
      <c r="F546" s="155"/>
      <c r="G546" s="157" t="n">
        <v>3.4</v>
      </c>
      <c r="H546" s="155"/>
      <c r="I546" s="155"/>
      <c r="J546" s="155"/>
      <c r="K546" s="146"/>
    </row>
    <row r="547">
      <c r="A547" s="9" t="s">
        <v>1537</v>
      </c>
      <c r="B547" s="10" t="s">
        <v>87</v>
      </c>
      <c r="C547" s="10" t="s">
        <v>3791</v>
      </c>
      <c r="D547" s="14" t="s">
        <v>3792</v>
      </c>
      <c r="E547" s="10"/>
      <c r="F547" s="10" t="s">
        <v>282</v>
      </c>
      <c r="G547" s="111">
        <f>'Stavební rozpočet'!G2492</f>
      </c>
      <c r="H547" s="111">
        <f>'Stavební rozpočet'!H2492</f>
      </c>
      <c r="I547" s="111">
        <f>G547*H547</f>
      </c>
      <c r="J547" s="153" t="s">
        <v>134</v>
      </c>
      <c r="K547" s="146"/>
      <c r="Z547" s="111">
        <f>IF(AQ547="5",BJ547,0)</f>
      </c>
      <c r="AB547" s="111">
        <f>IF(AQ547="1",BH547,0)</f>
      </c>
      <c r="AC547" s="111">
        <f>IF(AQ547="1",BI547,0)</f>
      </c>
      <c r="AD547" s="111">
        <f>IF(AQ547="7",BH547,0)</f>
      </c>
      <c r="AE547" s="111">
        <f>IF(AQ547="7",BI547,0)</f>
      </c>
      <c r="AF547" s="111">
        <f>IF(AQ547="2",BH547,0)</f>
      </c>
      <c r="AG547" s="111">
        <f>IF(AQ547="2",BI547,0)</f>
      </c>
      <c r="AH547" s="111">
        <f>IF(AQ547="0",BJ547,0)</f>
      </c>
      <c r="AI547" s="132" t="s">
        <v>87</v>
      </c>
      <c r="AJ547" s="111">
        <f>IF(AN547=0,I547,0)</f>
      </c>
      <c r="AK547" s="111">
        <f>IF(AN547=12,I547,0)</f>
      </c>
      <c r="AL547" s="111">
        <f>IF(AN547=21,I547,0)</f>
      </c>
      <c r="AN547" s="111" t="n">
        <v>21</v>
      </c>
      <c r="AO547" s="111">
        <f>H547*1</f>
      </c>
      <c r="AP547" s="111">
        <f>H547*(1-1)</f>
      </c>
      <c r="AQ547" s="153" t="s">
        <v>3759</v>
      </c>
      <c r="AV547" s="111">
        <f>AW547+AX547</f>
      </c>
      <c r="AW547" s="111">
        <f>G547*AO547</f>
      </c>
      <c r="AX547" s="111">
        <f>G547*AP547</f>
      </c>
      <c r="AY547" s="153" t="s">
        <v>3760</v>
      </c>
      <c r="AZ547" s="153" t="s">
        <v>3761</v>
      </c>
      <c r="BA547" s="132" t="s">
        <v>2990</v>
      </c>
      <c r="BC547" s="111">
        <f>AW547+AX547</f>
      </c>
      <c r="BD547" s="111">
        <f>H547/(100-BE547)*100</f>
      </c>
      <c r="BE547" s="111" t="n">
        <v>0</v>
      </c>
      <c r="BF547" s="111">
        <f>547</f>
      </c>
      <c r="BH547" s="111">
        <f>G547*AO547</f>
      </c>
      <c r="BI547" s="111">
        <f>G547*AP547</f>
      </c>
      <c r="BJ547" s="111">
        <f>G547*H547</f>
      </c>
      <c r="BK547" s="111"/>
      <c r="BL547" s="111"/>
      <c r="BW547" s="111" t="n">
        <v>21</v>
      </c>
      <c r="BX547" s="14" t="s">
        <v>3792</v>
      </c>
    </row>
    <row r="548">
      <c r="A548" s="154"/>
      <c r="B548" s="155"/>
      <c r="C548" s="155"/>
      <c r="D548" s="156" t="s">
        <v>310</v>
      </c>
      <c r="E548" s="156" t="s">
        <v>4</v>
      </c>
      <c r="F548" s="155"/>
      <c r="G548" s="157" t="n">
        <v>26</v>
      </c>
      <c r="H548" s="155"/>
      <c r="I548" s="155"/>
      <c r="J548" s="155"/>
      <c r="K548" s="146"/>
    </row>
    <row r="549">
      <c r="A549" s="154"/>
      <c r="B549" s="155"/>
      <c r="C549" s="155"/>
      <c r="D549" s="156" t="s">
        <v>3793</v>
      </c>
      <c r="E549" s="156" t="s">
        <v>4</v>
      </c>
      <c r="F549" s="155"/>
      <c r="G549" s="157" t="n">
        <v>2.6</v>
      </c>
      <c r="H549" s="155"/>
      <c r="I549" s="155"/>
      <c r="J549" s="155"/>
      <c r="K549" s="146"/>
    </row>
    <row r="550">
      <c r="A550" s="9" t="s">
        <v>1543</v>
      </c>
      <c r="B550" s="10" t="s">
        <v>87</v>
      </c>
      <c r="C550" s="10" t="s">
        <v>3795</v>
      </c>
      <c r="D550" s="14" t="s">
        <v>3796</v>
      </c>
      <c r="E550" s="10"/>
      <c r="F550" s="10" t="s">
        <v>133</v>
      </c>
      <c r="G550" s="111">
        <f>'Stavební rozpočet'!G2495</f>
      </c>
      <c r="H550" s="111">
        <f>'Stavební rozpočet'!H2495</f>
      </c>
      <c r="I550" s="111">
        <f>G550*H550</f>
      </c>
      <c r="J550" s="153" t="s">
        <v>134</v>
      </c>
      <c r="K550" s="146"/>
      <c r="Z550" s="111">
        <f>IF(AQ550="5",BJ550,0)</f>
      </c>
      <c r="AB550" s="111">
        <f>IF(AQ550="1",BH550,0)</f>
      </c>
      <c r="AC550" s="111">
        <f>IF(AQ550="1",BI550,0)</f>
      </c>
      <c r="AD550" s="111">
        <f>IF(AQ550="7",BH550,0)</f>
      </c>
      <c r="AE550" s="111">
        <f>IF(AQ550="7",BI550,0)</f>
      </c>
      <c r="AF550" s="111">
        <f>IF(AQ550="2",BH550,0)</f>
      </c>
      <c r="AG550" s="111">
        <f>IF(AQ550="2",BI550,0)</f>
      </c>
      <c r="AH550" s="111">
        <f>IF(AQ550="0",BJ550,0)</f>
      </c>
      <c r="AI550" s="132" t="s">
        <v>87</v>
      </c>
      <c r="AJ550" s="111">
        <f>IF(AN550=0,I550,0)</f>
      </c>
      <c r="AK550" s="111">
        <f>IF(AN550=12,I550,0)</f>
      </c>
      <c r="AL550" s="111">
        <f>IF(AN550=21,I550,0)</f>
      </c>
      <c r="AN550" s="111" t="n">
        <v>21</v>
      </c>
      <c r="AO550" s="111">
        <f>H550*1</f>
      </c>
      <c r="AP550" s="111">
        <f>H550*(1-1)</f>
      </c>
      <c r="AQ550" s="153" t="s">
        <v>3759</v>
      </c>
      <c r="AV550" s="111">
        <f>AW550+AX550</f>
      </c>
      <c r="AW550" s="111">
        <f>G550*AO550</f>
      </c>
      <c r="AX550" s="111">
        <f>G550*AP550</f>
      </c>
      <c r="AY550" s="153" t="s">
        <v>3760</v>
      </c>
      <c r="AZ550" s="153" t="s">
        <v>3761</v>
      </c>
      <c r="BA550" s="132" t="s">
        <v>2990</v>
      </c>
      <c r="BC550" s="111">
        <f>AW550+AX550</f>
      </c>
      <c r="BD550" s="111">
        <f>H550/(100-BE550)*100</f>
      </c>
      <c r="BE550" s="111" t="n">
        <v>0</v>
      </c>
      <c r="BF550" s="111">
        <f>550</f>
      </c>
      <c r="BH550" s="111">
        <f>G550*AO550</f>
      </c>
      <c r="BI550" s="111">
        <f>G550*AP550</f>
      </c>
      <c r="BJ550" s="111">
        <f>G550*H550</f>
      </c>
      <c r="BK550" s="111"/>
      <c r="BL550" s="111"/>
      <c r="BW550" s="111" t="n">
        <v>21</v>
      </c>
      <c r="BX550" s="14" t="s">
        <v>3796</v>
      </c>
    </row>
    <row r="551">
      <c r="A551" s="154"/>
      <c r="B551" s="155"/>
      <c r="C551" s="155"/>
      <c r="D551" s="156" t="s">
        <v>140</v>
      </c>
      <c r="E551" s="156" t="s">
        <v>4</v>
      </c>
      <c r="F551" s="155"/>
      <c r="G551" s="157" t="n">
        <v>2</v>
      </c>
      <c r="H551" s="155"/>
      <c r="I551" s="155"/>
      <c r="J551" s="155"/>
      <c r="K551" s="146"/>
    </row>
    <row r="552">
      <c r="A552" s="9" t="s">
        <v>1547</v>
      </c>
      <c r="B552" s="10" t="s">
        <v>87</v>
      </c>
      <c r="C552" s="10" t="s">
        <v>3798</v>
      </c>
      <c r="D552" s="14" t="s">
        <v>3799</v>
      </c>
      <c r="E552" s="10"/>
      <c r="F552" s="10" t="s">
        <v>133</v>
      </c>
      <c r="G552" s="111">
        <f>'Stavební rozpočet'!G2497</f>
      </c>
      <c r="H552" s="111">
        <f>'Stavební rozpočet'!H2497</f>
      </c>
      <c r="I552" s="111">
        <f>G552*H552</f>
      </c>
      <c r="J552" s="153" t="s">
        <v>134</v>
      </c>
      <c r="K552" s="146"/>
      <c r="Z552" s="111">
        <f>IF(AQ552="5",BJ552,0)</f>
      </c>
      <c r="AB552" s="111">
        <f>IF(AQ552="1",BH552,0)</f>
      </c>
      <c r="AC552" s="111">
        <f>IF(AQ552="1",BI552,0)</f>
      </c>
      <c r="AD552" s="111">
        <f>IF(AQ552="7",BH552,0)</f>
      </c>
      <c r="AE552" s="111">
        <f>IF(AQ552="7",BI552,0)</f>
      </c>
      <c r="AF552" s="111">
        <f>IF(AQ552="2",BH552,0)</f>
      </c>
      <c r="AG552" s="111">
        <f>IF(AQ552="2",BI552,0)</f>
      </c>
      <c r="AH552" s="111">
        <f>IF(AQ552="0",BJ552,0)</f>
      </c>
      <c r="AI552" s="132" t="s">
        <v>87</v>
      </c>
      <c r="AJ552" s="111">
        <f>IF(AN552=0,I552,0)</f>
      </c>
      <c r="AK552" s="111">
        <f>IF(AN552=12,I552,0)</f>
      </c>
      <c r="AL552" s="111">
        <f>IF(AN552=21,I552,0)</f>
      </c>
      <c r="AN552" s="111" t="n">
        <v>21</v>
      </c>
      <c r="AO552" s="111">
        <f>H552*1</f>
      </c>
      <c r="AP552" s="111">
        <f>H552*(1-1)</f>
      </c>
      <c r="AQ552" s="153" t="s">
        <v>3759</v>
      </c>
      <c r="AV552" s="111">
        <f>AW552+AX552</f>
      </c>
      <c r="AW552" s="111">
        <f>G552*AO552</f>
      </c>
      <c r="AX552" s="111">
        <f>G552*AP552</f>
      </c>
      <c r="AY552" s="153" t="s">
        <v>3760</v>
      </c>
      <c r="AZ552" s="153" t="s">
        <v>3761</v>
      </c>
      <c r="BA552" s="132" t="s">
        <v>2990</v>
      </c>
      <c r="BC552" s="111">
        <f>AW552+AX552</f>
      </c>
      <c r="BD552" s="111">
        <f>H552/(100-BE552)*100</f>
      </c>
      <c r="BE552" s="111" t="n">
        <v>0</v>
      </c>
      <c r="BF552" s="111">
        <f>552</f>
      </c>
      <c r="BH552" s="111">
        <f>G552*AO552</f>
      </c>
      <c r="BI552" s="111">
        <f>G552*AP552</f>
      </c>
      <c r="BJ552" s="111">
        <f>G552*H552</f>
      </c>
      <c r="BK552" s="111"/>
      <c r="BL552" s="111"/>
      <c r="BW552" s="111" t="n">
        <v>21</v>
      </c>
      <c r="BX552" s="14" t="s">
        <v>3799</v>
      </c>
    </row>
    <row r="553">
      <c r="A553" s="154"/>
      <c r="B553" s="155"/>
      <c r="C553" s="155"/>
      <c r="D553" s="156" t="s">
        <v>130</v>
      </c>
      <c r="E553" s="156" t="s">
        <v>4</v>
      </c>
      <c r="F553" s="155"/>
      <c r="G553" s="157" t="n">
        <v>1</v>
      </c>
      <c r="H553" s="155"/>
      <c r="I553" s="155"/>
      <c r="J553" s="155"/>
      <c r="K553" s="146"/>
    </row>
    <row r="554">
      <c r="A554" s="9" t="s">
        <v>1553</v>
      </c>
      <c r="B554" s="10" t="s">
        <v>87</v>
      </c>
      <c r="C554" s="10" t="s">
        <v>3801</v>
      </c>
      <c r="D554" s="14" t="s">
        <v>3802</v>
      </c>
      <c r="E554" s="10"/>
      <c r="F554" s="10" t="s">
        <v>133</v>
      </c>
      <c r="G554" s="111">
        <f>'Stavební rozpočet'!G2499</f>
      </c>
      <c r="H554" s="111">
        <f>'Stavební rozpočet'!H2499</f>
      </c>
      <c r="I554" s="111">
        <f>G554*H554</f>
      </c>
      <c r="J554" s="153" t="s">
        <v>134</v>
      </c>
      <c r="K554" s="146"/>
      <c r="Z554" s="111">
        <f>IF(AQ554="5",BJ554,0)</f>
      </c>
      <c r="AB554" s="111">
        <f>IF(AQ554="1",BH554,0)</f>
      </c>
      <c r="AC554" s="111">
        <f>IF(AQ554="1",BI554,0)</f>
      </c>
      <c r="AD554" s="111">
        <f>IF(AQ554="7",BH554,0)</f>
      </c>
      <c r="AE554" s="111">
        <f>IF(AQ554="7",BI554,0)</f>
      </c>
      <c r="AF554" s="111">
        <f>IF(AQ554="2",BH554,0)</f>
      </c>
      <c r="AG554" s="111">
        <f>IF(AQ554="2",BI554,0)</f>
      </c>
      <c r="AH554" s="111">
        <f>IF(AQ554="0",BJ554,0)</f>
      </c>
      <c r="AI554" s="132" t="s">
        <v>87</v>
      </c>
      <c r="AJ554" s="111">
        <f>IF(AN554=0,I554,0)</f>
      </c>
      <c r="AK554" s="111">
        <f>IF(AN554=12,I554,0)</f>
      </c>
      <c r="AL554" s="111">
        <f>IF(AN554=21,I554,0)</f>
      </c>
      <c r="AN554" s="111" t="n">
        <v>21</v>
      </c>
      <c r="AO554" s="111">
        <f>H554*1</f>
      </c>
      <c r="AP554" s="111">
        <f>H554*(1-1)</f>
      </c>
      <c r="AQ554" s="153" t="s">
        <v>3759</v>
      </c>
      <c r="AV554" s="111">
        <f>AW554+AX554</f>
      </c>
      <c r="AW554" s="111">
        <f>G554*AO554</f>
      </c>
      <c r="AX554" s="111">
        <f>G554*AP554</f>
      </c>
      <c r="AY554" s="153" t="s">
        <v>3760</v>
      </c>
      <c r="AZ554" s="153" t="s">
        <v>3761</v>
      </c>
      <c r="BA554" s="132" t="s">
        <v>2990</v>
      </c>
      <c r="BC554" s="111">
        <f>AW554+AX554</f>
      </c>
      <c r="BD554" s="111">
        <f>H554/(100-BE554)*100</f>
      </c>
      <c r="BE554" s="111" t="n">
        <v>0</v>
      </c>
      <c r="BF554" s="111">
        <f>554</f>
      </c>
      <c r="BH554" s="111">
        <f>G554*AO554</f>
      </c>
      <c r="BI554" s="111">
        <f>G554*AP554</f>
      </c>
      <c r="BJ554" s="111">
        <f>G554*H554</f>
      </c>
      <c r="BK554" s="111"/>
      <c r="BL554" s="111"/>
      <c r="BW554" s="111" t="n">
        <v>21</v>
      </c>
      <c r="BX554" s="14" t="s">
        <v>3802</v>
      </c>
    </row>
    <row r="555">
      <c r="A555" s="154"/>
      <c r="B555" s="155"/>
      <c r="C555" s="155"/>
      <c r="D555" s="156" t="s">
        <v>140</v>
      </c>
      <c r="E555" s="156" t="s">
        <v>4</v>
      </c>
      <c r="F555" s="155"/>
      <c r="G555" s="157" t="n">
        <v>2</v>
      </c>
      <c r="H555" s="155"/>
      <c r="I555" s="155"/>
      <c r="J555" s="155"/>
      <c r="K555" s="146"/>
    </row>
    <row r="556">
      <c r="A556" s="9" t="s">
        <v>1568</v>
      </c>
      <c r="B556" s="10" t="s">
        <v>87</v>
      </c>
      <c r="C556" s="10" t="s">
        <v>3804</v>
      </c>
      <c r="D556" s="14" t="s">
        <v>3805</v>
      </c>
      <c r="E556" s="10"/>
      <c r="F556" s="10" t="s">
        <v>133</v>
      </c>
      <c r="G556" s="111">
        <f>'Stavební rozpočet'!G2501</f>
      </c>
      <c r="H556" s="111">
        <f>'Stavební rozpočet'!H2501</f>
      </c>
      <c r="I556" s="111">
        <f>G556*H556</f>
      </c>
      <c r="J556" s="153" t="s">
        <v>134</v>
      </c>
      <c r="K556" s="146"/>
      <c r="Z556" s="111">
        <f>IF(AQ556="5",BJ556,0)</f>
      </c>
      <c r="AB556" s="111">
        <f>IF(AQ556="1",BH556,0)</f>
      </c>
      <c r="AC556" s="111">
        <f>IF(AQ556="1",BI556,0)</f>
      </c>
      <c r="AD556" s="111">
        <f>IF(AQ556="7",BH556,0)</f>
      </c>
      <c r="AE556" s="111">
        <f>IF(AQ556="7",BI556,0)</f>
      </c>
      <c r="AF556" s="111">
        <f>IF(AQ556="2",BH556,0)</f>
      </c>
      <c r="AG556" s="111">
        <f>IF(AQ556="2",BI556,0)</f>
      </c>
      <c r="AH556" s="111">
        <f>IF(AQ556="0",BJ556,0)</f>
      </c>
      <c r="AI556" s="132" t="s">
        <v>87</v>
      </c>
      <c r="AJ556" s="111">
        <f>IF(AN556=0,I556,0)</f>
      </c>
      <c r="AK556" s="111">
        <f>IF(AN556=12,I556,0)</f>
      </c>
      <c r="AL556" s="111">
        <f>IF(AN556=21,I556,0)</f>
      </c>
      <c r="AN556" s="111" t="n">
        <v>21</v>
      </c>
      <c r="AO556" s="111">
        <f>H556*1</f>
      </c>
      <c r="AP556" s="111">
        <f>H556*(1-1)</f>
      </c>
      <c r="AQ556" s="153" t="s">
        <v>3759</v>
      </c>
      <c r="AV556" s="111">
        <f>AW556+AX556</f>
      </c>
      <c r="AW556" s="111">
        <f>G556*AO556</f>
      </c>
      <c r="AX556" s="111">
        <f>G556*AP556</f>
      </c>
      <c r="AY556" s="153" t="s">
        <v>3760</v>
      </c>
      <c r="AZ556" s="153" t="s">
        <v>3761</v>
      </c>
      <c r="BA556" s="132" t="s">
        <v>2990</v>
      </c>
      <c r="BC556" s="111">
        <f>AW556+AX556</f>
      </c>
      <c r="BD556" s="111">
        <f>H556/(100-BE556)*100</f>
      </c>
      <c r="BE556" s="111" t="n">
        <v>0</v>
      </c>
      <c r="BF556" s="111">
        <f>556</f>
      </c>
      <c r="BH556" s="111">
        <f>G556*AO556</f>
      </c>
      <c r="BI556" s="111">
        <f>G556*AP556</f>
      </c>
      <c r="BJ556" s="111">
        <f>G556*H556</f>
      </c>
      <c r="BK556" s="111"/>
      <c r="BL556" s="111"/>
      <c r="BW556" s="111" t="n">
        <v>21</v>
      </c>
      <c r="BX556" s="14" t="s">
        <v>3805</v>
      </c>
    </row>
    <row r="557">
      <c r="A557" s="154"/>
      <c r="B557" s="155"/>
      <c r="C557" s="155"/>
      <c r="D557" s="156" t="s">
        <v>140</v>
      </c>
      <c r="E557" s="156" t="s">
        <v>4</v>
      </c>
      <c r="F557" s="155"/>
      <c r="G557" s="157" t="n">
        <v>2</v>
      </c>
      <c r="H557" s="155"/>
      <c r="I557" s="155"/>
      <c r="J557" s="155"/>
      <c r="K557" s="146"/>
    </row>
    <row r="558">
      <c r="A558" s="9" t="s">
        <v>1573</v>
      </c>
      <c r="B558" s="10" t="s">
        <v>87</v>
      </c>
      <c r="C558" s="10" t="s">
        <v>3807</v>
      </c>
      <c r="D558" s="14" t="s">
        <v>3808</v>
      </c>
      <c r="E558" s="10"/>
      <c r="F558" s="10" t="s">
        <v>133</v>
      </c>
      <c r="G558" s="111">
        <f>'Stavební rozpočet'!G2503</f>
      </c>
      <c r="H558" s="111">
        <f>'Stavební rozpočet'!H2503</f>
      </c>
      <c r="I558" s="111">
        <f>G558*H558</f>
      </c>
      <c r="J558" s="153" t="s">
        <v>134</v>
      </c>
      <c r="K558" s="146"/>
      <c r="Z558" s="111">
        <f>IF(AQ558="5",BJ558,0)</f>
      </c>
      <c r="AB558" s="111">
        <f>IF(AQ558="1",BH558,0)</f>
      </c>
      <c r="AC558" s="111">
        <f>IF(AQ558="1",BI558,0)</f>
      </c>
      <c r="AD558" s="111">
        <f>IF(AQ558="7",BH558,0)</f>
      </c>
      <c r="AE558" s="111">
        <f>IF(AQ558="7",BI558,0)</f>
      </c>
      <c r="AF558" s="111">
        <f>IF(AQ558="2",BH558,0)</f>
      </c>
      <c r="AG558" s="111">
        <f>IF(AQ558="2",BI558,0)</f>
      </c>
      <c r="AH558" s="111">
        <f>IF(AQ558="0",BJ558,0)</f>
      </c>
      <c r="AI558" s="132" t="s">
        <v>87</v>
      </c>
      <c r="AJ558" s="111">
        <f>IF(AN558=0,I558,0)</f>
      </c>
      <c r="AK558" s="111">
        <f>IF(AN558=12,I558,0)</f>
      </c>
      <c r="AL558" s="111">
        <f>IF(AN558=21,I558,0)</f>
      </c>
      <c r="AN558" s="111" t="n">
        <v>21</v>
      </c>
      <c r="AO558" s="111">
        <f>H558*1</f>
      </c>
      <c r="AP558" s="111">
        <f>H558*(1-1)</f>
      </c>
      <c r="AQ558" s="153" t="s">
        <v>3759</v>
      </c>
      <c r="AV558" s="111">
        <f>AW558+AX558</f>
      </c>
      <c r="AW558" s="111">
        <f>G558*AO558</f>
      </c>
      <c r="AX558" s="111">
        <f>G558*AP558</f>
      </c>
      <c r="AY558" s="153" t="s">
        <v>3760</v>
      </c>
      <c r="AZ558" s="153" t="s">
        <v>3761</v>
      </c>
      <c r="BA558" s="132" t="s">
        <v>2990</v>
      </c>
      <c r="BC558" s="111">
        <f>AW558+AX558</f>
      </c>
      <c r="BD558" s="111">
        <f>H558/(100-BE558)*100</f>
      </c>
      <c r="BE558" s="111" t="n">
        <v>0</v>
      </c>
      <c r="BF558" s="111">
        <f>558</f>
      </c>
      <c r="BH558" s="111">
        <f>G558*AO558</f>
      </c>
      <c r="BI558" s="111">
        <f>G558*AP558</f>
      </c>
      <c r="BJ558" s="111">
        <f>G558*H558</f>
      </c>
      <c r="BK558" s="111"/>
      <c r="BL558" s="111"/>
      <c r="BW558" s="111" t="n">
        <v>21</v>
      </c>
      <c r="BX558" s="14" t="s">
        <v>3808</v>
      </c>
    </row>
    <row r="559">
      <c r="A559" s="154"/>
      <c r="B559" s="155"/>
      <c r="C559" s="155"/>
      <c r="D559" s="156" t="s">
        <v>140</v>
      </c>
      <c r="E559" s="156" t="s">
        <v>4</v>
      </c>
      <c r="F559" s="155"/>
      <c r="G559" s="157" t="n">
        <v>2</v>
      </c>
      <c r="H559" s="155"/>
      <c r="I559" s="155"/>
      <c r="J559" s="155"/>
      <c r="K559" s="146"/>
    </row>
    <row r="560">
      <c r="A560" s="9" t="s">
        <v>1577</v>
      </c>
      <c r="B560" s="10" t="s">
        <v>87</v>
      </c>
      <c r="C560" s="10" t="s">
        <v>3810</v>
      </c>
      <c r="D560" s="14" t="s">
        <v>3811</v>
      </c>
      <c r="E560" s="10"/>
      <c r="F560" s="10" t="s">
        <v>133</v>
      </c>
      <c r="G560" s="111">
        <f>'Stavební rozpočet'!G2505</f>
      </c>
      <c r="H560" s="111">
        <f>'Stavební rozpočet'!H2505</f>
      </c>
      <c r="I560" s="111">
        <f>G560*H560</f>
      </c>
      <c r="J560" s="153" t="s">
        <v>134</v>
      </c>
      <c r="K560" s="146"/>
      <c r="Z560" s="111">
        <f>IF(AQ560="5",BJ560,0)</f>
      </c>
      <c r="AB560" s="111">
        <f>IF(AQ560="1",BH560,0)</f>
      </c>
      <c r="AC560" s="111">
        <f>IF(AQ560="1",BI560,0)</f>
      </c>
      <c r="AD560" s="111">
        <f>IF(AQ560="7",BH560,0)</f>
      </c>
      <c r="AE560" s="111">
        <f>IF(AQ560="7",BI560,0)</f>
      </c>
      <c r="AF560" s="111">
        <f>IF(AQ560="2",BH560,0)</f>
      </c>
      <c r="AG560" s="111">
        <f>IF(AQ560="2",BI560,0)</f>
      </c>
      <c r="AH560" s="111">
        <f>IF(AQ560="0",BJ560,0)</f>
      </c>
      <c r="AI560" s="132" t="s">
        <v>87</v>
      </c>
      <c r="AJ560" s="111">
        <f>IF(AN560=0,I560,0)</f>
      </c>
      <c r="AK560" s="111">
        <f>IF(AN560=12,I560,0)</f>
      </c>
      <c r="AL560" s="111">
        <f>IF(AN560=21,I560,0)</f>
      </c>
      <c r="AN560" s="111" t="n">
        <v>21</v>
      </c>
      <c r="AO560" s="111">
        <f>H560*1</f>
      </c>
      <c r="AP560" s="111">
        <f>H560*(1-1)</f>
      </c>
      <c r="AQ560" s="153" t="s">
        <v>3759</v>
      </c>
      <c r="AV560" s="111">
        <f>AW560+AX560</f>
      </c>
      <c r="AW560" s="111">
        <f>G560*AO560</f>
      </c>
      <c r="AX560" s="111">
        <f>G560*AP560</f>
      </c>
      <c r="AY560" s="153" t="s">
        <v>3760</v>
      </c>
      <c r="AZ560" s="153" t="s">
        <v>3761</v>
      </c>
      <c r="BA560" s="132" t="s">
        <v>2990</v>
      </c>
      <c r="BC560" s="111">
        <f>AW560+AX560</f>
      </c>
      <c r="BD560" s="111">
        <f>H560/(100-BE560)*100</f>
      </c>
      <c r="BE560" s="111" t="n">
        <v>0</v>
      </c>
      <c r="BF560" s="111">
        <f>560</f>
      </c>
      <c r="BH560" s="111">
        <f>G560*AO560</f>
      </c>
      <c r="BI560" s="111">
        <f>G560*AP560</f>
      </c>
      <c r="BJ560" s="111">
        <f>G560*H560</f>
      </c>
      <c r="BK560" s="111"/>
      <c r="BL560" s="111"/>
      <c r="BW560" s="111" t="n">
        <v>21</v>
      </c>
      <c r="BX560" s="14" t="s">
        <v>3811</v>
      </c>
    </row>
    <row r="561">
      <c r="A561" s="154"/>
      <c r="B561" s="155"/>
      <c r="C561" s="155"/>
      <c r="D561" s="156" t="s">
        <v>140</v>
      </c>
      <c r="E561" s="156" t="s">
        <v>4</v>
      </c>
      <c r="F561" s="155"/>
      <c r="G561" s="157" t="n">
        <v>2</v>
      </c>
      <c r="H561" s="155"/>
      <c r="I561" s="155"/>
      <c r="J561" s="155"/>
      <c r="K561" s="146"/>
    </row>
    <row r="562">
      <c r="A562" s="9" t="s">
        <v>1580</v>
      </c>
      <c r="B562" s="10" t="s">
        <v>87</v>
      </c>
      <c r="C562" s="10" t="s">
        <v>3813</v>
      </c>
      <c r="D562" s="14" t="s">
        <v>3814</v>
      </c>
      <c r="E562" s="10"/>
      <c r="F562" s="10" t="s">
        <v>133</v>
      </c>
      <c r="G562" s="111">
        <f>'Stavební rozpočet'!G2507</f>
      </c>
      <c r="H562" s="111">
        <f>'Stavební rozpočet'!H2507</f>
      </c>
      <c r="I562" s="111">
        <f>G562*H562</f>
      </c>
      <c r="J562" s="153" t="s">
        <v>134</v>
      </c>
      <c r="K562" s="146"/>
      <c r="Z562" s="111">
        <f>IF(AQ562="5",BJ562,0)</f>
      </c>
      <c r="AB562" s="111">
        <f>IF(AQ562="1",BH562,0)</f>
      </c>
      <c r="AC562" s="111">
        <f>IF(AQ562="1",BI562,0)</f>
      </c>
      <c r="AD562" s="111">
        <f>IF(AQ562="7",BH562,0)</f>
      </c>
      <c r="AE562" s="111">
        <f>IF(AQ562="7",BI562,0)</f>
      </c>
      <c r="AF562" s="111">
        <f>IF(AQ562="2",BH562,0)</f>
      </c>
      <c r="AG562" s="111">
        <f>IF(AQ562="2",BI562,0)</f>
      </c>
      <c r="AH562" s="111">
        <f>IF(AQ562="0",BJ562,0)</f>
      </c>
      <c r="AI562" s="132" t="s">
        <v>87</v>
      </c>
      <c r="AJ562" s="111">
        <f>IF(AN562=0,I562,0)</f>
      </c>
      <c r="AK562" s="111">
        <f>IF(AN562=12,I562,0)</f>
      </c>
      <c r="AL562" s="111">
        <f>IF(AN562=21,I562,0)</f>
      </c>
      <c r="AN562" s="111" t="n">
        <v>21</v>
      </c>
      <c r="AO562" s="111">
        <f>H562*1</f>
      </c>
      <c r="AP562" s="111">
        <f>H562*(1-1)</f>
      </c>
      <c r="AQ562" s="153" t="s">
        <v>3759</v>
      </c>
      <c r="AV562" s="111">
        <f>AW562+AX562</f>
      </c>
      <c r="AW562" s="111">
        <f>G562*AO562</f>
      </c>
      <c r="AX562" s="111">
        <f>G562*AP562</f>
      </c>
      <c r="AY562" s="153" t="s">
        <v>3760</v>
      </c>
      <c r="AZ562" s="153" t="s">
        <v>3761</v>
      </c>
      <c r="BA562" s="132" t="s">
        <v>2990</v>
      </c>
      <c r="BC562" s="111">
        <f>AW562+AX562</f>
      </c>
      <c r="BD562" s="111">
        <f>H562/(100-BE562)*100</f>
      </c>
      <c r="BE562" s="111" t="n">
        <v>0</v>
      </c>
      <c r="BF562" s="111">
        <f>562</f>
      </c>
      <c r="BH562" s="111">
        <f>G562*AO562</f>
      </c>
      <c r="BI562" s="111">
        <f>G562*AP562</f>
      </c>
      <c r="BJ562" s="111">
        <f>G562*H562</f>
      </c>
      <c r="BK562" s="111"/>
      <c r="BL562" s="111"/>
      <c r="BW562" s="111" t="n">
        <v>21</v>
      </c>
      <c r="BX562" s="14" t="s">
        <v>3814</v>
      </c>
    </row>
    <row r="563">
      <c r="A563" s="154"/>
      <c r="B563" s="155"/>
      <c r="C563" s="155"/>
      <c r="D563" s="156" t="s">
        <v>130</v>
      </c>
      <c r="E563" s="156" t="s">
        <v>4</v>
      </c>
      <c r="F563" s="155"/>
      <c r="G563" s="157" t="n">
        <v>1</v>
      </c>
      <c r="H563" s="155"/>
      <c r="I563" s="155"/>
      <c r="J563" s="155"/>
      <c r="K563" s="146"/>
    </row>
    <row r="564">
      <c r="A564" s="9" t="s">
        <v>1584</v>
      </c>
      <c r="B564" s="10" t="s">
        <v>87</v>
      </c>
      <c r="C564" s="10" t="s">
        <v>3816</v>
      </c>
      <c r="D564" s="14" t="s">
        <v>3817</v>
      </c>
      <c r="E564" s="10"/>
      <c r="F564" s="10" t="s">
        <v>133</v>
      </c>
      <c r="G564" s="111">
        <f>'Stavební rozpočet'!G2509</f>
      </c>
      <c r="H564" s="111">
        <f>'Stavební rozpočet'!H2509</f>
      </c>
      <c r="I564" s="111">
        <f>G564*H564</f>
      </c>
      <c r="J564" s="153" t="s">
        <v>134</v>
      </c>
      <c r="K564" s="146"/>
      <c r="Z564" s="111">
        <f>IF(AQ564="5",BJ564,0)</f>
      </c>
      <c r="AB564" s="111">
        <f>IF(AQ564="1",BH564,0)</f>
      </c>
      <c r="AC564" s="111">
        <f>IF(AQ564="1",BI564,0)</f>
      </c>
      <c r="AD564" s="111">
        <f>IF(AQ564="7",BH564,0)</f>
      </c>
      <c r="AE564" s="111">
        <f>IF(AQ564="7",BI564,0)</f>
      </c>
      <c r="AF564" s="111">
        <f>IF(AQ564="2",BH564,0)</f>
      </c>
      <c r="AG564" s="111">
        <f>IF(AQ564="2",BI564,0)</f>
      </c>
      <c r="AH564" s="111">
        <f>IF(AQ564="0",BJ564,0)</f>
      </c>
      <c r="AI564" s="132" t="s">
        <v>87</v>
      </c>
      <c r="AJ564" s="111">
        <f>IF(AN564=0,I564,0)</f>
      </c>
      <c r="AK564" s="111">
        <f>IF(AN564=12,I564,0)</f>
      </c>
      <c r="AL564" s="111">
        <f>IF(AN564=21,I564,0)</f>
      </c>
      <c r="AN564" s="111" t="n">
        <v>21</v>
      </c>
      <c r="AO564" s="111">
        <f>H564*1</f>
      </c>
      <c r="AP564" s="111">
        <f>H564*(1-1)</f>
      </c>
      <c r="AQ564" s="153" t="s">
        <v>3759</v>
      </c>
      <c r="AV564" s="111">
        <f>AW564+AX564</f>
      </c>
      <c r="AW564" s="111">
        <f>G564*AO564</f>
      </c>
      <c r="AX564" s="111">
        <f>G564*AP564</f>
      </c>
      <c r="AY564" s="153" t="s">
        <v>3760</v>
      </c>
      <c r="AZ564" s="153" t="s">
        <v>3761</v>
      </c>
      <c r="BA564" s="132" t="s">
        <v>2990</v>
      </c>
      <c r="BC564" s="111">
        <f>AW564+AX564</f>
      </c>
      <c r="BD564" s="111">
        <f>H564/(100-BE564)*100</f>
      </c>
      <c r="BE564" s="111" t="n">
        <v>0</v>
      </c>
      <c r="BF564" s="111">
        <f>564</f>
      </c>
      <c r="BH564" s="111">
        <f>G564*AO564</f>
      </c>
      <c r="BI564" s="111">
        <f>G564*AP564</f>
      </c>
      <c r="BJ564" s="111">
        <f>G564*H564</f>
      </c>
      <c r="BK564" s="111"/>
      <c r="BL564" s="111"/>
      <c r="BW564" s="111" t="n">
        <v>21</v>
      </c>
      <c r="BX564" s="14" t="s">
        <v>3817</v>
      </c>
    </row>
    <row r="565">
      <c r="A565" s="154"/>
      <c r="B565" s="155"/>
      <c r="C565" s="155"/>
      <c r="D565" s="156" t="s">
        <v>149</v>
      </c>
      <c r="E565" s="156" t="s">
        <v>4</v>
      </c>
      <c r="F565" s="155"/>
      <c r="G565" s="157" t="n">
        <v>4</v>
      </c>
      <c r="H565" s="155"/>
      <c r="I565" s="155"/>
      <c r="J565" s="155"/>
      <c r="K565" s="146"/>
    </row>
    <row r="566">
      <c r="A566" s="9" t="s">
        <v>1587</v>
      </c>
      <c r="B566" s="10" t="s">
        <v>87</v>
      </c>
      <c r="C566" s="10" t="s">
        <v>3819</v>
      </c>
      <c r="D566" s="14" t="s">
        <v>3820</v>
      </c>
      <c r="E566" s="10"/>
      <c r="F566" s="10" t="s">
        <v>133</v>
      </c>
      <c r="G566" s="111">
        <f>'Stavební rozpočet'!G2511</f>
      </c>
      <c r="H566" s="111">
        <f>'Stavební rozpočet'!H2511</f>
      </c>
      <c r="I566" s="111">
        <f>G566*H566</f>
      </c>
      <c r="J566" s="153" t="s">
        <v>134</v>
      </c>
      <c r="K566" s="146"/>
      <c r="Z566" s="111">
        <f>IF(AQ566="5",BJ566,0)</f>
      </c>
      <c r="AB566" s="111">
        <f>IF(AQ566="1",BH566,0)</f>
      </c>
      <c r="AC566" s="111">
        <f>IF(AQ566="1",BI566,0)</f>
      </c>
      <c r="AD566" s="111">
        <f>IF(AQ566="7",BH566,0)</f>
      </c>
      <c r="AE566" s="111">
        <f>IF(AQ566="7",BI566,0)</f>
      </c>
      <c r="AF566" s="111">
        <f>IF(AQ566="2",BH566,0)</f>
      </c>
      <c r="AG566" s="111">
        <f>IF(AQ566="2",BI566,0)</f>
      </c>
      <c r="AH566" s="111">
        <f>IF(AQ566="0",BJ566,0)</f>
      </c>
      <c r="AI566" s="132" t="s">
        <v>87</v>
      </c>
      <c r="AJ566" s="111">
        <f>IF(AN566=0,I566,0)</f>
      </c>
      <c r="AK566" s="111">
        <f>IF(AN566=12,I566,0)</f>
      </c>
      <c r="AL566" s="111">
        <f>IF(AN566=21,I566,0)</f>
      </c>
      <c r="AN566" s="111" t="n">
        <v>21</v>
      </c>
      <c r="AO566" s="111">
        <f>H566*1</f>
      </c>
      <c r="AP566" s="111">
        <f>H566*(1-1)</f>
      </c>
      <c r="AQ566" s="153" t="s">
        <v>3759</v>
      </c>
      <c r="AV566" s="111">
        <f>AW566+AX566</f>
      </c>
      <c r="AW566" s="111">
        <f>G566*AO566</f>
      </c>
      <c r="AX566" s="111">
        <f>G566*AP566</f>
      </c>
      <c r="AY566" s="153" t="s">
        <v>3760</v>
      </c>
      <c r="AZ566" s="153" t="s">
        <v>3761</v>
      </c>
      <c r="BA566" s="132" t="s">
        <v>2990</v>
      </c>
      <c r="BC566" s="111">
        <f>AW566+AX566</f>
      </c>
      <c r="BD566" s="111">
        <f>H566/(100-BE566)*100</f>
      </c>
      <c r="BE566" s="111" t="n">
        <v>0</v>
      </c>
      <c r="BF566" s="111">
        <f>566</f>
      </c>
      <c r="BH566" s="111">
        <f>G566*AO566</f>
      </c>
      <c r="BI566" s="111">
        <f>G566*AP566</f>
      </c>
      <c r="BJ566" s="111">
        <f>G566*H566</f>
      </c>
      <c r="BK566" s="111"/>
      <c r="BL566" s="111"/>
      <c r="BW566" s="111" t="n">
        <v>21</v>
      </c>
      <c r="BX566" s="14" t="s">
        <v>3820</v>
      </c>
    </row>
    <row r="567">
      <c r="A567" s="154"/>
      <c r="B567" s="155"/>
      <c r="C567" s="155"/>
      <c r="D567" s="156" t="s">
        <v>140</v>
      </c>
      <c r="E567" s="156" t="s">
        <v>4</v>
      </c>
      <c r="F567" s="155"/>
      <c r="G567" s="157" t="n">
        <v>2</v>
      </c>
      <c r="H567" s="155"/>
      <c r="I567" s="155"/>
      <c r="J567" s="155"/>
      <c r="K567" s="146"/>
    </row>
    <row r="568">
      <c r="A568" s="9" t="s">
        <v>1461</v>
      </c>
      <c r="B568" s="10" t="s">
        <v>87</v>
      </c>
      <c r="C568" s="10" t="s">
        <v>3821</v>
      </c>
      <c r="D568" s="14" t="s">
        <v>3822</v>
      </c>
      <c r="E568" s="10"/>
      <c r="F568" s="10" t="s">
        <v>282</v>
      </c>
      <c r="G568" s="111">
        <f>'Stavební rozpočet'!G2513</f>
      </c>
      <c r="H568" s="111">
        <f>'Stavební rozpočet'!H2513</f>
      </c>
      <c r="I568" s="111">
        <f>G568*H568</f>
      </c>
      <c r="J568" s="153" t="s">
        <v>134</v>
      </c>
      <c r="K568" s="146"/>
      <c r="Z568" s="111">
        <f>IF(AQ568="5",BJ568,0)</f>
      </c>
      <c r="AB568" s="111">
        <f>IF(AQ568="1",BH568,0)</f>
      </c>
      <c r="AC568" s="111">
        <f>IF(AQ568="1",BI568,0)</f>
      </c>
      <c r="AD568" s="111">
        <f>IF(AQ568="7",BH568,0)</f>
      </c>
      <c r="AE568" s="111">
        <f>IF(AQ568="7",BI568,0)</f>
      </c>
      <c r="AF568" s="111">
        <f>IF(AQ568="2",BH568,0)</f>
      </c>
      <c r="AG568" s="111">
        <f>IF(AQ568="2",BI568,0)</f>
      </c>
      <c r="AH568" s="111">
        <f>IF(AQ568="0",BJ568,0)</f>
      </c>
      <c r="AI568" s="132" t="s">
        <v>87</v>
      </c>
      <c r="AJ568" s="111">
        <f>IF(AN568=0,I568,0)</f>
      </c>
      <c r="AK568" s="111">
        <f>IF(AN568=12,I568,0)</f>
      </c>
      <c r="AL568" s="111">
        <f>IF(AN568=21,I568,0)</f>
      </c>
      <c r="AN568" s="111" t="n">
        <v>21</v>
      </c>
      <c r="AO568" s="111">
        <f>H568*1</f>
      </c>
      <c r="AP568" s="111">
        <f>H568*(1-1)</f>
      </c>
      <c r="AQ568" s="153" t="s">
        <v>3759</v>
      </c>
      <c r="AV568" s="111">
        <f>AW568+AX568</f>
      </c>
      <c r="AW568" s="111">
        <f>G568*AO568</f>
      </c>
      <c r="AX568" s="111">
        <f>G568*AP568</f>
      </c>
      <c r="AY568" s="153" t="s">
        <v>3760</v>
      </c>
      <c r="AZ568" s="153" t="s">
        <v>3761</v>
      </c>
      <c r="BA568" s="132" t="s">
        <v>2990</v>
      </c>
      <c r="BC568" s="111">
        <f>AW568+AX568</f>
      </c>
      <c r="BD568" s="111">
        <f>H568/(100-BE568)*100</f>
      </c>
      <c r="BE568" s="111" t="n">
        <v>0</v>
      </c>
      <c r="BF568" s="111">
        <f>568</f>
      </c>
      <c r="BH568" s="111">
        <f>G568*AO568</f>
      </c>
      <c r="BI568" s="111">
        <f>G568*AP568</f>
      </c>
      <c r="BJ568" s="111">
        <f>G568*H568</f>
      </c>
      <c r="BK568" s="111"/>
      <c r="BL568" s="111"/>
      <c r="BW568" s="111" t="n">
        <v>21</v>
      </c>
      <c r="BX568" s="14" t="s">
        <v>3822</v>
      </c>
    </row>
    <row r="569">
      <c r="A569" s="154"/>
      <c r="B569" s="155"/>
      <c r="C569" s="155"/>
      <c r="D569" s="156" t="s">
        <v>3823</v>
      </c>
      <c r="E569" s="156" t="s">
        <v>4</v>
      </c>
      <c r="F569" s="155"/>
      <c r="G569" s="157" t="n">
        <v>56</v>
      </c>
      <c r="H569" s="155"/>
      <c r="I569" s="155"/>
      <c r="J569" s="155"/>
      <c r="K569" s="146"/>
    </row>
    <row r="570">
      <c r="A570" s="9" t="s">
        <v>1593</v>
      </c>
      <c r="B570" s="10" t="s">
        <v>87</v>
      </c>
      <c r="C570" s="10" t="s">
        <v>3824</v>
      </c>
      <c r="D570" s="14" t="s">
        <v>3825</v>
      </c>
      <c r="E570" s="10"/>
      <c r="F570" s="10" t="s">
        <v>282</v>
      </c>
      <c r="G570" s="111">
        <f>'Stavební rozpočet'!G2515</f>
      </c>
      <c r="H570" s="111">
        <f>'Stavební rozpočet'!H2515</f>
      </c>
      <c r="I570" s="111">
        <f>G570*H570</f>
      </c>
      <c r="J570" s="153" t="s">
        <v>134</v>
      </c>
      <c r="K570" s="146"/>
      <c r="Z570" s="111">
        <f>IF(AQ570="5",BJ570,0)</f>
      </c>
      <c r="AB570" s="111">
        <f>IF(AQ570="1",BH570,0)</f>
      </c>
      <c r="AC570" s="111">
        <f>IF(AQ570="1",BI570,0)</f>
      </c>
      <c r="AD570" s="111">
        <f>IF(AQ570="7",BH570,0)</f>
      </c>
      <c r="AE570" s="111">
        <f>IF(AQ570="7",BI570,0)</f>
      </c>
      <c r="AF570" s="111">
        <f>IF(AQ570="2",BH570,0)</f>
      </c>
      <c r="AG570" s="111">
        <f>IF(AQ570="2",BI570,0)</f>
      </c>
      <c r="AH570" s="111">
        <f>IF(AQ570="0",BJ570,0)</f>
      </c>
      <c r="AI570" s="132" t="s">
        <v>87</v>
      </c>
      <c r="AJ570" s="111">
        <f>IF(AN570=0,I570,0)</f>
      </c>
      <c r="AK570" s="111">
        <f>IF(AN570=12,I570,0)</f>
      </c>
      <c r="AL570" s="111">
        <f>IF(AN570=21,I570,0)</f>
      </c>
      <c r="AN570" s="111" t="n">
        <v>21</v>
      </c>
      <c r="AO570" s="111">
        <f>H570*1</f>
      </c>
      <c r="AP570" s="111">
        <f>H570*(1-1)</f>
      </c>
      <c r="AQ570" s="153" t="s">
        <v>3759</v>
      </c>
      <c r="AV570" s="111">
        <f>AW570+AX570</f>
      </c>
      <c r="AW570" s="111">
        <f>G570*AO570</f>
      </c>
      <c r="AX570" s="111">
        <f>G570*AP570</f>
      </c>
      <c r="AY570" s="153" t="s">
        <v>3760</v>
      </c>
      <c r="AZ570" s="153" t="s">
        <v>3761</v>
      </c>
      <c r="BA570" s="132" t="s">
        <v>2990</v>
      </c>
      <c r="BC570" s="111">
        <f>AW570+AX570</f>
      </c>
      <c r="BD570" s="111">
        <f>H570/(100-BE570)*100</f>
      </c>
      <c r="BE570" s="111" t="n">
        <v>0</v>
      </c>
      <c r="BF570" s="111">
        <f>570</f>
      </c>
      <c r="BH570" s="111">
        <f>G570*AO570</f>
      </c>
      <c r="BI570" s="111">
        <f>G570*AP570</f>
      </c>
      <c r="BJ570" s="111">
        <f>G570*H570</f>
      </c>
      <c r="BK570" s="111"/>
      <c r="BL570" s="111"/>
      <c r="BW570" s="111" t="n">
        <v>21</v>
      </c>
      <c r="BX570" s="14" t="s">
        <v>3825</v>
      </c>
    </row>
    <row r="571">
      <c r="A571" s="154"/>
      <c r="B571" s="155"/>
      <c r="C571" s="155"/>
      <c r="D571" s="156" t="s">
        <v>148</v>
      </c>
      <c r="E571" s="156" t="s">
        <v>4</v>
      </c>
      <c r="F571" s="155"/>
      <c r="G571" s="157" t="n">
        <v>50</v>
      </c>
      <c r="H571" s="155"/>
      <c r="I571" s="155"/>
      <c r="J571" s="155"/>
      <c r="K571" s="146"/>
    </row>
    <row r="572">
      <c r="A572" s="9" t="s">
        <v>1597</v>
      </c>
      <c r="B572" s="10" t="s">
        <v>87</v>
      </c>
      <c r="C572" s="10" t="s">
        <v>3826</v>
      </c>
      <c r="D572" s="14" t="s">
        <v>3827</v>
      </c>
      <c r="E572" s="10"/>
      <c r="F572" s="10" t="s">
        <v>145</v>
      </c>
      <c r="G572" s="111">
        <f>'Stavební rozpočet'!G2517</f>
      </c>
      <c r="H572" s="111">
        <f>'Stavební rozpočet'!H2517</f>
      </c>
      <c r="I572" s="111">
        <f>G572*H572</f>
      </c>
      <c r="J572" s="153" t="s">
        <v>134</v>
      </c>
      <c r="K572" s="146"/>
      <c r="Z572" s="111">
        <f>IF(AQ572="5",BJ572,0)</f>
      </c>
      <c r="AB572" s="111">
        <f>IF(AQ572="1",BH572,0)</f>
      </c>
      <c r="AC572" s="111">
        <f>IF(AQ572="1",BI572,0)</f>
      </c>
      <c r="AD572" s="111">
        <f>IF(AQ572="7",BH572,0)</f>
      </c>
      <c r="AE572" s="111">
        <f>IF(AQ572="7",BI572,0)</f>
      </c>
      <c r="AF572" s="111">
        <f>IF(AQ572="2",BH572,0)</f>
      </c>
      <c r="AG572" s="111">
        <f>IF(AQ572="2",BI572,0)</f>
      </c>
      <c r="AH572" s="111">
        <f>IF(AQ572="0",BJ572,0)</f>
      </c>
      <c r="AI572" s="132" t="s">
        <v>87</v>
      </c>
      <c r="AJ572" s="111">
        <f>IF(AN572=0,I572,0)</f>
      </c>
      <c r="AK572" s="111">
        <f>IF(AN572=12,I572,0)</f>
      </c>
      <c r="AL572" s="111">
        <f>IF(AN572=21,I572,0)</f>
      </c>
      <c r="AN572" s="111" t="n">
        <v>21</v>
      </c>
      <c r="AO572" s="111">
        <f>H572*1</f>
      </c>
      <c r="AP572" s="111">
        <f>H572*(1-1)</f>
      </c>
      <c r="AQ572" s="153" t="s">
        <v>3759</v>
      </c>
      <c r="AV572" s="111">
        <f>AW572+AX572</f>
      </c>
      <c r="AW572" s="111">
        <f>G572*AO572</f>
      </c>
      <c r="AX572" s="111">
        <f>G572*AP572</f>
      </c>
      <c r="AY572" s="153" t="s">
        <v>3760</v>
      </c>
      <c r="AZ572" s="153" t="s">
        <v>3761</v>
      </c>
      <c r="BA572" s="132" t="s">
        <v>2990</v>
      </c>
      <c r="BC572" s="111">
        <f>AW572+AX572</f>
      </c>
      <c r="BD572" s="111">
        <f>H572/(100-BE572)*100</f>
      </c>
      <c r="BE572" s="111" t="n">
        <v>0</v>
      </c>
      <c r="BF572" s="111">
        <f>572</f>
      </c>
      <c r="BH572" s="111">
        <f>G572*AO572</f>
      </c>
      <c r="BI572" s="111">
        <f>G572*AP572</f>
      </c>
      <c r="BJ572" s="111">
        <f>G572*H572</f>
      </c>
      <c r="BK572" s="111"/>
      <c r="BL572" s="111"/>
      <c r="BW572" s="111" t="n">
        <v>21</v>
      </c>
      <c r="BX572" s="14" t="s">
        <v>3827</v>
      </c>
    </row>
    <row r="573">
      <c r="A573" s="154"/>
      <c r="B573" s="155"/>
      <c r="C573" s="155"/>
      <c r="D573" s="156" t="s">
        <v>878</v>
      </c>
      <c r="E573" s="156" t="s">
        <v>4</v>
      </c>
      <c r="F573" s="155"/>
      <c r="G573" s="157" t="n">
        <v>112</v>
      </c>
      <c r="H573" s="155"/>
      <c r="I573" s="155"/>
      <c r="J573" s="155"/>
      <c r="K573" s="146"/>
    </row>
    <row r="574">
      <c r="A574" s="9" t="s">
        <v>1598</v>
      </c>
      <c r="B574" s="10" t="s">
        <v>87</v>
      </c>
      <c r="C574" s="10" t="s">
        <v>3829</v>
      </c>
      <c r="D574" s="14" t="s">
        <v>3830</v>
      </c>
      <c r="E574" s="10"/>
      <c r="F574" s="10" t="s">
        <v>133</v>
      </c>
      <c r="G574" s="111">
        <f>'Stavební rozpočet'!G2519</f>
      </c>
      <c r="H574" s="111">
        <f>'Stavební rozpočet'!H2519</f>
      </c>
      <c r="I574" s="111">
        <f>G574*H574</f>
      </c>
      <c r="J574" s="153" t="s">
        <v>3003</v>
      </c>
      <c r="K574" s="146"/>
      <c r="Z574" s="111">
        <f>IF(AQ574="5",BJ574,0)</f>
      </c>
      <c r="AB574" s="111">
        <f>IF(AQ574="1",BH574,0)</f>
      </c>
      <c r="AC574" s="111">
        <f>IF(AQ574="1",BI574,0)</f>
      </c>
      <c r="AD574" s="111">
        <f>IF(AQ574="7",BH574,0)</f>
      </c>
      <c r="AE574" s="111">
        <f>IF(AQ574="7",BI574,0)</f>
      </c>
      <c r="AF574" s="111">
        <f>IF(AQ574="2",BH574,0)</f>
      </c>
      <c r="AG574" s="111">
        <f>IF(AQ574="2",BI574,0)</f>
      </c>
      <c r="AH574" s="111">
        <f>IF(AQ574="0",BJ574,0)</f>
      </c>
      <c r="AI574" s="132" t="s">
        <v>87</v>
      </c>
      <c r="AJ574" s="111">
        <f>IF(AN574=0,I574,0)</f>
      </c>
      <c r="AK574" s="111">
        <f>IF(AN574=12,I574,0)</f>
      </c>
      <c r="AL574" s="111">
        <f>IF(AN574=21,I574,0)</f>
      </c>
      <c r="AN574" s="111" t="n">
        <v>21</v>
      </c>
      <c r="AO574" s="111">
        <f>H574*1</f>
      </c>
      <c r="AP574" s="111">
        <f>H574*(1-1)</f>
      </c>
      <c r="AQ574" s="153" t="s">
        <v>3759</v>
      </c>
      <c r="AV574" s="111">
        <f>AW574+AX574</f>
      </c>
      <c r="AW574" s="111">
        <f>G574*AO574</f>
      </c>
      <c r="AX574" s="111">
        <f>G574*AP574</f>
      </c>
      <c r="AY574" s="153" t="s">
        <v>3760</v>
      </c>
      <c r="AZ574" s="153" t="s">
        <v>3761</v>
      </c>
      <c r="BA574" s="132" t="s">
        <v>2990</v>
      </c>
      <c r="BC574" s="111">
        <f>AW574+AX574</f>
      </c>
      <c r="BD574" s="111">
        <f>H574/(100-BE574)*100</f>
      </c>
      <c r="BE574" s="111" t="n">
        <v>0</v>
      </c>
      <c r="BF574" s="111">
        <f>574</f>
      </c>
      <c r="BH574" s="111">
        <f>G574*AO574</f>
      </c>
      <c r="BI574" s="111">
        <f>G574*AP574</f>
      </c>
      <c r="BJ574" s="111">
        <f>G574*H574</f>
      </c>
      <c r="BK574" s="111"/>
      <c r="BL574" s="111"/>
      <c r="BW574" s="111" t="n">
        <v>21</v>
      </c>
      <c r="BX574" s="14" t="s">
        <v>3830</v>
      </c>
    </row>
    <row r="575">
      <c r="A575" s="154"/>
      <c r="B575" s="155"/>
      <c r="C575" s="155"/>
      <c r="D575" s="156" t="s">
        <v>130</v>
      </c>
      <c r="E575" s="156" t="s">
        <v>4</v>
      </c>
      <c r="F575" s="155"/>
      <c r="G575" s="157" t="n">
        <v>1</v>
      </c>
      <c r="H575" s="155"/>
      <c r="I575" s="155"/>
      <c r="J575" s="155"/>
      <c r="K575" s="146"/>
    </row>
    <row r="576">
      <c r="A576" s="9" t="s">
        <v>1602</v>
      </c>
      <c r="B576" s="10" t="s">
        <v>87</v>
      </c>
      <c r="C576" s="10" t="s">
        <v>3832</v>
      </c>
      <c r="D576" s="14" t="s">
        <v>3833</v>
      </c>
      <c r="E576" s="10"/>
      <c r="F576" s="10" t="s">
        <v>133</v>
      </c>
      <c r="G576" s="111">
        <f>'Stavební rozpočet'!G2521</f>
      </c>
      <c r="H576" s="111">
        <f>'Stavební rozpočet'!H2521</f>
      </c>
      <c r="I576" s="111">
        <f>G576*H576</f>
      </c>
      <c r="J576" s="153" t="s">
        <v>3834</v>
      </c>
      <c r="K576" s="146"/>
      <c r="Z576" s="111">
        <f>IF(AQ576="5",BJ576,0)</f>
      </c>
      <c r="AB576" s="111">
        <f>IF(AQ576="1",BH576,0)</f>
      </c>
      <c r="AC576" s="111">
        <f>IF(AQ576="1",BI576,0)</f>
      </c>
      <c r="AD576" s="111">
        <f>IF(AQ576="7",BH576,0)</f>
      </c>
      <c r="AE576" s="111">
        <f>IF(AQ576="7",BI576,0)</f>
      </c>
      <c r="AF576" s="111">
        <f>IF(AQ576="2",BH576,0)</f>
      </c>
      <c r="AG576" s="111">
        <f>IF(AQ576="2",BI576,0)</f>
      </c>
      <c r="AH576" s="111">
        <f>IF(AQ576="0",BJ576,0)</f>
      </c>
      <c r="AI576" s="132" t="s">
        <v>87</v>
      </c>
      <c r="AJ576" s="111">
        <f>IF(AN576=0,I576,0)</f>
      </c>
      <c r="AK576" s="111">
        <f>IF(AN576=12,I576,0)</f>
      </c>
      <c r="AL576" s="111">
        <f>IF(AN576=21,I576,0)</f>
      </c>
      <c r="AN576" s="111" t="n">
        <v>21</v>
      </c>
      <c r="AO576" s="111">
        <f>H576*1</f>
      </c>
      <c r="AP576" s="111">
        <f>H576*(1-1)</f>
      </c>
      <c r="AQ576" s="153" t="s">
        <v>3759</v>
      </c>
      <c r="AV576" s="111">
        <f>AW576+AX576</f>
      </c>
      <c r="AW576" s="111">
        <f>G576*AO576</f>
      </c>
      <c r="AX576" s="111">
        <f>G576*AP576</f>
      </c>
      <c r="AY576" s="153" t="s">
        <v>3760</v>
      </c>
      <c r="AZ576" s="153" t="s">
        <v>3761</v>
      </c>
      <c r="BA576" s="132" t="s">
        <v>2990</v>
      </c>
      <c r="BC576" s="111">
        <f>AW576+AX576</f>
      </c>
      <c r="BD576" s="111">
        <f>H576/(100-BE576)*100</f>
      </c>
      <c r="BE576" s="111" t="n">
        <v>0</v>
      </c>
      <c r="BF576" s="111">
        <f>576</f>
      </c>
      <c r="BH576" s="111">
        <f>G576*AO576</f>
      </c>
      <c r="BI576" s="111">
        <f>G576*AP576</f>
      </c>
      <c r="BJ576" s="111">
        <f>G576*H576</f>
      </c>
      <c r="BK576" s="111"/>
      <c r="BL576" s="111"/>
      <c r="BW576" s="111" t="n">
        <v>21</v>
      </c>
      <c r="BX576" s="14" t="s">
        <v>3833</v>
      </c>
    </row>
    <row r="577">
      <c r="A577" s="154"/>
      <c r="B577" s="155"/>
      <c r="C577" s="155"/>
      <c r="D577" s="156" t="s">
        <v>156</v>
      </c>
      <c r="E577" s="156" t="s">
        <v>4</v>
      </c>
      <c r="F577" s="155"/>
      <c r="G577" s="157" t="n">
        <v>5</v>
      </c>
      <c r="H577" s="155"/>
      <c r="I577" s="155"/>
      <c r="J577" s="155"/>
      <c r="K577" s="146"/>
    </row>
    <row r="578">
      <c r="A578" s="9" t="s">
        <v>1605</v>
      </c>
      <c r="B578" s="10" t="s">
        <v>87</v>
      </c>
      <c r="C578" s="10" t="s">
        <v>3836</v>
      </c>
      <c r="D578" s="14" t="s">
        <v>3837</v>
      </c>
      <c r="E578" s="10"/>
      <c r="F578" s="10" t="s">
        <v>133</v>
      </c>
      <c r="G578" s="111">
        <f>'Stavební rozpočet'!G2523</f>
      </c>
      <c r="H578" s="111">
        <f>'Stavební rozpočet'!H2523</f>
      </c>
      <c r="I578" s="111">
        <f>G578*H578</f>
      </c>
      <c r="J578" s="153" t="s">
        <v>3003</v>
      </c>
      <c r="K578" s="146"/>
      <c r="Z578" s="111">
        <f>IF(AQ578="5",BJ578,0)</f>
      </c>
      <c r="AB578" s="111">
        <f>IF(AQ578="1",BH578,0)</f>
      </c>
      <c r="AC578" s="111">
        <f>IF(AQ578="1",BI578,0)</f>
      </c>
      <c r="AD578" s="111">
        <f>IF(AQ578="7",BH578,0)</f>
      </c>
      <c r="AE578" s="111">
        <f>IF(AQ578="7",BI578,0)</f>
      </c>
      <c r="AF578" s="111">
        <f>IF(AQ578="2",BH578,0)</f>
      </c>
      <c r="AG578" s="111">
        <f>IF(AQ578="2",BI578,0)</f>
      </c>
      <c r="AH578" s="111">
        <f>IF(AQ578="0",BJ578,0)</f>
      </c>
      <c r="AI578" s="132" t="s">
        <v>87</v>
      </c>
      <c r="AJ578" s="111">
        <f>IF(AN578=0,I578,0)</f>
      </c>
      <c r="AK578" s="111">
        <f>IF(AN578=12,I578,0)</f>
      </c>
      <c r="AL578" s="111">
        <f>IF(AN578=21,I578,0)</f>
      </c>
      <c r="AN578" s="111" t="n">
        <v>21</v>
      </c>
      <c r="AO578" s="111">
        <f>H578*1</f>
      </c>
      <c r="AP578" s="111">
        <f>H578*(1-1)</f>
      </c>
      <c r="AQ578" s="153" t="s">
        <v>3759</v>
      </c>
      <c r="AV578" s="111">
        <f>AW578+AX578</f>
      </c>
      <c r="AW578" s="111">
        <f>G578*AO578</f>
      </c>
      <c r="AX578" s="111">
        <f>G578*AP578</f>
      </c>
      <c r="AY578" s="153" t="s">
        <v>3760</v>
      </c>
      <c r="AZ578" s="153" t="s">
        <v>3761</v>
      </c>
      <c r="BA578" s="132" t="s">
        <v>2990</v>
      </c>
      <c r="BC578" s="111">
        <f>AW578+AX578</f>
      </c>
      <c r="BD578" s="111">
        <f>H578/(100-BE578)*100</f>
      </c>
      <c r="BE578" s="111" t="n">
        <v>0</v>
      </c>
      <c r="BF578" s="111">
        <f>578</f>
      </c>
      <c r="BH578" s="111">
        <f>G578*AO578</f>
      </c>
      <c r="BI578" s="111">
        <f>G578*AP578</f>
      </c>
      <c r="BJ578" s="111">
        <f>G578*H578</f>
      </c>
      <c r="BK578" s="111"/>
      <c r="BL578" s="111"/>
      <c r="BW578" s="111" t="n">
        <v>21</v>
      </c>
      <c r="BX578" s="14" t="s">
        <v>3837</v>
      </c>
    </row>
    <row r="579">
      <c r="A579" s="154"/>
      <c r="B579" s="155"/>
      <c r="C579" s="155"/>
      <c r="D579" s="156" t="s">
        <v>130</v>
      </c>
      <c r="E579" s="156" t="s">
        <v>4</v>
      </c>
      <c r="F579" s="155"/>
      <c r="G579" s="157" t="n">
        <v>1</v>
      </c>
      <c r="H579" s="155"/>
      <c r="I579" s="155"/>
      <c r="J579" s="155"/>
      <c r="K579" s="146"/>
    </row>
    <row r="580">
      <c r="A580" s="9" t="s">
        <v>1610</v>
      </c>
      <c r="B580" s="10" t="s">
        <v>87</v>
      </c>
      <c r="C580" s="10" t="s">
        <v>3839</v>
      </c>
      <c r="D580" s="14" t="s">
        <v>3840</v>
      </c>
      <c r="E580" s="10"/>
      <c r="F580" s="10" t="s">
        <v>133</v>
      </c>
      <c r="G580" s="111">
        <f>'Stavební rozpočet'!G2525</f>
      </c>
      <c r="H580" s="111">
        <f>'Stavební rozpočet'!H2525</f>
      </c>
      <c r="I580" s="111">
        <f>G580*H580</f>
      </c>
      <c r="J580" s="153" t="s">
        <v>3003</v>
      </c>
      <c r="K580" s="146"/>
      <c r="Z580" s="111">
        <f>IF(AQ580="5",BJ580,0)</f>
      </c>
      <c r="AB580" s="111">
        <f>IF(AQ580="1",BH580,0)</f>
      </c>
      <c r="AC580" s="111">
        <f>IF(AQ580="1",BI580,0)</f>
      </c>
      <c r="AD580" s="111">
        <f>IF(AQ580="7",BH580,0)</f>
      </c>
      <c r="AE580" s="111">
        <f>IF(AQ580="7",BI580,0)</f>
      </c>
      <c r="AF580" s="111">
        <f>IF(AQ580="2",BH580,0)</f>
      </c>
      <c r="AG580" s="111">
        <f>IF(AQ580="2",BI580,0)</f>
      </c>
      <c r="AH580" s="111">
        <f>IF(AQ580="0",BJ580,0)</f>
      </c>
      <c r="AI580" s="132" t="s">
        <v>87</v>
      </c>
      <c r="AJ580" s="111">
        <f>IF(AN580=0,I580,0)</f>
      </c>
      <c r="AK580" s="111">
        <f>IF(AN580=12,I580,0)</f>
      </c>
      <c r="AL580" s="111">
        <f>IF(AN580=21,I580,0)</f>
      </c>
      <c r="AN580" s="111" t="n">
        <v>21</v>
      </c>
      <c r="AO580" s="111">
        <f>H580*1</f>
      </c>
      <c r="AP580" s="111">
        <f>H580*(1-1)</f>
      </c>
      <c r="AQ580" s="153" t="s">
        <v>3759</v>
      </c>
      <c r="AV580" s="111">
        <f>AW580+AX580</f>
      </c>
      <c r="AW580" s="111">
        <f>G580*AO580</f>
      </c>
      <c r="AX580" s="111">
        <f>G580*AP580</f>
      </c>
      <c r="AY580" s="153" t="s">
        <v>3760</v>
      </c>
      <c r="AZ580" s="153" t="s">
        <v>3761</v>
      </c>
      <c r="BA580" s="132" t="s">
        <v>2990</v>
      </c>
      <c r="BC580" s="111">
        <f>AW580+AX580</f>
      </c>
      <c r="BD580" s="111">
        <f>H580/(100-BE580)*100</f>
      </c>
      <c r="BE580" s="111" t="n">
        <v>0</v>
      </c>
      <c r="BF580" s="111">
        <f>580</f>
      </c>
      <c r="BH580" s="111">
        <f>G580*AO580</f>
      </c>
      <c r="BI580" s="111">
        <f>G580*AP580</f>
      </c>
      <c r="BJ580" s="111">
        <f>G580*H580</f>
      </c>
      <c r="BK580" s="111"/>
      <c r="BL580" s="111"/>
      <c r="BW580" s="111" t="n">
        <v>21</v>
      </c>
      <c r="BX580" s="14" t="s">
        <v>3840</v>
      </c>
    </row>
    <row r="581">
      <c r="A581" s="154"/>
      <c r="B581" s="155"/>
      <c r="C581" s="155"/>
      <c r="D581" s="156" t="s">
        <v>130</v>
      </c>
      <c r="E581" s="156" t="s">
        <v>4</v>
      </c>
      <c r="F581" s="155"/>
      <c r="G581" s="157" t="n">
        <v>1</v>
      </c>
      <c r="H581" s="155"/>
      <c r="I581" s="155"/>
      <c r="J581" s="155"/>
      <c r="K581" s="146"/>
    </row>
    <row r="582">
      <c r="A582" s="9" t="s">
        <v>1616</v>
      </c>
      <c r="B582" s="10" t="s">
        <v>87</v>
      </c>
      <c r="C582" s="10" t="s">
        <v>3842</v>
      </c>
      <c r="D582" s="14" t="s">
        <v>3843</v>
      </c>
      <c r="E582" s="10"/>
      <c r="F582" s="10" t="s">
        <v>133</v>
      </c>
      <c r="G582" s="111">
        <f>'Stavební rozpočet'!G2527</f>
      </c>
      <c r="H582" s="111">
        <f>'Stavební rozpočet'!H2527</f>
      </c>
      <c r="I582" s="111">
        <f>G582*H582</f>
      </c>
      <c r="J582" s="153" t="s">
        <v>3003</v>
      </c>
      <c r="K582" s="146"/>
      <c r="Z582" s="111">
        <f>IF(AQ582="5",BJ582,0)</f>
      </c>
      <c r="AB582" s="111">
        <f>IF(AQ582="1",BH582,0)</f>
      </c>
      <c r="AC582" s="111">
        <f>IF(AQ582="1",BI582,0)</f>
      </c>
      <c r="AD582" s="111">
        <f>IF(AQ582="7",BH582,0)</f>
      </c>
      <c r="AE582" s="111">
        <f>IF(AQ582="7",BI582,0)</f>
      </c>
      <c r="AF582" s="111">
        <f>IF(AQ582="2",BH582,0)</f>
      </c>
      <c r="AG582" s="111">
        <f>IF(AQ582="2",BI582,0)</f>
      </c>
      <c r="AH582" s="111">
        <f>IF(AQ582="0",BJ582,0)</f>
      </c>
      <c r="AI582" s="132" t="s">
        <v>87</v>
      </c>
      <c r="AJ582" s="111">
        <f>IF(AN582=0,I582,0)</f>
      </c>
      <c r="AK582" s="111">
        <f>IF(AN582=12,I582,0)</f>
      </c>
      <c r="AL582" s="111">
        <f>IF(AN582=21,I582,0)</f>
      </c>
      <c r="AN582" s="111" t="n">
        <v>21</v>
      </c>
      <c r="AO582" s="111">
        <f>H582*1</f>
      </c>
      <c r="AP582" s="111">
        <f>H582*(1-1)</f>
      </c>
      <c r="AQ582" s="153" t="s">
        <v>3759</v>
      </c>
      <c r="AV582" s="111">
        <f>AW582+AX582</f>
      </c>
      <c r="AW582" s="111">
        <f>G582*AO582</f>
      </c>
      <c r="AX582" s="111">
        <f>G582*AP582</f>
      </c>
      <c r="AY582" s="153" t="s">
        <v>3760</v>
      </c>
      <c r="AZ582" s="153" t="s">
        <v>3761</v>
      </c>
      <c r="BA582" s="132" t="s">
        <v>2990</v>
      </c>
      <c r="BC582" s="111">
        <f>AW582+AX582</f>
      </c>
      <c r="BD582" s="111">
        <f>H582/(100-BE582)*100</f>
      </c>
      <c r="BE582" s="111" t="n">
        <v>0</v>
      </c>
      <c r="BF582" s="111">
        <f>582</f>
      </c>
      <c r="BH582" s="111">
        <f>G582*AO582</f>
      </c>
      <c r="BI582" s="111">
        <f>G582*AP582</f>
      </c>
      <c r="BJ582" s="111">
        <f>G582*H582</f>
      </c>
      <c r="BK582" s="111"/>
      <c r="BL582" s="111"/>
      <c r="BW582" s="111" t="n">
        <v>21</v>
      </c>
      <c r="BX582" s="14" t="s">
        <v>3843</v>
      </c>
    </row>
    <row r="583">
      <c r="A583" s="154"/>
      <c r="B583" s="155"/>
      <c r="C583" s="155"/>
      <c r="D583" s="156" t="s">
        <v>130</v>
      </c>
      <c r="E583" s="156" t="s">
        <v>4</v>
      </c>
      <c r="F583" s="155"/>
      <c r="G583" s="157" t="n">
        <v>1</v>
      </c>
      <c r="H583" s="155"/>
      <c r="I583" s="155"/>
      <c r="J583" s="155"/>
      <c r="K583" s="146"/>
    </row>
    <row r="584">
      <c r="A584" s="9" t="s">
        <v>1623</v>
      </c>
      <c r="B584" s="10" t="s">
        <v>87</v>
      </c>
      <c r="C584" s="10" t="s">
        <v>3845</v>
      </c>
      <c r="D584" s="14" t="s">
        <v>3846</v>
      </c>
      <c r="E584" s="10"/>
      <c r="F584" s="10" t="s">
        <v>133</v>
      </c>
      <c r="G584" s="111">
        <f>'Stavební rozpočet'!G2529</f>
      </c>
      <c r="H584" s="111">
        <f>'Stavební rozpočet'!H2529</f>
      </c>
      <c r="I584" s="111">
        <f>G584*H584</f>
      </c>
      <c r="J584" s="153" t="s">
        <v>3834</v>
      </c>
      <c r="K584" s="146"/>
      <c r="Z584" s="111">
        <f>IF(AQ584="5",BJ584,0)</f>
      </c>
      <c r="AB584" s="111">
        <f>IF(AQ584="1",BH584,0)</f>
      </c>
      <c r="AC584" s="111">
        <f>IF(AQ584="1",BI584,0)</f>
      </c>
      <c r="AD584" s="111">
        <f>IF(AQ584="7",BH584,0)</f>
      </c>
      <c r="AE584" s="111">
        <f>IF(AQ584="7",BI584,0)</f>
      </c>
      <c r="AF584" s="111">
        <f>IF(AQ584="2",BH584,0)</f>
      </c>
      <c r="AG584" s="111">
        <f>IF(AQ584="2",BI584,0)</f>
      </c>
      <c r="AH584" s="111">
        <f>IF(AQ584="0",BJ584,0)</f>
      </c>
      <c r="AI584" s="132" t="s">
        <v>87</v>
      </c>
      <c r="AJ584" s="111">
        <f>IF(AN584=0,I584,0)</f>
      </c>
      <c r="AK584" s="111">
        <f>IF(AN584=12,I584,0)</f>
      </c>
      <c r="AL584" s="111">
        <f>IF(AN584=21,I584,0)</f>
      </c>
      <c r="AN584" s="111" t="n">
        <v>21</v>
      </c>
      <c r="AO584" s="111">
        <f>H584*1</f>
      </c>
      <c r="AP584" s="111">
        <f>H584*(1-1)</f>
      </c>
      <c r="AQ584" s="153" t="s">
        <v>3759</v>
      </c>
      <c r="AV584" s="111">
        <f>AW584+AX584</f>
      </c>
      <c r="AW584" s="111">
        <f>G584*AO584</f>
      </c>
      <c r="AX584" s="111">
        <f>G584*AP584</f>
      </c>
      <c r="AY584" s="153" t="s">
        <v>3760</v>
      </c>
      <c r="AZ584" s="153" t="s">
        <v>3761</v>
      </c>
      <c r="BA584" s="132" t="s">
        <v>2990</v>
      </c>
      <c r="BC584" s="111">
        <f>AW584+AX584</f>
      </c>
      <c r="BD584" s="111">
        <f>H584/(100-BE584)*100</f>
      </c>
      <c r="BE584" s="111" t="n">
        <v>0</v>
      </c>
      <c r="BF584" s="111">
        <f>584</f>
      </c>
      <c r="BH584" s="111">
        <f>G584*AO584</f>
      </c>
      <c r="BI584" s="111">
        <f>G584*AP584</f>
      </c>
      <c r="BJ584" s="111">
        <f>G584*H584</f>
      </c>
      <c r="BK584" s="111"/>
      <c r="BL584" s="111"/>
      <c r="BW584" s="111" t="n">
        <v>21</v>
      </c>
      <c r="BX584" s="14" t="s">
        <v>3846</v>
      </c>
    </row>
    <row r="585">
      <c r="A585" s="154"/>
      <c r="B585" s="155"/>
      <c r="C585" s="155"/>
      <c r="D585" s="156" t="s">
        <v>130</v>
      </c>
      <c r="E585" s="156" t="s">
        <v>4</v>
      </c>
      <c r="F585" s="155"/>
      <c r="G585" s="157" t="n">
        <v>1</v>
      </c>
      <c r="H585" s="155"/>
      <c r="I585" s="155"/>
      <c r="J585" s="155"/>
      <c r="K585" s="146"/>
    </row>
    <row r="586">
      <c r="A586" s="9" t="s">
        <v>1627</v>
      </c>
      <c r="B586" s="10" t="s">
        <v>87</v>
      </c>
      <c r="C586" s="10" t="s">
        <v>3848</v>
      </c>
      <c r="D586" s="14" t="s">
        <v>3849</v>
      </c>
      <c r="E586" s="10"/>
      <c r="F586" s="10" t="s">
        <v>133</v>
      </c>
      <c r="G586" s="111">
        <f>'Stavební rozpočet'!G2531</f>
      </c>
      <c r="H586" s="111">
        <f>'Stavební rozpočet'!H2531</f>
      </c>
      <c r="I586" s="111">
        <f>G586*H586</f>
      </c>
      <c r="J586" s="153" t="s">
        <v>3003</v>
      </c>
      <c r="K586" s="146"/>
      <c r="Z586" s="111">
        <f>IF(AQ586="5",BJ586,0)</f>
      </c>
      <c r="AB586" s="111">
        <f>IF(AQ586="1",BH586,0)</f>
      </c>
      <c r="AC586" s="111">
        <f>IF(AQ586="1",BI586,0)</f>
      </c>
      <c r="AD586" s="111">
        <f>IF(AQ586="7",BH586,0)</f>
      </c>
      <c r="AE586" s="111">
        <f>IF(AQ586="7",BI586,0)</f>
      </c>
      <c r="AF586" s="111">
        <f>IF(AQ586="2",BH586,0)</f>
      </c>
      <c r="AG586" s="111">
        <f>IF(AQ586="2",BI586,0)</f>
      </c>
      <c r="AH586" s="111">
        <f>IF(AQ586="0",BJ586,0)</f>
      </c>
      <c r="AI586" s="132" t="s">
        <v>87</v>
      </c>
      <c r="AJ586" s="111">
        <f>IF(AN586=0,I586,0)</f>
      </c>
      <c r="AK586" s="111">
        <f>IF(AN586=12,I586,0)</f>
      </c>
      <c r="AL586" s="111">
        <f>IF(AN586=21,I586,0)</f>
      </c>
      <c r="AN586" s="111" t="n">
        <v>21</v>
      </c>
      <c r="AO586" s="111">
        <f>H586*1</f>
      </c>
      <c r="AP586" s="111">
        <f>H586*(1-1)</f>
      </c>
      <c r="AQ586" s="153" t="s">
        <v>3759</v>
      </c>
      <c r="AV586" s="111">
        <f>AW586+AX586</f>
      </c>
      <c r="AW586" s="111">
        <f>G586*AO586</f>
      </c>
      <c r="AX586" s="111">
        <f>G586*AP586</f>
      </c>
      <c r="AY586" s="153" t="s">
        <v>3760</v>
      </c>
      <c r="AZ586" s="153" t="s">
        <v>3761</v>
      </c>
      <c r="BA586" s="132" t="s">
        <v>2990</v>
      </c>
      <c r="BC586" s="111">
        <f>AW586+AX586</f>
      </c>
      <c r="BD586" s="111">
        <f>H586/(100-BE586)*100</f>
      </c>
      <c r="BE586" s="111" t="n">
        <v>0</v>
      </c>
      <c r="BF586" s="111">
        <f>586</f>
      </c>
      <c r="BH586" s="111">
        <f>G586*AO586</f>
      </c>
      <c r="BI586" s="111">
        <f>G586*AP586</f>
      </c>
      <c r="BJ586" s="111">
        <f>G586*H586</f>
      </c>
      <c r="BK586" s="111"/>
      <c r="BL586" s="111"/>
      <c r="BW586" s="111" t="n">
        <v>21</v>
      </c>
      <c r="BX586" s="14" t="s">
        <v>3849</v>
      </c>
    </row>
    <row r="587">
      <c r="A587" s="154"/>
      <c r="B587" s="155"/>
      <c r="C587" s="155"/>
      <c r="D587" s="156" t="s">
        <v>130</v>
      </c>
      <c r="E587" s="156" t="s">
        <v>4</v>
      </c>
      <c r="F587" s="155"/>
      <c r="G587" s="157" t="n">
        <v>1</v>
      </c>
      <c r="H587" s="155"/>
      <c r="I587" s="155"/>
      <c r="J587" s="155"/>
      <c r="K587" s="146"/>
    </row>
    <row r="588">
      <c r="A588" s="147" t="s">
        <v>4</v>
      </c>
      <c r="B588" s="148" t="s">
        <v>87</v>
      </c>
      <c r="C588" s="148" t="s">
        <v>2930</v>
      </c>
      <c r="D588" s="149" t="s">
        <v>57</v>
      </c>
      <c r="E588" s="148"/>
      <c r="F588" s="150" t="s">
        <v>79</v>
      </c>
      <c r="G588" s="150" t="s">
        <v>79</v>
      </c>
      <c r="H588" s="150" t="s">
        <v>79</v>
      </c>
      <c r="I588" s="117">
        <f>I589</f>
      </c>
      <c r="J588" s="132" t="s">
        <v>4</v>
      </c>
      <c r="K588" s="146"/>
      <c r="AI588" s="132" t="s">
        <v>87</v>
      </c>
    </row>
    <row r="589">
      <c r="A589" s="147" t="s">
        <v>4</v>
      </c>
      <c r="B589" s="148" t="s">
        <v>87</v>
      </c>
      <c r="C589" s="148" t="s">
        <v>2951</v>
      </c>
      <c r="D589" s="149" t="s">
        <v>25</v>
      </c>
      <c r="E589" s="148"/>
      <c r="F589" s="150" t="s">
        <v>79</v>
      </c>
      <c r="G589" s="150" t="s">
        <v>79</v>
      </c>
      <c r="H589" s="150" t="s">
        <v>79</v>
      </c>
      <c r="I589" s="117">
        <f>SUM(I590:I590)</f>
      </c>
      <c r="J589" s="132" t="s">
        <v>4</v>
      </c>
      <c r="K589" s="146"/>
      <c r="AI589" s="132" t="s">
        <v>87</v>
      </c>
      <c r="AS589" s="117">
        <f>SUM(AJ590:AJ590)</f>
      </c>
      <c r="AT589" s="117">
        <f>SUM(AK590:AK590)</f>
      </c>
      <c r="AU589" s="117">
        <f>SUM(AL590:AL590)</f>
      </c>
    </row>
    <row r="590">
      <c r="A590" s="9" t="s">
        <v>1631</v>
      </c>
      <c r="B590" s="10" t="s">
        <v>87</v>
      </c>
      <c r="C590" s="10" t="s">
        <v>2953</v>
      </c>
      <c r="D590" s="14" t="s">
        <v>25</v>
      </c>
      <c r="E590" s="10"/>
      <c r="F590" s="10" t="s">
        <v>2935</v>
      </c>
      <c r="G590" s="111">
        <f>'Stavební rozpočet'!G2535</f>
      </c>
      <c r="H590" s="111">
        <f>'Stavební rozpočet'!H2535</f>
      </c>
      <c r="I590" s="111">
        <f>G590*H590</f>
      </c>
      <c r="J590" s="153" t="s">
        <v>4</v>
      </c>
      <c r="K590" s="146"/>
      <c r="Z590" s="111">
        <f>IF(AQ590="5",BJ590,0)</f>
      </c>
      <c r="AB590" s="111">
        <f>IF(AQ590="1",BH590,0)</f>
      </c>
      <c r="AC590" s="111">
        <f>IF(AQ590="1",BI590,0)</f>
      </c>
      <c r="AD590" s="111">
        <f>IF(AQ590="7",BH590,0)</f>
      </c>
      <c r="AE590" s="111">
        <f>IF(AQ590="7",BI590,0)</f>
      </c>
      <c r="AF590" s="111">
        <f>IF(AQ590="2",BH590,0)</f>
      </c>
      <c r="AG590" s="111">
        <f>IF(AQ590="2",BI590,0)</f>
      </c>
      <c r="AH590" s="111">
        <f>IF(AQ590="0",BJ590,0)</f>
      </c>
      <c r="AI590" s="132" t="s">
        <v>87</v>
      </c>
      <c r="AJ590" s="111">
        <f>IF(AN590=0,I590,0)</f>
      </c>
      <c r="AK590" s="111">
        <f>IF(AN590=12,I590,0)</f>
      </c>
      <c r="AL590" s="111">
        <f>IF(AN590=21,I590,0)</f>
      </c>
      <c r="AN590" s="111" t="n">
        <v>21</v>
      </c>
      <c r="AO590" s="111">
        <f>H590*0</f>
      </c>
      <c r="AP590" s="111">
        <f>H590*(1-0)</f>
      </c>
      <c r="AQ590" s="153" t="s">
        <v>802</v>
      </c>
      <c r="AV590" s="111">
        <f>AW590+AX590</f>
      </c>
      <c r="AW590" s="111">
        <f>G590*AO590</f>
      </c>
      <c r="AX590" s="111">
        <f>G590*AP590</f>
      </c>
      <c r="AY590" s="153" t="s">
        <v>2955</v>
      </c>
      <c r="AZ590" s="153" t="s">
        <v>3850</v>
      </c>
      <c r="BA590" s="132" t="s">
        <v>2990</v>
      </c>
      <c r="BC590" s="111">
        <f>AW590+AX590</f>
      </c>
      <c r="BD590" s="111">
        <f>H590/(100-BE590)*100</f>
      </c>
      <c r="BE590" s="111" t="n">
        <v>0</v>
      </c>
      <c r="BF590" s="111">
        <f>590</f>
      </c>
      <c r="BH590" s="111">
        <f>G590*AO590</f>
      </c>
      <c r="BI590" s="111">
        <f>G590*AP590</f>
      </c>
      <c r="BJ590" s="111">
        <f>G590*H590</f>
      </c>
      <c r="BK590" s="111"/>
      <c r="BL590" s="111"/>
      <c r="BO590" s="111">
        <f>G590*H590</f>
      </c>
      <c r="BW590" s="111" t="n">
        <v>21</v>
      </c>
      <c r="BX590" s="14" t="s">
        <v>25</v>
      </c>
    </row>
    <row r="591">
      <c r="A591" s="175"/>
      <c r="B591" s="176"/>
      <c r="C591" s="176"/>
      <c r="D591" s="173" t="s">
        <v>130</v>
      </c>
      <c r="E591" s="173" t="s">
        <v>4</v>
      </c>
      <c r="F591" s="176"/>
      <c r="G591" s="174" t="n">
        <v>1</v>
      </c>
      <c r="H591" s="176"/>
      <c r="I591" s="176"/>
      <c r="J591" s="176"/>
      <c r="K591" s="168"/>
    </row>
    <row r="592">
      <c r="I592" s="115">
        <f>I13+I21+I25+I29+I43+I79+I91+I103+I106+I111+I116+I123+I147+I150+I165+I205+I208+I211+I218+I221+I230+I235+I312+I477+I480+I509+I512+I515+I518+I521+I524+I589</f>
      </c>
    </row>
    <row r="593">
      <c r="A593" s="116" t="s">
        <v>56</v>
      </c>
    </row>
    <row r="594" customHeight="true" ht="12.75">
      <c r="A594" s="14" t="s">
        <v>4</v>
      </c>
      <c r="B594" s="10"/>
      <c r="C594" s="10"/>
      <c r="D594" s="10"/>
      <c r="E594" s="10"/>
      <c r="F594" s="10"/>
      <c r="G594" s="10"/>
      <c r="H594" s="10"/>
      <c r="I594" s="10"/>
      <c r="J594" s="10"/>
      <c r="K594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H8:H9"/>
    <mergeCell ref="J2:K3"/>
    <mergeCell ref="J4:K5"/>
    <mergeCell ref="J6:K7"/>
    <mergeCell ref="J8:K9"/>
    <mergeCell ref="D10:E10"/>
    <mergeCell ref="D11:E11"/>
    <mergeCell ref="D12:E12"/>
    <mergeCell ref="D13:E13"/>
    <mergeCell ref="D14:E14"/>
    <mergeCell ref="D15:K15"/>
    <mergeCell ref="D17:E17"/>
    <mergeCell ref="D19:E19"/>
    <mergeCell ref="D21:E21"/>
    <mergeCell ref="D22:E22"/>
    <mergeCell ref="D23:K23"/>
    <mergeCell ref="D25:E25"/>
    <mergeCell ref="D26:E26"/>
    <mergeCell ref="D29:E29"/>
    <mergeCell ref="D30:E30"/>
    <mergeCell ref="D32:E32"/>
    <mergeCell ref="D34:E34"/>
    <mergeCell ref="D36:E36"/>
    <mergeCell ref="D41:E41"/>
    <mergeCell ref="D43:E43"/>
    <mergeCell ref="D44:E44"/>
    <mergeCell ref="D48:E48"/>
    <mergeCell ref="D51:E51"/>
    <mergeCell ref="D53:E53"/>
    <mergeCell ref="D55:E55"/>
    <mergeCell ref="D57:E57"/>
    <mergeCell ref="D59:E59"/>
    <mergeCell ref="D61:E61"/>
    <mergeCell ref="D63:E63"/>
    <mergeCell ref="D65:E65"/>
    <mergeCell ref="D67:E67"/>
    <mergeCell ref="D69:E69"/>
    <mergeCell ref="D71:E71"/>
    <mergeCell ref="D73:E73"/>
    <mergeCell ref="D75:E75"/>
    <mergeCell ref="D77:E77"/>
    <mergeCell ref="D79:E79"/>
    <mergeCell ref="D80:E80"/>
    <mergeCell ref="D84:E84"/>
    <mergeCell ref="D91:E91"/>
    <mergeCell ref="D92:E92"/>
    <mergeCell ref="D94:E94"/>
    <mergeCell ref="D96:E96"/>
    <mergeCell ref="D97:K97"/>
    <mergeCell ref="D103:E103"/>
    <mergeCell ref="D104:E104"/>
    <mergeCell ref="D106:E106"/>
    <mergeCell ref="D107:E107"/>
    <mergeCell ref="D109:E109"/>
    <mergeCell ref="D111:E111"/>
    <mergeCell ref="D112:E112"/>
    <mergeCell ref="D113:K113"/>
    <mergeCell ref="D116:E116"/>
    <mergeCell ref="D117:E117"/>
    <mergeCell ref="D118:K118"/>
    <mergeCell ref="D120:E120"/>
    <mergeCell ref="D121:K121"/>
    <mergeCell ref="D123:E123"/>
    <mergeCell ref="D124:E124"/>
    <mergeCell ref="D125:K125"/>
    <mergeCell ref="D133:E133"/>
    <mergeCell ref="D135:E135"/>
    <mergeCell ref="D138:E138"/>
    <mergeCell ref="D142:E142"/>
    <mergeCell ref="D144:E144"/>
    <mergeCell ref="D145:K145"/>
    <mergeCell ref="D147:E147"/>
    <mergeCell ref="D148:E148"/>
    <mergeCell ref="D150:E150"/>
    <mergeCell ref="D151:E151"/>
    <mergeCell ref="D153:E153"/>
    <mergeCell ref="D155:E155"/>
    <mergeCell ref="D157:E157"/>
    <mergeCell ref="D159:E159"/>
    <mergeCell ref="D161:E161"/>
    <mergeCell ref="D163:E163"/>
    <mergeCell ref="D165:E165"/>
    <mergeCell ref="D166:E166"/>
    <mergeCell ref="D168:E168"/>
    <mergeCell ref="D170:E170"/>
    <mergeCell ref="D172:E172"/>
    <mergeCell ref="D174:E174"/>
    <mergeCell ref="D175:K175"/>
    <mergeCell ref="D177:E177"/>
    <mergeCell ref="D178:K178"/>
    <mergeCell ref="D180:E180"/>
    <mergeCell ref="D182:E182"/>
    <mergeCell ref="D184:E184"/>
    <mergeCell ref="D185:K185"/>
    <mergeCell ref="D187:E187"/>
    <mergeCell ref="D188:K188"/>
    <mergeCell ref="D190:E190"/>
    <mergeCell ref="D191:K191"/>
    <mergeCell ref="D193:E193"/>
    <mergeCell ref="D194:K194"/>
    <mergeCell ref="D196:E196"/>
    <mergeCell ref="D197:K197"/>
    <mergeCell ref="D199:E199"/>
    <mergeCell ref="D200:K200"/>
    <mergeCell ref="D203:E203"/>
    <mergeCell ref="D205:E205"/>
    <mergeCell ref="D206:E206"/>
    <mergeCell ref="D208:E208"/>
    <mergeCell ref="D209:E209"/>
    <mergeCell ref="D211:E211"/>
    <mergeCell ref="D212:E212"/>
    <mergeCell ref="D214:E214"/>
    <mergeCell ref="D216:E216"/>
    <mergeCell ref="D218:E218"/>
    <mergeCell ref="D219:E219"/>
    <mergeCell ref="D221:E221"/>
    <mergeCell ref="D222:E222"/>
    <mergeCell ref="D223:K223"/>
    <mergeCell ref="D225:E225"/>
    <mergeCell ref="D226:K226"/>
    <mergeCell ref="D228:E228"/>
    <mergeCell ref="D230:E230"/>
    <mergeCell ref="D231:E231"/>
    <mergeCell ref="D233:E233"/>
    <mergeCell ref="D235:E235"/>
    <mergeCell ref="D236:E236"/>
    <mergeCell ref="D238:E238"/>
    <mergeCell ref="D240:E240"/>
    <mergeCell ref="D242:E242"/>
    <mergeCell ref="D244:E244"/>
    <mergeCell ref="D246:E246"/>
    <mergeCell ref="D248:E248"/>
    <mergeCell ref="D250:E250"/>
    <mergeCell ref="D252:E252"/>
    <mergeCell ref="D254:E254"/>
    <mergeCell ref="D256:E256"/>
    <mergeCell ref="D258:E258"/>
    <mergeCell ref="D260:E260"/>
    <mergeCell ref="D261:K261"/>
    <mergeCell ref="D263:E263"/>
    <mergeCell ref="D264:K264"/>
    <mergeCell ref="D266:E266"/>
    <mergeCell ref="D268:E268"/>
    <mergeCell ref="D270:E270"/>
    <mergeCell ref="D272:E272"/>
    <mergeCell ref="D274:E274"/>
    <mergeCell ref="D276:E276"/>
    <mergeCell ref="D278:E278"/>
    <mergeCell ref="D280:E280"/>
    <mergeCell ref="D282:E282"/>
    <mergeCell ref="D284:E284"/>
    <mergeCell ref="D286:E286"/>
    <mergeCell ref="D288:E288"/>
    <mergeCell ref="D290:E290"/>
    <mergeCell ref="D291:K291"/>
    <mergeCell ref="D293:E293"/>
    <mergeCell ref="D294:K294"/>
    <mergeCell ref="D296:E296"/>
    <mergeCell ref="D297:K297"/>
    <mergeCell ref="D299:E299"/>
    <mergeCell ref="D300:K300"/>
    <mergeCell ref="D303:E303"/>
    <mergeCell ref="D305:E305"/>
    <mergeCell ref="D306:K306"/>
    <mergeCell ref="D308:E308"/>
    <mergeCell ref="D310:E310"/>
    <mergeCell ref="D312:E312"/>
    <mergeCell ref="D313:E313"/>
    <mergeCell ref="D315:E315"/>
    <mergeCell ref="D317:E317"/>
    <mergeCell ref="D319:E319"/>
    <mergeCell ref="D321:E321"/>
    <mergeCell ref="D322:K322"/>
    <mergeCell ref="D324:E324"/>
    <mergeCell ref="D325:K325"/>
    <mergeCell ref="D327:E327"/>
    <mergeCell ref="D328:K328"/>
    <mergeCell ref="D330:E330"/>
    <mergeCell ref="D331:K331"/>
    <mergeCell ref="D333:E333"/>
    <mergeCell ref="D334:K334"/>
    <mergeCell ref="D336:E336"/>
    <mergeCell ref="D337:K337"/>
    <mergeCell ref="D339:E339"/>
    <mergeCell ref="D340:K340"/>
    <mergeCell ref="D342:E342"/>
    <mergeCell ref="D343:K343"/>
    <mergeCell ref="D345:E345"/>
    <mergeCell ref="D346:K346"/>
    <mergeCell ref="D348:E348"/>
    <mergeCell ref="D349:K349"/>
    <mergeCell ref="D351:E351"/>
    <mergeCell ref="D352:K352"/>
    <mergeCell ref="D354:E354"/>
    <mergeCell ref="D355:K355"/>
    <mergeCell ref="D357:E357"/>
    <mergeCell ref="D358:K358"/>
    <mergeCell ref="D360:E360"/>
    <mergeCell ref="D361:K361"/>
    <mergeCell ref="D363:E363"/>
    <mergeCell ref="D364:K364"/>
    <mergeCell ref="D366:E366"/>
    <mergeCell ref="D367:K367"/>
    <mergeCell ref="D369:E369"/>
    <mergeCell ref="D370:K370"/>
    <mergeCell ref="D372:E372"/>
    <mergeCell ref="D373:K373"/>
    <mergeCell ref="D375:E375"/>
    <mergeCell ref="D376:K376"/>
    <mergeCell ref="D378:E378"/>
    <mergeCell ref="D380:E380"/>
    <mergeCell ref="D382:E382"/>
    <mergeCell ref="D384:E384"/>
    <mergeCell ref="D386:E386"/>
    <mergeCell ref="D388:E388"/>
    <mergeCell ref="D390:E390"/>
    <mergeCell ref="D392:E392"/>
    <mergeCell ref="D394:E394"/>
    <mergeCell ref="D396:E396"/>
    <mergeCell ref="D398:E398"/>
    <mergeCell ref="D400:E400"/>
    <mergeCell ref="D402:E402"/>
    <mergeCell ref="D404:E404"/>
    <mergeCell ref="D406:E406"/>
    <mergeCell ref="D408:E408"/>
    <mergeCell ref="D410:E410"/>
    <mergeCell ref="D412:E412"/>
    <mergeCell ref="D414:E414"/>
    <mergeCell ref="D416:E416"/>
    <mergeCell ref="D418:E418"/>
    <mergeCell ref="D420:E420"/>
    <mergeCell ref="D422:E422"/>
    <mergeCell ref="D424:E424"/>
    <mergeCell ref="D426:E426"/>
    <mergeCell ref="D428:E428"/>
    <mergeCell ref="D430:E430"/>
    <mergeCell ref="D432:E432"/>
    <mergeCell ref="D434:E434"/>
    <mergeCell ref="D436:E436"/>
    <mergeCell ref="D438:E438"/>
    <mergeCell ref="D440:E440"/>
    <mergeCell ref="D442:E442"/>
    <mergeCell ref="D444:E444"/>
    <mergeCell ref="D446:E446"/>
    <mergeCell ref="D448:E448"/>
    <mergeCell ref="D450:E450"/>
    <mergeCell ref="D452:E452"/>
    <mergeCell ref="D453:K453"/>
    <mergeCell ref="D455:E455"/>
    <mergeCell ref="D457:E457"/>
    <mergeCell ref="D459:E459"/>
    <mergeCell ref="D461:E461"/>
    <mergeCell ref="D463:E463"/>
    <mergeCell ref="D465:E465"/>
    <mergeCell ref="D467:E467"/>
    <mergeCell ref="D469:E469"/>
    <mergeCell ref="D471:E471"/>
    <mergeCell ref="D473:E473"/>
    <mergeCell ref="D475:E475"/>
    <mergeCell ref="D477:E477"/>
    <mergeCell ref="D478:E478"/>
    <mergeCell ref="D480:E480"/>
    <mergeCell ref="D481:E481"/>
    <mergeCell ref="D482:K482"/>
    <mergeCell ref="D484:E484"/>
    <mergeCell ref="D486:E486"/>
    <mergeCell ref="D487:K487"/>
    <mergeCell ref="D489:E489"/>
    <mergeCell ref="D490:K490"/>
    <mergeCell ref="D492:E492"/>
    <mergeCell ref="D493:K493"/>
    <mergeCell ref="D495:E495"/>
    <mergeCell ref="D497:E497"/>
    <mergeCell ref="D499:E499"/>
    <mergeCell ref="D500:K500"/>
    <mergeCell ref="D502:E502"/>
    <mergeCell ref="D504:E504"/>
    <mergeCell ref="D506:E506"/>
    <mergeCell ref="D507:K507"/>
    <mergeCell ref="D509:E509"/>
    <mergeCell ref="D510:E510"/>
    <mergeCell ref="D512:E512"/>
    <mergeCell ref="D513:E513"/>
    <mergeCell ref="D515:E515"/>
    <mergeCell ref="D516:E516"/>
    <mergeCell ref="D518:E518"/>
    <mergeCell ref="D519:E519"/>
    <mergeCell ref="D521:E521"/>
    <mergeCell ref="D522:E522"/>
    <mergeCell ref="D524:E524"/>
    <mergeCell ref="D525:E525"/>
    <mergeCell ref="D527:E527"/>
    <mergeCell ref="D529:E529"/>
    <mergeCell ref="D531:E531"/>
    <mergeCell ref="D533:E533"/>
    <mergeCell ref="D535:E535"/>
    <mergeCell ref="D538:E538"/>
    <mergeCell ref="D541:E541"/>
    <mergeCell ref="D544:E544"/>
    <mergeCell ref="D547:E547"/>
    <mergeCell ref="D550:E550"/>
    <mergeCell ref="D552:E552"/>
    <mergeCell ref="D554:E554"/>
    <mergeCell ref="D556:E556"/>
    <mergeCell ref="D558:E558"/>
    <mergeCell ref="D560:E560"/>
    <mergeCell ref="D562:E562"/>
    <mergeCell ref="D564:E564"/>
    <mergeCell ref="D566:E566"/>
    <mergeCell ref="D568:E568"/>
    <mergeCell ref="D570:E570"/>
    <mergeCell ref="D572:E572"/>
    <mergeCell ref="D574:E574"/>
    <mergeCell ref="D576:E576"/>
    <mergeCell ref="D578:E578"/>
    <mergeCell ref="D580:E580"/>
    <mergeCell ref="D582:E582"/>
    <mergeCell ref="D584:E584"/>
    <mergeCell ref="D586:E586"/>
    <mergeCell ref="D588:E588"/>
    <mergeCell ref="D589:E589"/>
    <mergeCell ref="D590:E590"/>
    <mergeCell ref="A594:K594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129"/>
  <sheetViews>
    <sheetView workbookViewId="0" showZeros="true" showFormulas="false" showGridLines="true" showRowColHeaders="true">
      <pane topLeftCell="A12" state="frozen" activePane="bottomLeft" ySplit="11"/>
      <selection pane="bottomLeft" sqref="A129:K129" activeCell="A129"/>
    </sheetView>
  </sheetViews>
  <sheetFormatPr defaultColWidth="12.140625" customHeight="true" defaultRowHeight="15"/>
  <cols>
    <col max="1" min="1" style="0" width="3.140625" customWidth="true"/>
    <col max="2" min="2" style="0" width="7.5703125" customWidth="true"/>
    <col max="3" min="3" style="0" width="17.85546875" customWidth="true"/>
    <col max="4" min="4" style="0" width="42.85546875" customWidth="true"/>
    <col max="5" min="5" style="0" width="35.7109375" customWidth="true"/>
    <col max="6" min="6" style="0" width="7.42578125" customWidth="true"/>
    <col max="7" min="7" style="0" width="12.85546875" customWidth="true"/>
    <col max="8" min="8" style="0" width="12" customWidth="true"/>
    <col max="9" min="9" style="0" width="15.7109375" customWidth="true"/>
    <col max="10" min="10" style="0" width="13.42578125" customWidth="true"/>
    <col max="11" min="11" style="0" width="12.140625"/>
    <col max="75" min="25" style="0" width="12.140625" hidden="true"/>
    <col max="76" min="76" style="0" width="78.5703125" customWidth="true" hidden="true"/>
    <col max="78" min="77" style="0" width="12.140625" hidden="true"/>
  </cols>
  <sheetData>
    <row r="1" customHeight="true" ht="54.75">
      <c r="A1" s="2" t="s">
        <v>5090</v>
      </c>
      <c r="B1" s="2"/>
      <c r="C1" s="2"/>
      <c r="D1" s="2"/>
      <c r="E1" s="2"/>
      <c r="F1" s="2"/>
      <c r="G1" s="2"/>
      <c r="H1" s="2"/>
      <c r="I1" s="2"/>
      <c r="J1" s="2"/>
      <c r="K1" s="2"/>
      <c r="AS1" s="117">
        <f>SUM(AJ1:AJ2)</f>
      </c>
      <c r="AT1" s="117">
        <f>SUM(AK1:AK2)</f>
      </c>
      <c r="AU1" s="117">
        <f>SUM(AL1:AL2)</f>
      </c>
    </row>
    <row r="2">
      <c r="A2" s="3" t="s">
        <v>1</v>
      </c>
      <c r="B2" s="4"/>
      <c r="C2" s="4"/>
      <c r="D2" s="5">
        <f>'Stavební rozpočet'!D2</f>
      </c>
      <c r="E2" s="6"/>
      <c r="F2" s="4" t="s">
        <v>77</v>
      </c>
      <c r="G2" s="4"/>
      <c r="H2" s="7">
        <f>'Stavební rozpočet'!H2</f>
      </c>
      <c r="I2" s="7" t="s">
        <v>2</v>
      </c>
      <c r="J2" s="7">
        <f>'Stavební rozpočet'!J2</f>
      </c>
      <c r="K2" s="8"/>
    </row>
    <row r="3">
      <c r="A3" s="9"/>
      <c r="B3" s="10"/>
      <c r="C3" s="10"/>
      <c r="D3" s="11"/>
      <c r="E3" s="11"/>
      <c r="F3" s="10"/>
      <c r="G3" s="10"/>
      <c r="H3" s="10"/>
      <c r="I3" s="10"/>
      <c r="J3" s="10"/>
      <c r="K3" s="12"/>
    </row>
    <row r="4">
      <c r="A4" s="13" t="s">
        <v>5</v>
      </c>
      <c r="B4" s="10"/>
      <c r="C4" s="10"/>
      <c r="D4" s="14">
        <f>'Stavební rozpočet'!D4</f>
      </c>
      <c r="E4" s="10"/>
      <c r="F4" s="10" t="s">
        <v>9</v>
      </c>
      <c r="G4" s="10"/>
      <c r="H4" s="14">
        <f>'Stavební rozpočet'!H4</f>
      </c>
      <c r="I4" s="14" t="s">
        <v>6</v>
      </c>
      <c r="J4" s="14">
        <f>'Stavební rozpočet'!J4</f>
      </c>
      <c r="K4" s="12"/>
    </row>
    <row r="5">
      <c r="A5" s="9"/>
      <c r="B5" s="10"/>
      <c r="C5" s="10"/>
      <c r="D5" s="10"/>
      <c r="E5" s="10"/>
      <c r="F5" s="10"/>
      <c r="G5" s="10"/>
      <c r="H5" s="10"/>
      <c r="I5" s="10"/>
      <c r="J5" s="10"/>
      <c r="K5" s="12"/>
    </row>
    <row r="6">
      <c r="A6" s="13" t="s">
        <v>7</v>
      </c>
      <c r="B6" s="10"/>
      <c r="C6" s="10"/>
      <c r="D6" s="14">
        <f>'Stavební rozpočet'!D6</f>
      </c>
      <c r="E6" s="10"/>
      <c r="F6" s="10" t="s">
        <v>10</v>
      </c>
      <c r="G6" s="10"/>
      <c r="H6" s="14">
        <f>'Stavební rozpočet'!H6</f>
      </c>
      <c r="I6" s="14" t="s">
        <v>8</v>
      </c>
      <c r="J6" s="14">
        <f>'Stavební rozpočet'!J6</f>
      </c>
      <c r="K6" s="12"/>
    </row>
    <row r="7">
      <c r="A7" s="9"/>
      <c r="B7" s="10"/>
      <c r="C7" s="10"/>
      <c r="D7" s="10"/>
      <c r="E7" s="10"/>
      <c r="F7" s="10"/>
      <c r="G7" s="10"/>
      <c r="H7" s="10"/>
      <c r="I7" s="10"/>
      <c r="J7" s="10"/>
      <c r="K7" s="12"/>
    </row>
    <row r="8">
      <c r="A8" s="13" t="s">
        <v>12</v>
      </c>
      <c r="B8" s="10"/>
      <c r="C8" s="10"/>
      <c r="D8" s="14">
        <f>'Stavební rozpočet'!D8</f>
      </c>
      <c r="E8" s="10"/>
      <c r="F8" s="10" t="s">
        <v>78</v>
      </c>
      <c r="G8" s="10"/>
      <c r="H8" s="14">
        <f>'Stavební rozpočet'!H8</f>
      </c>
      <c r="I8" s="14" t="s">
        <v>13</v>
      </c>
      <c r="J8" s="14">
        <f>'Stavební rozpočet'!J8</f>
      </c>
      <c r="K8" s="12"/>
    </row>
    <row r="9">
      <c r="A9" s="94"/>
      <c r="B9" s="95"/>
      <c r="C9" s="95"/>
      <c r="D9" s="95"/>
      <c r="E9" s="95"/>
      <c r="F9" s="95"/>
      <c r="G9" s="95"/>
      <c r="H9" s="95"/>
      <c r="I9" s="95"/>
      <c r="J9" s="95"/>
      <c r="K9" s="19"/>
    </row>
    <row r="10">
      <c r="A10" s="124" t="s">
        <v>103</v>
      </c>
      <c r="B10" s="125" t="s">
        <v>81</v>
      </c>
      <c r="C10" s="125" t="s">
        <v>104</v>
      </c>
      <c r="D10" s="126" t="s">
        <v>105</v>
      </c>
      <c r="E10" s="127"/>
      <c r="F10" s="125" t="s">
        <v>106</v>
      </c>
      <c r="G10" s="128" t="s">
        <v>107</v>
      </c>
      <c r="H10" s="169" t="s">
        <v>108</v>
      </c>
      <c r="I10" s="101" t="s">
        <v>80</v>
      </c>
      <c r="J10" s="130" t="s">
        <v>109</v>
      </c>
      <c r="K10" s="131"/>
      <c r="BK10" s="132" t="s">
        <v>110</v>
      </c>
      <c r="BL10" s="133" t="s">
        <v>111</v>
      </c>
      <c r="BW10" s="133" t="s">
        <v>112</v>
      </c>
    </row>
    <row r="11">
      <c r="A11" s="134" t="s">
        <v>79</v>
      </c>
      <c r="B11" s="135" t="s">
        <v>79</v>
      </c>
      <c r="C11" s="135" t="s">
        <v>79</v>
      </c>
      <c r="D11" s="103" t="s">
        <v>113</v>
      </c>
      <c r="E11" s="105"/>
      <c r="F11" s="135" t="s">
        <v>79</v>
      </c>
      <c r="G11" s="135" t="s">
        <v>79</v>
      </c>
      <c r="H11" s="170" t="s">
        <v>114</v>
      </c>
      <c r="I11" s="106" t="s">
        <v>83</v>
      </c>
      <c r="J11" s="137" t="s">
        <v>115</v>
      </c>
      <c r="K11" s="138"/>
      <c r="Z11" s="132" t="s">
        <v>116</v>
      </c>
      <c r="AA11" s="132" t="s">
        <v>117</v>
      </c>
      <c r="AB11" s="132" t="s">
        <v>118</v>
      </c>
      <c r="AC11" s="132" t="s">
        <v>119</v>
      </c>
      <c r="AD11" s="132" t="s">
        <v>120</v>
      </c>
      <c r="AE11" s="132" t="s">
        <v>121</v>
      </c>
      <c r="AF11" s="132" t="s">
        <v>122</v>
      </c>
      <c r="AG11" s="132" t="s">
        <v>123</v>
      </c>
      <c r="AH11" s="132" t="s">
        <v>124</v>
      </c>
      <c r="BH11" s="132" t="s">
        <v>125</v>
      </c>
      <c r="BI11" s="132" t="s">
        <v>126</v>
      </c>
      <c r="BJ11" s="132" t="s">
        <v>127</v>
      </c>
    </row>
    <row r="12">
      <c r="A12" s="139" t="s">
        <v>4</v>
      </c>
      <c r="B12" s="140" t="s">
        <v>89</v>
      </c>
      <c r="C12" s="140" t="s">
        <v>4</v>
      </c>
      <c r="D12" s="141" t="s">
        <v>90</v>
      </c>
      <c r="E12" s="140"/>
      <c r="F12" s="142" t="s">
        <v>79</v>
      </c>
      <c r="G12" s="142" t="s">
        <v>79</v>
      </c>
      <c r="H12" s="142" t="s">
        <v>79</v>
      </c>
      <c r="I12" s="144">
        <f>I13+I16+I38+I106+I110+I113+I116+I118</f>
      </c>
      <c r="J12" s="145" t="s">
        <v>4</v>
      </c>
      <c r="K12" s="146"/>
    </row>
    <row r="13">
      <c r="A13" s="147" t="s">
        <v>4</v>
      </c>
      <c r="B13" s="148" t="s">
        <v>89</v>
      </c>
      <c r="C13" s="148" t="s">
        <v>765</v>
      </c>
      <c r="D13" s="149" t="s">
        <v>3851</v>
      </c>
      <c r="E13" s="148"/>
      <c r="F13" s="150" t="s">
        <v>79</v>
      </c>
      <c r="G13" s="150" t="s">
        <v>79</v>
      </c>
      <c r="H13" s="150" t="s">
        <v>79</v>
      </c>
      <c r="I13" s="117">
        <f>SUM(I14:I15)</f>
      </c>
      <c r="J13" s="132" t="s">
        <v>4</v>
      </c>
      <c r="K13" s="146"/>
      <c r="AI13" s="132" t="s">
        <v>89</v>
      </c>
      <c r="AS13" s="117">
        <f>SUM(AJ14:AJ15)</f>
      </c>
      <c r="AT13" s="117">
        <f>SUM(AK14:AK15)</f>
      </c>
      <c r="AU13" s="117">
        <f>SUM(AL14:AL15)</f>
      </c>
    </row>
    <row r="14">
      <c r="A14" s="9" t="s">
        <v>130</v>
      </c>
      <c r="B14" s="10" t="s">
        <v>89</v>
      </c>
      <c r="C14" s="10" t="s">
        <v>3852</v>
      </c>
      <c r="D14" s="14" t="s">
        <v>3853</v>
      </c>
      <c r="E14" s="10"/>
      <c r="F14" s="10" t="s">
        <v>3854</v>
      </c>
      <c r="G14" s="111">
        <f>'Stavební rozpočet'!G2539</f>
      </c>
      <c r="H14" s="111">
        <f>'Stavební rozpočet'!H2539</f>
      </c>
      <c r="I14" s="111">
        <f>G14*H14</f>
      </c>
      <c r="J14" s="153" t="s">
        <v>4</v>
      </c>
      <c r="K14" s="146"/>
      <c r="Z14" s="111">
        <f>IF(AQ14="5",BJ14,0)</f>
      </c>
      <c r="AB14" s="111">
        <f>IF(AQ14="1",BH14,0)</f>
      </c>
      <c r="AC14" s="111">
        <f>IF(AQ14="1",BI14,0)</f>
      </c>
      <c r="AD14" s="111">
        <f>IF(AQ14="7",BH14,0)</f>
      </c>
      <c r="AE14" s="111">
        <f>IF(AQ14="7",BI14,0)</f>
      </c>
      <c r="AF14" s="111">
        <f>IF(AQ14="2",BH14,0)</f>
      </c>
      <c r="AG14" s="111">
        <f>IF(AQ14="2",BI14,0)</f>
      </c>
      <c r="AH14" s="111">
        <f>IF(AQ14="0",BJ14,0)</f>
      </c>
      <c r="AI14" s="132" t="s">
        <v>89</v>
      </c>
      <c r="AJ14" s="111">
        <f>IF(AN14=0,I14,0)</f>
      </c>
      <c r="AK14" s="111">
        <f>IF(AN14=12,I14,0)</f>
      </c>
      <c r="AL14" s="111">
        <f>IF(AN14=21,I14,0)</f>
      </c>
      <c r="AN14" s="111" t="n">
        <v>21</v>
      </c>
      <c r="AO14" s="111">
        <f>H14*0</f>
      </c>
      <c r="AP14" s="111">
        <f>H14*(1-0)</f>
      </c>
      <c r="AQ14" s="153" t="s">
        <v>130</v>
      </c>
      <c r="AV14" s="111">
        <f>AW14+AX14</f>
      </c>
      <c r="AW14" s="111">
        <f>G14*AO14</f>
      </c>
      <c r="AX14" s="111">
        <f>G14*AP14</f>
      </c>
      <c r="AY14" s="153" t="s">
        <v>1436</v>
      </c>
      <c r="AZ14" s="153" t="s">
        <v>3855</v>
      </c>
      <c r="BA14" s="132" t="s">
        <v>3856</v>
      </c>
      <c r="BC14" s="111">
        <f>AW14+AX14</f>
      </c>
      <c r="BD14" s="111">
        <f>H14/(100-BE14)*100</f>
      </c>
      <c r="BE14" s="111" t="n">
        <v>0</v>
      </c>
      <c r="BF14" s="111">
        <f>14</f>
      </c>
      <c r="BH14" s="111">
        <f>G14*AO14</f>
      </c>
      <c r="BI14" s="111">
        <f>G14*AP14</f>
      </c>
      <c r="BJ14" s="111">
        <f>G14*H14</f>
      </c>
      <c r="BK14" s="111"/>
      <c r="BL14" s="111" t="n">
        <v>95</v>
      </c>
      <c r="BW14" s="111" t="n">
        <v>21</v>
      </c>
      <c r="BX14" s="14" t="s">
        <v>3853</v>
      </c>
    </row>
    <row r="15" ht="24.75">
      <c r="A15" s="9" t="s">
        <v>140</v>
      </c>
      <c r="B15" s="10" t="s">
        <v>89</v>
      </c>
      <c r="C15" s="10" t="s">
        <v>3858</v>
      </c>
      <c r="D15" s="14" t="s">
        <v>3859</v>
      </c>
      <c r="E15" s="10"/>
      <c r="F15" s="10" t="s">
        <v>3860</v>
      </c>
      <c r="G15" s="111">
        <f>'Stavební rozpočet'!G2540</f>
      </c>
      <c r="H15" s="111">
        <f>'Stavební rozpočet'!H2540</f>
      </c>
      <c r="I15" s="111">
        <f>G15*H15</f>
      </c>
      <c r="J15" s="153" t="s">
        <v>4</v>
      </c>
      <c r="K15" s="146"/>
      <c r="Z15" s="111">
        <f>IF(AQ15="5",BJ15,0)</f>
      </c>
      <c r="AB15" s="111">
        <f>IF(AQ15="1",BH15,0)</f>
      </c>
      <c r="AC15" s="111">
        <f>IF(AQ15="1",BI15,0)</f>
      </c>
      <c r="AD15" s="111">
        <f>IF(AQ15="7",BH15,0)</f>
      </c>
      <c r="AE15" s="111">
        <f>IF(AQ15="7",BI15,0)</f>
      </c>
      <c r="AF15" s="111">
        <f>IF(AQ15="2",BH15,0)</f>
      </c>
      <c r="AG15" s="111">
        <f>IF(AQ15="2",BI15,0)</f>
      </c>
      <c r="AH15" s="111">
        <f>IF(AQ15="0",BJ15,0)</f>
      </c>
      <c r="AI15" s="132" t="s">
        <v>89</v>
      </c>
      <c r="AJ15" s="111">
        <f>IF(AN15=0,I15,0)</f>
      </c>
      <c r="AK15" s="111">
        <f>IF(AN15=12,I15,0)</f>
      </c>
      <c r="AL15" s="111">
        <f>IF(AN15=21,I15,0)</f>
      </c>
      <c r="AN15" s="111" t="n">
        <v>21</v>
      </c>
      <c r="AO15" s="111">
        <f>H15*0</f>
      </c>
      <c r="AP15" s="111">
        <f>H15*(1-0)</f>
      </c>
      <c r="AQ15" s="153" t="s">
        <v>130</v>
      </c>
      <c r="AV15" s="111">
        <f>AW15+AX15</f>
      </c>
      <c r="AW15" s="111">
        <f>G15*AO15</f>
      </c>
      <c r="AX15" s="111">
        <f>G15*AP15</f>
      </c>
      <c r="AY15" s="153" t="s">
        <v>1436</v>
      </c>
      <c r="AZ15" s="153" t="s">
        <v>3855</v>
      </c>
      <c r="BA15" s="132" t="s">
        <v>3856</v>
      </c>
      <c r="BC15" s="111">
        <f>AW15+AX15</f>
      </c>
      <c r="BD15" s="111">
        <f>H15/(100-BE15)*100</f>
      </c>
      <c r="BE15" s="111" t="n">
        <v>0</v>
      </c>
      <c r="BF15" s="111">
        <f>15</f>
      </c>
      <c r="BH15" s="111">
        <f>G15*AO15</f>
      </c>
      <c r="BI15" s="111">
        <f>G15*AP15</f>
      </c>
      <c r="BJ15" s="111">
        <f>G15*H15</f>
      </c>
      <c r="BK15" s="111"/>
      <c r="BL15" s="111" t="n">
        <v>95</v>
      </c>
      <c r="BW15" s="111" t="n">
        <v>21</v>
      </c>
      <c r="BX15" s="14" t="s">
        <v>3859</v>
      </c>
    </row>
    <row r="16">
      <c r="A16" s="147" t="s">
        <v>4</v>
      </c>
      <c r="B16" s="148" t="s">
        <v>89</v>
      </c>
      <c r="C16" s="148" t="s">
        <v>1850</v>
      </c>
      <c r="D16" s="149" t="s">
        <v>1851</v>
      </c>
      <c r="E16" s="148"/>
      <c r="F16" s="150" t="s">
        <v>79</v>
      </c>
      <c r="G16" s="150" t="s">
        <v>79</v>
      </c>
      <c r="H16" s="150" t="s">
        <v>79</v>
      </c>
      <c r="I16" s="117">
        <f>SUM(I17:I35)</f>
      </c>
      <c r="J16" s="132" t="s">
        <v>4</v>
      </c>
      <c r="K16" s="146"/>
      <c r="AI16" s="132" t="s">
        <v>89</v>
      </c>
      <c r="AS16" s="117">
        <f>SUM(AJ17:AJ35)</f>
      </c>
      <c r="AT16" s="117">
        <f>SUM(AK17:AK35)</f>
      </c>
      <c r="AU16" s="117">
        <f>SUM(AL17:AL35)</f>
      </c>
    </row>
    <row r="17" ht="24.75">
      <c r="A17" s="9" t="s">
        <v>138</v>
      </c>
      <c r="B17" s="10" t="s">
        <v>89</v>
      </c>
      <c r="C17" s="10" t="s">
        <v>3861</v>
      </c>
      <c r="D17" s="14" t="s">
        <v>3862</v>
      </c>
      <c r="E17" s="10"/>
      <c r="F17" s="10" t="s">
        <v>145</v>
      </c>
      <c r="G17" s="111">
        <f>'Stavební rozpočet'!G2542</f>
      </c>
      <c r="H17" s="111">
        <f>'Stavební rozpočet'!H2542</f>
      </c>
      <c r="I17" s="111">
        <f>G17*H17</f>
      </c>
      <c r="J17" s="153" t="s">
        <v>4</v>
      </c>
      <c r="K17" s="146"/>
      <c r="Z17" s="111">
        <f>IF(AQ17="5",BJ17,0)</f>
      </c>
      <c r="AB17" s="111">
        <f>IF(AQ17="1",BH17,0)</f>
      </c>
      <c r="AC17" s="111">
        <f>IF(AQ17="1",BI17,0)</f>
      </c>
      <c r="AD17" s="111">
        <f>IF(AQ17="7",BH17,0)</f>
      </c>
      <c r="AE17" s="111">
        <f>IF(AQ17="7",BI17,0)</f>
      </c>
      <c r="AF17" s="111">
        <f>IF(AQ17="2",BH17,0)</f>
      </c>
      <c r="AG17" s="111">
        <f>IF(AQ17="2",BI17,0)</f>
      </c>
      <c r="AH17" s="111">
        <f>IF(AQ17="0",BJ17,0)</f>
      </c>
      <c r="AI17" s="132" t="s">
        <v>89</v>
      </c>
      <c r="AJ17" s="111">
        <f>IF(AN17=0,I17,0)</f>
      </c>
      <c r="AK17" s="111">
        <f>IF(AN17=12,I17,0)</f>
      </c>
      <c r="AL17" s="111">
        <f>IF(AN17=21,I17,0)</f>
      </c>
      <c r="AN17" s="111" t="n">
        <v>21</v>
      </c>
      <c r="AO17" s="111">
        <f>H17*0</f>
      </c>
      <c r="AP17" s="111">
        <f>H17*(1-0)</f>
      </c>
      <c r="AQ17" s="153" t="s">
        <v>173</v>
      </c>
      <c r="AV17" s="111">
        <f>AW17+AX17</f>
      </c>
      <c r="AW17" s="111">
        <f>G17*AO17</f>
      </c>
      <c r="AX17" s="111">
        <f>G17*AP17</f>
      </c>
      <c r="AY17" s="153" t="s">
        <v>1855</v>
      </c>
      <c r="AZ17" s="153" t="s">
        <v>3863</v>
      </c>
      <c r="BA17" s="132" t="s">
        <v>3856</v>
      </c>
      <c r="BC17" s="111">
        <f>AW17+AX17</f>
      </c>
      <c r="BD17" s="111">
        <f>H17/(100-BE17)*100</f>
      </c>
      <c r="BE17" s="111" t="n">
        <v>0</v>
      </c>
      <c r="BF17" s="111">
        <f>17</f>
      </c>
      <c r="BH17" s="111">
        <f>G17*AO17</f>
      </c>
      <c r="BI17" s="111">
        <f>G17*AP17</f>
      </c>
      <c r="BJ17" s="111">
        <f>G17*H17</f>
      </c>
      <c r="BK17" s="111"/>
      <c r="BL17" s="111" t="n">
        <v>713</v>
      </c>
      <c r="BW17" s="111" t="n">
        <v>21</v>
      </c>
      <c r="BX17" s="14" t="s">
        <v>3862</v>
      </c>
    </row>
    <row r="18">
      <c r="A18" s="154"/>
      <c r="B18" s="155"/>
      <c r="C18" s="155"/>
      <c r="D18" s="156" t="s">
        <v>3864</v>
      </c>
      <c r="E18" s="156" t="s">
        <v>3865</v>
      </c>
      <c r="F18" s="155"/>
      <c r="G18" s="157" t="n">
        <v>3.5</v>
      </c>
      <c r="H18" s="155"/>
      <c r="I18" s="155"/>
      <c r="J18" s="155"/>
      <c r="K18" s="146"/>
    </row>
    <row r="19">
      <c r="A19" s="154"/>
      <c r="B19" s="155"/>
      <c r="C19" s="155"/>
      <c r="D19" s="156" t="s">
        <v>3866</v>
      </c>
      <c r="E19" s="156" t="s">
        <v>3867</v>
      </c>
      <c r="F19" s="155"/>
      <c r="G19" s="157" t="n">
        <v>3.4</v>
      </c>
      <c r="H19" s="155"/>
      <c r="I19" s="155"/>
      <c r="J19" s="155"/>
      <c r="K19" s="146"/>
    </row>
    <row r="20">
      <c r="A20" s="154"/>
      <c r="B20" s="155"/>
      <c r="C20" s="155"/>
      <c r="D20" s="156" t="s">
        <v>3868</v>
      </c>
      <c r="E20" s="156" t="s">
        <v>3869</v>
      </c>
      <c r="F20" s="155"/>
      <c r="G20" s="157" t="n">
        <v>23.1</v>
      </c>
      <c r="H20" s="155"/>
      <c r="I20" s="155"/>
      <c r="J20" s="155"/>
      <c r="K20" s="146"/>
    </row>
    <row r="21">
      <c r="A21" s="154"/>
      <c r="B21" s="155"/>
      <c r="C21" s="155"/>
      <c r="D21" s="156" t="s">
        <v>3870</v>
      </c>
      <c r="E21" s="156" t="s">
        <v>3871</v>
      </c>
      <c r="F21" s="155"/>
      <c r="G21" s="157" t="n">
        <v>9.85</v>
      </c>
      <c r="H21" s="155"/>
      <c r="I21" s="155"/>
      <c r="J21" s="155"/>
      <c r="K21" s="146"/>
    </row>
    <row r="22">
      <c r="A22" s="154"/>
      <c r="B22" s="155"/>
      <c r="C22" s="155"/>
      <c r="D22" s="156" t="s">
        <v>3872</v>
      </c>
      <c r="E22" s="156" t="s">
        <v>3873</v>
      </c>
      <c r="F22" s="155"/>
      <c r="G22" s="157" t="n">
        <v>34.9</v>
      </c>
      <c r="H22" s="155"/>
      <c r="I22" s="155"/>
      <c r="J22" s="155"/>
      <c r="K22" s="146"/>
    </row>
    <row r="23" ht="24.75">
      <c r="A23" s="9" t="s">
        <v>149</v>
      </c>
      <c r="B23" s="10" t="s">
        <v>89</v>
      </c>
      <c r="C23" s="10" t="s">
        <v>3874</v>
      </c>
      <c r="D23" s="14" t="s">
        <v>3875</v>
      </c>
      <c r="E23" s="10"/>
      <c r="F23" s="10" t="s">
        <v>145</v>
      </c>
      <c r="G23" s="111">
        <f>'Stavební rozpočet'!G2548</f>
      </c>
      <c r="H23" s="111">
        <f>'Stavební rozpočet'!H2548</f>
      </c>
      <c r="I23" s="111">
        <f>G23*H23</f>
      </c>
      <c r="J23" s="153" t="s">
        <v>4</v>
      </c>
      <c r="K23" s="146"/>
      <c r="Z23" s="111">
        <f>IF(AQ23="5",BJ23,0)</f>
      </c>
      <c r="AB23" s="111">
        <f>IF(AQ23="1",BH23,0)</f>
      </c>
      <c r="AC23" s="111">
        <f>IF(AQ23="1",BI23,0)</f>
      </c>
      <c r="AD23" s="111">
        <f>IF(AQ23="7",BH23,0)</f>
      </c>
      <c r="AE23" s="111">
        <f>IF(AQ23="7",BI23,0)</f>
      </c>
      <c r="AF23" s="111">
        <f>IF(AQ23="2",BH23,0)</f>
      </c>
      <c r="AG23" s="111">
        <f>IF(AQ23="2",BI23,0)</f>
      </c>
      <c r="AH23" s="111">
        <f>IF(AQ23="0",BJ23,0)</f>
      </c>
      <c r="AI23" s="132" t="s">
        <v>89</v>
      </c>
      <c r="AJ23" s="111">
        <f>IF(AN23=0,I23,0)</f>
      </c>
      <c r="AK23" s="111">
        <f>IF(AN23=12,I23,0)</f>
      </c>
      <c r="AL23" s="111">
        <f>IF(AN23=21,I23,0)</f>
      </c>
      <c r="AN23" s="111" t="n">
        <v>21</v>
      </c>
      <c r="AO23" s="111">
        <f>H23*0</f>
      </c>
      <c r="AP23" s="111">
        <f>H23*(1-0)</f>
      </c>
      <c r="AQ23" s="153" t="s">
        <v>173</v>
      </c>
      <c r="AV23" s="111">
        <f>AW23+AX23</f>
      </c>
      <c r="AW23" s="111">
        <f>G23*AO23</f>
      </c>
      <c r="AX23" s="111">
        <f>G23*AP23</f>
      </c>
      <c r="AY23" s="153" t="s">
        <v>1855</v>
      </c>
      <c r="AZ23" s="153" t="s">
        <v>3863</v>
      </c>
      <c r="BA23" s="132" t="s">
        <v>3856</v>
      </c>
      <c r="BC23" s="111">
        <f>AW23+AX23</f>
      </c>
      <c r="BD23" s="111">
        <f>H23/(100-BE23)*100</f>
      </c>
      <c r="BE23" s="111" t="n">
        <v>0</v>
      </c>
      <c r="BF23" s="111">
        <f>23</f>
      </c>
      <c r="BH23" s="111">
        <f>G23*AO23</f>
      </c>
      <c r="BI23" s="111">
        <f>G23*AP23</f>
      </c>
      <c r="BJ23" s="111">
        <f>G23*H23</f>
      </c>
      <c r="BK23" s="111"/>
      <c r="BL23" s="111" t="n">
        <v>713</v>
      </c>
      <c r="BW23" s="111" t="n">
        <v>21</v>
      </c>
      <c r="BX23" s="14" t="s">
        <v>3875</v>
      </c>
    </row>
    <row r="24">
      <c r="A24" s="154"/>
      <c r="B24" s="155"/>
      <c r="C24" s="155"/>
      <c r="D24" s="156" t="s">
        <v>3876</v>
      </c>
      <c r="E24" s="156" t="s">
        <v>3877</v>
      </c>
      <c r="F24" s="155"/>
      <c r="G24" s="157" t="n">
        <v>74.75</v>
      </c>
      <c r="H24" s="155"/>
      <c r="I24" s="155"/>
      <c r="J24" s="155"/>
      <c r="K24" s="146"/>
    </row>
    <row r="25">
      <c r="A25" s="9" t="s">
        <v>156</v>
      </c>
      <c r="B25" s="10" t="s">
        <v>89</v>
      </c>
      <c r="C25" s="10" t="s">
        <v>3879</v>
      </c>
      <c r="D25" s="14" t="s">
        <v>3880</v>
      </c>
      <c r="E25" s="10"/>
      <c r="F25" s="10" t="s">
        <v>61</v>
      </c>
      <c r="G25" s="111">
        <f>'Stavební rozpočet'!G2550</f>
      </c>
      <c r="H25" s="111">
        <f>'Stavební rozpočet'!H2550</f>
      </c>
      <c r="I25" s="111">
        <f>G25*H25</f>
      </c>
      <c r="J25" s="153" t="s">
        <v>4</v>
      </c>
      <c r="K25" s="146"/>
      <c r="Z25" s="111">
        <f>IF(AQ25="5",BJ25,0)</f>
      </c>
      <c r="AB25" s="111">
        <f>IF(AQ25="1",BH25,0)</f>
      </c>
      <c r="AC25" s="111">
        <f>IF(AQ25="1",BI25,0)</f>
      </c>
      <c r="AD25" s="111">
        <f>IF(AQ25="7",BH25,0)</f>
      </c>
      <c r="AE25" s="111">
        <f>IF(AQ25="7",BI25,0)</f>
      </c>
      <c r="AF25" s="111">
        <f>IF(AQ25="2",BH25,0)</f>
      </c>
      <c r="AG25" s="111">
        <f>IF(AQ25="2",BI25,0)</f>
      </c>
      <c r="AH25" s="111">
        <f>IF(AQ25="0",BJ25,0)</f>
      </c>
      <c r="AI25" s="132" t="s">
        <v>89</v>
      </c>
      <c r="AJ25" s="111">
        <f>IF(AN25=0,I25,0)</f>
      </c>
      <c r="AK25" s="111">
        <f>IF(AN25=12,I25,0)</f>
      </c>
      <c r="AL25" s="111">
        <f>IF(AN25=21,I25,0)</f>
      </c>
      <c r="AN25" s="111" t="n">
        <v>21</v>
      </c>
      <c r="AO25" s="111">
        <f>H25*0</f>
      </c>
      <c r="AP25" s="111">
        <f>H25*(1-0)</f>
      </c>
      <c r="AQ25" s="153" t="s">
        <v>173</v>
      </c>
      <c r="AV25" s="111">
        <f>AW25+AX25</f>
      </c>
      <c r="AW25" s="111">
        <f>G25*AO25</f>
      </c>
      <c r="AX25" s="111">
        <f>G25*AP25</f>
      </c>
      <c r="AY25" s="153" t="s">
        <v>1855</v>
      </c>
      <c r="AZ25" s="153" t="s">
        <v>3863</v>
      </c>
      <c r="BA25" s="132" t="s">
        <v>3856</v>
      </c>
      <c r="BC25" s="111">
        <f>AW25+AX25</f>
      </c>
      <c r="BD25" s="111">
        <f>H25/(100-BE25)*100</f>
      </c>
      <c r="BE25" s="111" t="n">
        <v>0</v>
      </c>
      <c r="BF25" s="111">
        <f>25</f>
      </c>
      <c r="BH25" s="111">
        <f>G25*AO25</f>
      </c>
      <c r="BI25" s="111">
        <f>G25*AP25</f>
      </c>
      <c r="BJ25" s="111">
        <f>G25*H25</f>
      </c>
      <c r="BK25" s="111"/>
      <c r="BL25" s="111" t="n">
        <v>713</v>
      </c>
      <c r="BW25" s="111" t="n">
        <v>21</v>
      </c>
      <c r="BX25" s="14" t="s">
        <v>3880</v>
      </c>
    </row>
    <row r="26" ht="24.75">
      <c r="A26" s="9" t="s">
        <v>165</v>
      </c>
      <c r="B26" s="10" t="s">
        <v>89</v>
      </c>
      <c r="C26" s="10" t="s">
        <v>3861</v>
      </c>
      <c r="D26" s="14" t="s">
        <v>3862</v>
      </c>
      <c r="E26" s="10"/>
      <c r="F26" s="10" t="s">
        <v>145</v>
      </c>
      <c r="G26" s="111">
        <f>'Stavební rozpočet'!G2551</f>
      </c>
      <c r="H26" s="111">
        <f>'Stavební rozpočet'!H2551</f>
      </c>
      <c r="I26" s="111">
        <f>G26*H26</f>
      </c>
      <c r="J26" s="153" t="s">
        <v>4</v>
      </c>
      <c r="K26" s="146"/>
      <c r="Z26" s="111">
        <f>IF(AQ26="5",BJ26,0)</f>
      </c>
      <c r="AB26" s="111">
        <f>IF(AQ26="1",BH26,0)</f>
      </c>
      <c r="AC26" s="111">
        <f>IF(AQ26="1",BI26,0)</f>
      </c>
      <c r="AD26" s="111">
        <f>IF(AQ26="7",BH26,0)</f>
      </c>
      <c r="AE26" s="111">
        <f>IF(AQ26="7",BI26,0)</f>
      </c>
      <c r="AF26" s="111">
        <f>IF(AQ26="2",BH26,0)</f>
      </c>
      <c r="AG26" s="111">
        <f>IF(AQ26="2",BI26,0)</f>
      </c>
      <c r="AH26" s="111">
        <f>IF(AQ26="0",BJ26,0)</f>
      </c>
      <c r="AI26" s="132" t="s">
        <v>89</v>
      </c>
      <c r="AJ26" s="111">
        <f>IF(AN26=0,I26,0)</f>
      </c>
      <c r="AK26" s="111">
        <f>IF(AN26=12,I26,0)</f>
      </c>
      <c r="AL26" s="111">
        <f>IF(AN26=21,I26,0)</f>
      </c>
      <c r="AN26" s="111" t="n">
        <v>21</v>
      </c>
      <c r="AO26" s="111">
        <f>H26*0</f>
      </c>
      <c r="AP26" s="111">
        <f>H26*(1-0)</f>
      </c>
      <c r="AQ26" s="153" t="s">
        <v>173</v>
      </c>
      <c r="AV26" s="111">
        <f>AW26+AX26</f>
      </c>
      <c r="AW26" s="111">
        <f>G26*AO26</f>
      </c>
      <c r="AX26" s="111">
        <f>G26*AP26</f>
      </c>
      <c r="AY26" s="153" t="s">
        <v>1855</v>
      </c>
      <c r="AZ26" s="153" t="s">
        <v>3863</v>
      </c>
      <c r="BA26" s="132" t="s">
        <v>3856</v>
      </c>
      <c r="BC26" s="111">
        <f>AW26+AX26</f>
      </c>
      <c r="BD26" s="111">
        <f>H26/(100-BE26)*100</f>
      </c>
      <c r="BE26" s="111" t="n">
        <v>0</v>
      </c>
      <c r="BF26" s="111">
        <f>26</f>
      </c>
      <c r="BH26" s="111">
        <f>G26*AO26</f>
      </c>
      <c r="BI26" s="111">
        <f>G26*AP26</f>
      </c>
      <c r="BJ26" s="111">
        <f>G26*H26</f>
      </c>
      <c r="BK26" s="111"/>
      <c r="BL26" s="111" t="n">
        <v>713</v>
      </c>
      <c r="BW26" s="111" t="n">
        <v>21</v>
      </c>
      <c r="BX26" s="14" t="s">
        <v>3862</v>
      </c>
    </row>
    <row r="27">
      <c r="A27" s="154"/>
      <c r="B27" s="155"/>
      <c r="C27" s="155"/>
      <c r="D27" s="156" t="s">
        <v>3882</v>
      </c>
      <c r="E27" s="156" t="s">
        <v>4</v>
      </c>
      <c r="F27" s="155"/>
      <c r="G27" s="157" t="n">
        <v>5.96903</v>
      </c>
      <c r="H27" s="155"/>
      <c r="I27" s="155"/>
      <c r="J27" s="155"/>
      <c r="K27" s="146"/>
    </row>
    <row r="28">
      <c r="A28" s="9" t="s">
        <v>173</v>
      </c>
      <c r="B28" s="10" t="s">
        <v>89</v>
      </c>
      <c r="C28" s="10" t="s">
        <v>3884</v>
      </c>
      <c r="D28" s="14" t="s">
        <v>3885</v>
      </c>
      <c r="E28" s="10"/>
      <c r="F28" s="10" t="s">
        <v>61</v>
      </c>
      <c r="G28" s="111">
        <f>'Stavební rozpočet'!G2553</f>
      </c>
      <c r="H28" s="111">
        <f>'Stavební rozpočet'!H2553</f>
      </c>
      <c r="I28" s="111">
        <f>G28*H28</f>
      </c>
      <c r="J28" s="153" t="s">
        <v>4</v>
      </c>
      <c r="K28" s="146"/>
      <c r="Z28" s="111">
        <f>IF(AQ28="5",BJ28,0)</f>
      </c>
      <c r="AB28" s="111">
        <f>IF(AQ28="1",BH28,0)</f>
      </c>
      <c r="AC28" s="111">
        <f>IF(AQ28="1",BI28,0)</f>
      </c>
      <c r="AD28" s="111">
        <f>IF(AQ28="7",BH28,0)</f>
      </c>
      <c r="AE28" s="111">
        <f>IF(AQ28="7",BI28,0)</f>
      </c>
      <c r="AF28" s="111">
        <f>IF(AQ28="2",BH28,0)</f>
      </c>
      <c r="AG28" s="111">
        <f>IF(AQ28="2",BI28,0)</f>
      </c>
      <c r="AH28" s="111">
        <f>IF(AQ28="0",BJ28,0)</f>
      </c>
      <c r="AI28" s="132" t="s">
        <v>89</v>
      </c>
      <c r="AJ28" s="111">
        <f>IF(AN28=0,I28,0)</f>
      </c>
      <c r="AK28" s="111">
        <f>IF(AN28=12,I28,0)</f>
      </c>
      <c r="AL28" s="111">
        <f>IF(AN28=21,I28,0)</f>
      </c>
      <c r="AN28" s="111" t="n">
        <v>21</v>
      </c>
      <c r="AO28" s="111">
        <f>H28*0</f>
      </c>
      <c r="AP28" s="111">
        <f>H28*(1-0)</f>
      </c>
      <c r="AQ28" s="153" t="s">
        <v>173</v>
      </c>
      <c r="AV28" s="111">
        <f>AW28+AX28</f>
      </c>
      <c r="AW28" s="111">
        <f>G28*AO28</f>
      </c>
      <c r="AX28" s="111">
        <f>G28*AP28</f>
      </c>
      <c r="AY28" s="153" t="s">
        <v>1855</v>
      </c>
      <c r="AZ28" s="153" t="s">
        <v>3863</v>
      </c>
      <c r="BA28" s="132" t="s">
        <v>3856</v>
      </c>
      <c r="BC28" s="111">
        <f>AW28+AX28</f>
      </c>
      <c r="BD28" s="111">
        <f>H28/(100-BE28)*100</f>
      </c>
      <c r="BE28" s="111" t="n">
        <v>0</v>
      </c>
      <c r="BF28" s="111">
        <f>28</f>
      </c>
      <c r="BH28" s="111">
        <f>G28*AO28</f>
      </c>
      <c r="BI28" s="111">
        <f>G28*AP28</f>
      </c>
      <c r="BJ28" s="111">
        <f>G28*H28</f>
      </c>
      <c r="BK28" s="111"/>
      <c r="BL28" s="111" t="n">
        <v>713</v>
      </c>
      <c r="BW28" s="111" t="n">
        <v>21</v>
      </c>
      <c r="BX28" s="14" t="s">
        <v>3885</v>
      </c>
    </row>
    <row r="29">
      <c r="A29" s="9" t="s">
        <v>176</v>
      </c>
      <c r="B29" s="10" t="s">
        <v>89</v>
      </c>
      <c r="C29" s="10" t="s">
        <v>3887</v>
      </c>
      <c r="D29" s="14" t="s">
        <v>3888</v>
      </c>
      <c r="E29" s="10"/>
      <c r="F29" s="10" t="s">
        <v>2426</v>
      </c>
      <c r="G29" s="111">
        <f>'Stavební rozpočet'!G2554</f>
      </c>
      <c r="H29" s="111">
        <f>'Stavební rozpočet'!H2554</f>
      </c>
      <c r="I29" s="111">
        <f>G29*H29</f>
      </c>
      <c r="J29" s="153" t="s">
        <v>4</v>
      </c>
      <c r="K29" s="146"/>
      <c r="Z29" s="111">
        <f>IF(AQ29="5",BJ29,0)</f>
      </c>
      <c r="AB29" s="111">
        <f>IF(AQ29="1",BH29,0)</f>
      </c>
      <c r="AC29" s="111">
        <f>IF(AQ29="1",BI29,0)</f>
      </c>
      <c r="AD29" s="111">
        <f>IF(AQ29="7",BH29,0)</f>
      </c>
      <c r="AE29" s="111">
        <f>IF(AQ29="7",BI29,0)</f>
      </c>
      <c r="AF29" s="111">
        <f>IF(AQ29="2",BH29,0)</f>
      </c>
      <c r="AG29" s="111">
        <f>IF(AQ29="2",BI29,0)</f>
      </c>
      <c r="AH29" s="111">
        <f>IF(AQ29="0",BJ29,0)</f>
      </c>
      <c r="AI29" s="132" t="s">
        <v>89</v>
      </c>
      <c r="AJ29" s="111">
        <f>IF(AN29=0,I29,0)</f>
      </c>
      <c r="AK29" s="111">
        <f>IF(AN29=12,I29,0)</f>
      </c>
      <c r="AL29" s="111">
        <f>IF(AN29=21,I29,0)</f>
      </c>
      <c r="AN29" s="111" t="n">
        <v>21</v>
      </c>
      <c r="AO29" s="111">
        <f>H29*1</f>
      </c>
      <c r="AP29" s="111">
        <f>H29*(1-1)</f>
      </c>
      <c r="AQ29" s="153" t="s">
        <v>173</v>
      </c>
      <c r="AV29" s="111">
        <f>AW29+AX29</f>
      </c>
      <c r="AW29" s="111">
        <f>G29*AO29</f>
      </c>
      <c r="AX29" s="111">
        <f>G29*AP29</f>
      </c>
      <c r="AY29" s="153" t="s">
        <v>1855</v>
      </c>
      <c r="AZ29" s="153" t="s">
        <v>3863</v>
      </c>
      <c r="BA29" s="132" t="s">
        <v>3856</v>
      </c>
      <c r="BC29" s="111">
        <f>AW29+AX29</f>
      </c>
      <c r="BD29" s="111">
        <f>H29/(100-BE29)*100</f>
      </c>
      <c r="BE29" s="111" t="n">
        <v>0</v>
      </c>
      <c r="BF29" s="111">
        <f>29</f>
      </c>
      <c r="BH29" s="111">
        <f>G29*AO29</f>
      </c>
      <c r="BI29" s="111">
        <f>G29*AP29</f>
      </c>
      <c r="BJ29" s="111">
        <f>G29*H29</f>
      </c>
      <c r="BK29" s="111"/>
      <c r="BL29" s="111" t="n">
        <v>713</v>
      </c>
      <c r="BW29" s="111" t="n">
        <v>21</v>
      </c>
      <c r="BX29" s="14" t="s">
        <v>3888</v>
      </c>
    </row>
    <row r="30">
      <c r="A30" s="154"/>
      <c r="B30" s="155"/>
      <c r="C30" s="155"/>
      <c r="D30" s="156" t="s">
        <v>3889</v>
      </c>
      <c r="E30" s="156" t="s">
        <v>3890</v>
      </c>
      <c r="F30" s="155"/>
      <c r="G30" s="157" t="n">
        <v>463.45</v>
      </c>
      <c r="H30" s="155"/>
      <c r="I30" s="155"/>
      <c r="J30" s="155"/>
      <c r="K30" s="146"/>
    </row>
    <row r="31">
      <c r="A31" s="154"/>
      <c r="B31" s="155"/>
      <c r="C31" s="155"/>
      <c r="D31" s="156" t="s">
        <v>3891</v>
      </c>
      <c r="E31" s="156" t="s">
        <v>3892</v>
      </c>
      <c r="F31" s="155"/>
      <c r="G31" s="157" t="n">
        <v>69.5175</v>
      </c>
      <c r="H31" s="155"/>
      <c r="I31" s="155"/>
      <c r="J31" s="155"/>
      <c r="K31" s="146"/>
    </row>
    <row r="32">
      <c r="A32" s="9" t="s">
        <v>183</v>
      </c>
      <c r="B32" s="10" t="s">
        <v>89</v>
      </c>
      <c r="C32" s="10" t="s">
        <v>3894</v>
      </c>
      <c r="D32" s="14" t="s">
        <v>3895</v>
      </c>
      <c r="E32" s="10"/>
      <c r="F32" s="10" t="s">
        <v>145</v>
      </c>
      <c r="G32" s="111">
        <f>'Stavební rozpočet'!G2557</f>
      </c>
      <c r="H32" s="111">
        <f>'Stavební rozpočet'!H2557</f>
      </c>
      <c r="I32" s="111">
        <f>G32*H32</f>
      </c>
      <c r="J32" s="153" t="s">
        <v>4</v>
      </c>
      <c r="K32" s="146"/>
      <c r="Z32" s="111">
        <f>IF(AQ32="5",BJ32,0)</f>
      </c>
      <c r="AB32" s="111">
        <f>IF(AQ32="1",BH32,0)</f>
      </c>
      <c r="AC32" s="111">
        <f>IF(AQ32="1",BI32,0)</f>
      </c>
      <c r="AD32" s="111">
        <f>IF(AQ32="7",BH32,0)</f>
      </c>
      <c r="AE32" s="111">
        <f>IF(AQ32="7",BI32,0)</f>
      </c>
      <c r="AF32" s="111">
        <f>IF(AQ32="2",BH32,0)</f>
      </c>
      <c r="AG32" s="111">
        <f>IF(AQ32="2",BI32,0)</f>
      </c>
      <c r="AH32" s="111">
        <f>IF(AQ32="0",BJ32,0)</f>
      </c>
      <c r="AI32" s="132" t="s">
        <v>89</v>
      </c>
      <c r="AJ32" s="111">
        <f>IF(AN32=0,I32,0)</f>
      </c>
      <c r="AK32" s="111">
        <f>IF(AN32=12,I32,0)</f>
      </c>
      <c r="AL32" s="111">
        <f>IF(AN32=21,I32,0)</f>
      </c>
      <c r="AN32" s="111" t="n">
        <v>21</v>
      </c>
      <c r="AO32" s="111">
        <f>H32*1</f>
      </c>
      <c r="AP32" s="111">
        <f>H32*(1-1)</f>
      </c>
      <c r="AQ32" s="153" t="s">
        <v>173</v>
      </c>
      <c r="AV32" s="111">
        <f>AW32+AX32</f>
      </c>
      <c r="AW32" s="111">
        <f>G32*AO32</f>
      </c>
      <c r="AX32" s="111">
        <f>G32*AP32</f>
      </c>
      <c r="AY32" s="153" t="s">
        <v>1855</v>
      </c>
      <c r="AZ32" s="153" t="s">
        <v>3863</v>
      </c>
      <c r="BA32" s="132" t="s">
        <v>3856</v>
      </c>
      <c r="BC32" s="111">
        <f>AW32+AX32</f>
      </c>
      <c r="BD32" s="111">
        <f>H32/(100-BE32)*100</f>
      </c>
      <c r="BE32" s="111" t="n">
        <v>0</v>
      </c>
      <c r="BF32" s="111">
        <f>32</f>
      </c>
      <c r="BH32" s="111">
        <f>G32*AO32</f>
      </c>
      <c r="BI32" s="111">
        <f>G32*AP32</f>
      </c>
      <c r="BJ32" s="111">
        <f>G32*H32</f>
      </c>
      <c r="BK32" s="111"/>
      <c r="BL32" s="111" t="n">
        <v>713</v>
      </c>
      <c r="BW32" s="111" t="n">
        <v>21</v>
      </c>
      <c r="BX32" s="14" t="s">
        <v>3895</v>
      </c>
    </row>
    <row r="33">
      <c r="A33" s="154"/>
      <c r="B33" s="155"/>
      <c r="C33" s="155"/>
      <c r="D33" s="156" t="s">
        <v>3876</v>
      </c>
      <c r="E33" s="156" t="s">
        <v>3877</v>
      </c>
      <c r="F33" s="155"/>
      <c r="G33" s="157" t="n">
        <v>74.75</v>
      </c>
      <c r="H33" s="155"/>
      <c r="I33" s="155"/>
      <c r="J33" s="155"/>
      <c r="K33" s="146"/>
    </row>
    <row r="34">
      <c r="A34" s="154"/>
      <c r="B34" s="155"/>
      <c r="C34" s="155"/>
      <c r="D34" s="156" t="s">
        <v>3896</v>
      </c>
      <c r="E34" s="156" t="s">
        <v>3892</v>
      </c>
      <c r="F34" s="155"/>
      <c r="G34" s="157" t="n">
        <v>11.2125</v>
      </c>
      <c r="H34" s="155"/>
      <c r="I34" s="155"/>
      <c r="J34" s="155"/>
      <c r="K34" s="146"/>
    </row>
    <row r="35">
      <c r="A35" s="9" t="s">
        <v>186</v>
      </c>
      <c r="B35" s="10" t="s">
        <v>89</v>
      </c>
      <c r="C35" s="10" t="s">
        <v>3898</v>
      </c>
      <c r="D35" s="14" t="s">
        <v>3899</v>
      </c>
      <c r="E35" s="10"/>
      <c r="F35" s="10" t="s">
        <v>282</v>
      </c>
      <c r="G35" s="111">
        <f>'Stavební rozpočet'!G2560</f>
      </c>
      <c r="H35" s="111">
        <f>'Stavební rozpočet'!H2560</f>
      </c>
      <c r="I35" s="111">
        <f>G35*H35</f>
      </c>
      <c r="J35" s="153" t="s">
        <v>4</v>
      </c>
      <c r="K35" s="146"/>
      <c r="Z35" s="111">
        <f>IF(AQ35="5",BJ35,0)</f>
      </c>
      <c r="AB35" s="111">
        <f>IF(AQ35="1",BH35,0)</f>
      </c>
      <c r="AC35" s="111">
        <f>IF(AQ35="1",BI35,0)</f>
      </c>
      <c r="AD35" s="111">
        <f>IF(AQ35="7",BH35,0)</f>
      </c>
      <c r="AE35" s="111">
        <f>IF(AQ35="7",BI35,0)</f>
      </c>
      <c r="AF35" s="111">
        <f>IF(AQ35="2",BH35,0)</f>
      </c>
      <c r="AG35" s="111">
        <f>IF(AQ35="2",BI35,0)</f>
      </c>
      <c r="AH35" s="111">
        <f>IF(AQ35="0",BJ35,0)</f>
      </c>
      <c r="AI35" s="132" t="s">
        <v>89</v>
      </c>
      <c r="AJ35" s="111">
        <f>IF(AN35=0,I35,0)</f>
      </c>
      <c r="AK35" s="111">
        <f>IF(AN35=12,I35,0)</f>
      </c>
      <c r="AL35" s="111">
        <f>IF(AN35=21,I35,0)</f>
      </c>
      <c r="AN35" s="111" t="n">
        <v>21</v>
      </c>
      <c r="AO35" s="111">
        <f>H35*1</f>
      </c>
      <c r="AP35" s="111">
        <f>H35*(1-1)</f>
      </c>
      <c r="AQ35" s="153" t="s">
        <v>173</v>
      </c>
      <c r="AV35" s="111">
        <f>AW35+AX35</f>
      </c>
      <c r="AW35" s="111">
        <f>G35*AO35</f>
      </c>
      <c r="AX35" s="111">
        <f>G35*AP35</f>
      </c>
      <c r="AY35" s="153" t="s">
        <v>1855</v>
      </c>
      <c r="AZ35" s="153" t="s">
        <v>3863</v>
      </c>
      <c r="BA35" s="132" t="s">
        <v>3856</v>
      </c>
      <c r="BC35" s="111">
        <f>AW35+AX35</f>
      </c>
      <c r="BD35" s="111">
        <f>H35/(100-BE35)*100</f>
      </c>
      <c r="BE35" s="111" t="n">
        <v>0</v>
      </c>
      <c r="BF35" s="111">
        <f>35</f>
      </c>
      <c r="BH35" s="111">
        <f>G35*AO35</f>
      </c>
      <c r="BI35" s="111">
        <f>G35*AP35</f>
      </c>
      <c r="BJ35" s="111">
        <f>G35*H35</f>
      </c>
      <c r="BK35" s="111"/>
      <c r="BL35" s="111" t="n">
        <v>713</v>
      </c>
      <c r="BW35" s="111" t="n">
        <v>21</v>
      </c>
      <c r="BX35" s="14" t="s">
        <v>3899</v>
      </c>
    </row>
    <row r="36">
      <c r="A36" s="154"/>
      <c r="B36" s="155"/>
      <c r="C36" s="155"/>
      <c r="D36" s="156" t="s">
        <v>3900</v>
      </c>
      <c r="E36" s="156" t="s">
        <v>4</v>
      </c>
      <c r="F36" s="155"/>
      <c r="G36" s="157" t="n">
        <v>19</v>
      </c>
      <c r="H36" s="155"/>
      <c r="I36" s="155"/>
      <c r="J36" s="155"/>
      <c r="K36" s="146"/>
    </row>
    <row r="37">
      <c r="A37" s="154"/>
      <c r="B37" s="155"/>
      <c r="C37" s="155"/>
      <c r="D37" s="156" t="s">
        <v>3901</v>
      </c>
      <c r="E37" s="156" t="s">
        <v>3902</v>
      </c>
      <c r="F37" s="155"/>
      <c r="G37" s="157" t="n">
        <v>2</v>
      </c>
      <c r="H37" s="155"/>
      <c r="I37" s="155"/>
      <c r="J37" s="155"/>
      <c r="K37" s="146"/>
    </row>
    <row r="38">
      <c r="A38" s="147" t="s">
        <v>4</v>
      </c>
      <c r="B38" s="148" t="s">
        <v>89</v>
      </c>
      <c r="C38" s="148" t="s">
        <v>3723</v>
      </c>
      <c r="D38" s="149" t="s">
        <v>3724</v>
      </c>
      <c r="E38" s="148"/>
      <c r="F38" s="150" t="s">
        <v>79</v>
      </c>
      <c r="G38" s="150" t="s">
        <v>79</v>
      </c>
      <c r="H38" s="150" t="s">
        <v>79</v>
      </c>
      <c r="I38" s="117">
        <f>SUM(I39:I105)</f>
      </c>
      <c r="J38" s="132" t="s">
        <v>4</v>
      </c>
      <c r="K38" s="146"/>
      <c r="AI38" s="132" t="s">
        <v>89</v>
      </c>
      <c r="AS38" s="117">
        <f>SUM(AJ39:AJ105)</f>
      </c>
      <c r="AT38" s="117">
        <f>SUM(AK39:AK105)</f>
      </c>
      <c r="AU38" s="117">
        <f>SUM(AL39:AL105)</f>
      </c>
    </row>
    <row r="39">
      <c r="A39" s="9" t="s">
        <v>128</v>
      </c>
      <c r="B39" s="10" t="s">
        <v>89</v>
      </c>
      <c r="C39" s="10" t="s">
        <v>3903</v>
      </c>
      <c r="D39" s="14" t="s">
        <v>3904</v>
      </c>
      <c r="E39" s="10"/>
      <c r="F39" s="10" t="s">
        <v>282</v>
      </c>
      <c r="G39" s="111">
        <f>'Stavební rozpočet'!G2564</f>
      </c>
      <c r="H39" s="111">
        <f>'Stavební rozpočet'!H2564</f>
      </c>
      <c r="I39" s="111">
        <f>G39*H39</f>
      </c>
      <c r="J39" s="153" t="s">
        <v>4</v>
      </c>
      <c r="K39" s="146"/>
      <c r="Z39" s="111">
        <f>IF(AQ39="5",BJ39,0)</f>
      </c>
      <c r="AB39" s="111">
        <f>IF(AQ39="1",BH39,0)</f>
      </c>
      <c r="AC39" s="111">
        <f>IF(AQ39="1",BI39,0)</f>
      </c>
      <c r="AD39" s="111">
        <f>IF(AQ39="7",BH39,0)</f>
      </c>
      <c r="AE39" s="111">
        <f>IF(AQ39="7",BI39,0)</f>
      </c>
      <c r="AF39" s="111">
        <f>IF(AQ39="2",BH39,0)</f>
      </c>
      <c r="AG39" s="111">
        <f>IF(AQ39="2",BI39,0)</f>
      </c>
      <c r="AH39" s="111">
        <f>IF(AQ39="0",BJ39,0)</f>
      </c>
      <c r="AI39" s="132" t="s">
        <v>89</v>
      </c>
      <c r="AJ39" s="111">
        <f>IF(AN39=0,I39,0)</f>
      </c>
      <c r="AK39" s="111">
        <f>IF(AN39=12,I39,0)</f>
      </c>
      <c r="AL39" s="111">
        <f>IF(AN39=21,I39,0)</f>
      </c>
      <c r="AN39" s="111" t="n">
        <v>21</v>
      </c>
      <c r="AO39" s="111">
        <f>H39*0</f>
      </c>
      <c r="AP39" s="111">
        <f>H39*(1-0)</f>
      </c>
      <c r="AQ39" s="153" t="s">
        <v>173</v>
      </c>
      <c r="AV39" s="111">
        <f>AW39+AX39</f>
      </c>
      <c r="AW39" s="111">
        <f>G39*AO39</f>
      </c>
      <c r="AX39" s="111">
        <f>G39*AP39</f>
      </c>
      <c r="AY39" s="153" t="s">
        <v>3728</v>
      </c>
      <c r="AZ39" s="153" t="s">
        <v>3905</v>
      </c>
      <c r="BA39" s="132" t="s">
        <v>3856</v>
      </c>
      <c r="BC39" s="111">
        <f>AW39+AX39</f>
      </c>
      <c r="BD39" s="111">
        <f>H39/(100-BE39)*100</f>
      </c>
      <c r="BE39" s="111" t="n">
        <v>0</v>
      </c>
      <c r="BF39" s="111">
        <f>39</f>
      </c>
      <c r="BH39" s="111">
        <f>G39*AO39</f>
      </c>
      <c r="BI39" s="111">
        <f>G39*AP39</f>
      </c>
      <c r="BJ39" s="111">
        <f>G39*H39</f>
      </c>
      <c r="BK39" s="111"/>
      <c r="BL39" s="111" t="n">
        <v>732</v>
      </c>
      <c r="BW39" s="111" t="n">
        <v>21</v>
      </c>
      <c r="BX39" s="14" t="s">
        <v>3904</v>
      </c>
    </row>
    <row r="40">
      <c r="A40" s="154"/>
      <c r="B40" s="155"/>
      <c r="C40" s="155"/>
      <c r="D40" s="156" t="s">
        <v>3901</v>
      </c>
      <c r="E40" s="156" t="s">
        <v>3906</v>
      </c>
      <c r="F40" s="155"/>
      <c r="G40" s="157" t="n">
        <v>2</v>
      </c>
      <c r="H40" s="155"/>
      <c r="I40" s="155"/>
      <c r="J40" s="155"/>
      <c r="K40" s="146"/>
    </row>
    <row r="41">
      <c r="A41" s="9" t="s">
        <v>154</v>
      </c>
      <c r="B41" s="10" t="s">
        <v>89</v>
      </c>
      <c r="C41" s="10" t="s">
        <v>3908</v>
      </c>
      <c r="D41" s="14" t="s">
        <v>3909</v>
      </c>
      <c r="E41" s="10"/>
      <c r="F41" s="10" t="s">
        <v>282</v>
      </c>
      <c r="G41" s="111">
        <f>'Stavební rozpočet'!G2566</f>
      </c>
      <c r="H41" s="111">
        <f>'Stavební rozpočet'!H2566</f>
      </c>
      <c r="I41" s="111">
        <f>G41*H41</f>
      </c>
      <c r="J41" s="153" t="s">
        <v>4</v>
      </c>
      <c r="K41" s="146"/>
      <c r="Z41" s="111">
        <f>IF(AQ41="5",BJ41,0)</f>
      </c>
      <c r="AB41" s="111">
        <f>IF(AQ41="1",BH41,0)</f>
      </c>
      <c r="AC41" s="111">
        <f>IF(AQ41="1",BI41,0)</f>
      </c>
      <c r="AD41" s="111">
        <f>IF(AQ41="7",BH41,0)</f>
      </c>
      <c r="AE41" s="111">
        <f>IF(AQ41="7",BI41,0)</f>
      </c>
      <c r="AF41" s="111">
        <f>IF(AQ41="2",BH41,0)</f>
      </c>
      <c r="AG41" s="111">
        <f>IF(AQ41="2",BI41,0)</f>
      </c>
      <c r="AH41" s="111">
        <f>IF(AQ41="0",BJ41,0)</f>
      </c>
      <c r="AI41" s="132" t="s">
        <v>89</v>
      </c>
      <c r="AJ41" s="111">
        <f>IF(AN41=0,I41,0)</f>
      </c>
      <c r="AK41" s="111">
        <f>IF(AN41=12,I41,0)</f>
      </c>
      <c r="AL41" s="111">
        <f>IF(AN41=21,I41,0)</f>
      </c>
      <c r="AN41" s="111" t="n">
        <v>21</v>
      </c>
      <c r="AO41" s="111">
        <f>H41*0</f>
      </c>
      <c r="AP41" s="111">
        <f>H41*(1-0)</f>
      </c>
      <c r="AQ41" s="153" t="s">
        <v>173</v>
      </c>
      <c r="AV41" s="111">
        <f>AW41+AX41</f>
      </c>
      <c r="AW41" s="111">
        <f>G41*AO41</f>
      </c>
      <c r="AX41" s="111">
        <f>G41*AP41</f>
      </c>
      <c r="AY41" s="153" t="s">
        <v>3728</v>
      </c>
      <c r="AZ41" s="153" t="s">
        <v>3905</v>
      </c>
      <c r="BA41" s="132" t="s">
        <v>3856</v>
      </c>
      <c r="BC41" s="111">
        <f>AW41+AX41</f>
      </c>
      <c r="BD41" s="111">
        <f>H41/(100-BE41)*100</f>
      </c>
      <c r="BE41" s="111" t="n">
        <v>0</v>
      </c>
      <c r="BF41" s="111">
        <f>41</f>
      </c>
      <c r="BH41" s="111">
        <f>G41*AO41</f>
      </c>
      <c r="BI41" s="111">
        <f>G41*AP41</f>
      </c>
      <c r="BJ41" s="111">
        <f>G41*H41</f>
      </c>
      <c r="BK41" s="111"/>
      <c r="BL41" s="111" t="n">
        <v>732</v>
      </c>
      <c r="BW41" s="111" t="n">
        <v>21</v>
      </c>
      <c r="BX41" s="14" t="s">
        <v>3909</v>
      </c>
    </row>
    <row r="42">
      <c r="A42" s="154"/>
      <c r="B42" s="155"/>
      <c r="C42" s="155"/>
      <c r="D42" s="156" t="s">
        <v>3910</v>
      </c>
      <c r="E42" s="156" t="s">
        <v>3911</v>
      </c>
      <c r="F42" s="155"/>
      <c r="G42" s="157" t="n">
        <v>1</v>
      </c>
      <c r="H42" s="155"/>
      <c r="I42" s="155"/>
      <c r="J42" s="155"/>
      <c r="K42" s="146"/>
    </row>
    <row r="43">
      <c r="A43" s="9" t="s">
        <v>163</v>
      </c>
      <c r="B43" s="10" t="s">
        <v>89</v>
      </c>
      <c r="C43" s="10" t="s">
        <v>3913</v>
      </c>
      <c r="D43" s="14" t="s">
        <v>3914</v>
      </c>
      <c r="E43" s="10"/>
      <c r="F43" s="10" t="s">
        <v>282</v>
      </c>
      <c r="G43" s="111">
        <f>'Stavební rozpočet'!G2568</f>
      </c>
      <c r="H43" s="111">
        <f>'Stavební rozpočet'!H2568</f>
      </c>
      <c r="I43" s="111">
        <f>G43*H43</f>
      </c>
      <c r="J43" s="153" t="s">
        <v>4</v>
      </c>
      <c r="K43" s="146"/>
      <c r="Z43" s="111">
        <f>IF(AQ43="5",BJ43,0)</f>
      </c>
      <c r="AB43" s="111">
        <f>IF(AQ43="1",BH43,0)</f>
      </c>
      <c r="AC43" s="111">
        <f>IF(AQ43="1",BI43,0)</f>
      </c>
      <c r="AD43" s="111">
        <f>IF(AQ43="7",BH43,0)</f>
      </c>
      <c r="AE43" s="111">
        <f>IF(AQ43="7",BI43,0)</f>
      </c>
      <c r="AF43" s="111">
        <f>IF(AQ43="2",BH43,0)</f>
      </c>
      <c r="AG43" s="111">
        <f>IF(AQ43="2",BI43,0)</f>
      </c>
      <c r="AH43" s="111">
        <f>IF(AQ43="0",BJ43,0)</f>
      </c>
      <c r="AI43" s="132" t="s">
        <v>89</v>
      </c>
      <c r="AJ43" s="111">
        <f>IF(AN43=0,I43,0)</f>
      </c>
      <c r="AK43" s="111">
        <f>IF(AN43=12,I43,0)</f>
      </c>
      <c r="AL43" s="111">
        <f>IF(AN43=21,I43,0)</f>
      </c>
      <c r="AN43" s="111" t="n">
        <v>21</v>
      </c>
      <c r="AO43" s="111">
        <f>H43*0</f>
      </c>
      <c r="AP43" s="111">
        <f>H43*(1-0)</f>
      </c>
      <c r="AQ43" s="153" t="s">
        <v>173</v>
      </c>
      <c r="AV43" s="111">
        <f>AW43+AX43</f>
      </c>
      <c r="AW43" s="111">
        <f>G43*AO43</f>
      </c>
      <c r="AX43" s="111">
        <f>G43*AP43</f>
      </c>
      <c r="AY43" s="153" t="s">
        <v>3728</v>
      </c>
      <c r="AZ43" s="153" t="s">
        <v>3905</v>
      </c>
      <c r="BA43" s="132" t="s">
        <v>3856</v>
      </c>
      <c r="BC43" s="111">
        <f>AW43+AX43</f>
      </c>
      <c r="BD43" s="111">
        <f>H43/(100-BE43)*100</f>
      </c>
      <c r="BE43" s="111" t="n">
        <v>0</v>
      </c>
      <c r="BF43" s="111">
        <f>43</f>
      </c>
      <c r="BH43" s="111">
        <f>G43*AO43</f>
      </c>
      <c r="BI43" s="111">
        <f>G43*AP43</f>
      </c>
      <c r="BJ43" s="111">
        <f>G43*H43</f>
      </c>
      <c r="BK43" s="111"/>
      <c r="BL43" s="111" t="n">
        <v>732</v>
      </c>
      <c r="BW43" s="111" t="n">
        <v>21</v>
      </c>
      <c r="BX43" s="14" t="s">
        <v>3914</v>
      </c>
    </row>
    <row r="44">
      <c r="A44" s="154"/>
      <c r="B44" s="155"/>
      <c r="C44" s="155"/>
      <c r="D44" s="156" t="s">
        <v>3915</v>
      </c>
      <c r="E44" s="156" t="s">
        <v>3916</v>
      </c>
      <c r="F44" s="155"/>
      <c r="G44" s="157" t="n">
        <v>24</v>
      </c>
      <c r="H44" s="155"/>
      <c r="I44" s="155"/>
      <c r="J44" s="155"/>
      <c r="K44" s="146"/>
    </row>
    <row r="45">
      <c r="A45" s="9" t="s">
        <v>212</v>
      </c>
      <c r="B45" s="10" t="s">
        <v>89</v>
      </c>
      <c r="C45" s="10" t="s">
        <v>3918</v>
      </c>
      <c r="D45" s="14" t="s">
        <v>3919</v>
      </c>
      <c r="E45" s="10"/>
      <c r="F45" s="10" t="s">
        <v>282</v>
      </c>
      <c r="G45" s="111">
        <f>'Stavební rozpočet'!G2570</f>
      </c>
      <c r="H45" s="111">
        <f>'Stavební rozpočet'!H2570</f>
      </c>
      <c r="I45" s="111">
        <f>G45*H45</f>
      </c>
      <c r="J45" s="153" t="s">
        <v>4</v>
      </c>
      <c r="K45" s="146"/>
      <c r="Z45" s="111">
        <f>IF(AQ45="5",BJ45,0)</f>
      </c>
      <c r="AB45" s="111">
        <f>IF(AQ45="1",BH45,0)</f>
      </c>
      <c r="AC45" s="111">
        <f>IF(AQ45="1",BI45,0)</f>
      </c>
      <c r="AD45" s="111">
        <f>IF(AQ45="7",BH45,0)</f>
      </c>
      <c r="AE45" s="111">
        <f>IF(AQ45="7",BI45,0)</f>
      </c>
      <c r="AF45" s="111">
        <f>IF(AQ45="2",BH45,0)</f>
      </c>
      <c r="AG45" s="111">
        <f>IF(AQ45="2",BI45,0)</f>
      </c>
      <c r="AH45" s="111">
        <f>IF(AQ45="0",BJ45,0)</f>
      </c>
      <c r="AI45" s="132" t="s">
        <v>89</v>
      </c>
      <c r="AJ45" s="111">
        <f>IF(AN45=0,I45,0)</f>
      </c>
      <c r="AK45" s="111">
        <f>IF(AN45=12,I45,0)</f>
      </c>
      <c r="AL45" s="111">
        <f>IF(AN45=21,I45,0)</f>
      </c>
      <c r="AN45" s="111" t="n">
        <v>21</v>
      </c>
      <c r="AO45" s="111">
        <f>H45*0</f>
      </c>
      <c r="AP45" s="111">
        <f>H45*(1-0)</f>
      </c>
      <c r="AQ45" s="153" t="s">
        <v>173</v>
      </c>
      <c r="AV45" s="111">
        <f>AW45+AX45</f>
      </c>
      <c r="AW45" s="111">
        <f>G45*AO45</f>
      </c>
      <c r="AX45" s="111">
        <f>G45*AP45</f>
      </c>
      <c r="AY45" s="153" t="s">
        <v>3728</v>
      </c>
      <c r="AZ45" s="153" t="s">
        <v>3905</v>
      </c>
      <c r="BA45" s="132" t="s">
        <v>3856</v>
      </c>
      <c r="BC45" s="111">
        <f>AW45+AX45</f>
      </c>
      <c r="BD45" s="111">
        <f>H45/(100-BE45)*100</f>
      </c>
      <c r="BE45" s="111" t="n">
        <v>0</v>
      </c>
      <c r="BF45" s="111">
        <f>45</f>
      </c>
      <c r="BH45" s="111">
        <f>G45*AO45</f>
      </c>
      <c r="BI45" s="111">
        <f>G45*AP45</f>
      </c>
      <c r="BJ45" s="111">
        <f>G45*H45</f>
      </c>
      <c r="BK45" s="111"/>
      <c r="BL45" s="111" t="n">
        <v>732</v>
      </c>
      <c r="BW45" s="111" t="n">
        <v>21</v>
      </c>
      <c r="BX45" s="14" t="s">
        <v>3919</v>
      </c>
    </row>
    <row r="46">
      <c r="A46" s="154"/>
      <c r="B46" s="155"/>
      <c r="C46" s="155"/>
      <c r="D46" s="156" t="s">
        <v>3920</v>
      </c>
      <c r="E46" s="156" t="s">
        <v>3921</v>
      </c>
      <c r="F46" s="155"/>
      <c r="G46" s="157" t="n">
        <v>43</v>
      </c>
      <c r="H46" s="155"/>
      <c r="I46" s="155"/>
      <c r="J46" s="155"/>
      <c r="K46" s="146"/>
    </row>
    <row r="47">
      <c r="A47" s="9" t="s">
        <v>224</v>
      </c>
      <c r="B47" s="10" t="s">
        <v>89</v>
      </c>
      <c r="C47" s="10" t="s">
        <v>3922</v>
      </c>
      <c r="D47" s="14" t="s">
        <v>3923</v>
      </c>
      <c r="E47" s="10"/>
      <c r="F47" s="10" t="s">
        <v>133</v>
      </c>
      <c r="G47" s="111">
        <f>'Stavební rozpočet'!G2572</f>
      </c>
      <c r="H47" s="111">
        <f>'Stavební rozpočet'!H2572</f>
      </c>
      <c r="I47" s="111">
        <f>G47*H47</f>
      </c>
      <c r="J47" s="153" t="s">
        <v>4</v>
      </c>
      <c r="K47" s="146"/>
      <c r="Z47" s="111">
        <f>IF(AQ47="5",BJ47,0)</f>
      </c>
      <c r="AB47" s="111">
        <f>IF(AQ47="1",BH47,0)</f>
      </c>
      <c r="AC47" s="111">
        <f>IF(AQ47="1",BI47,0)</f>
      </c>
      <c r="AD47" s="111">
        <f>IF(AQ47="7",BH47,0)</f>
      </c>
      <c r="AE47" s="111">
        <f>IF(AQ47="7",BI47,0)</f>
      </c>
      <c r="AF47" s="111">
        <f>IF(AQ47="2",BH47,0)</f>
      </c>
      <c r="AG47" s="111">
        <f>IF(AQ47="2",BI47,0)</f>
      </c>
      <c r="AH47" s="111">
        <f>IF(AQ47="0",BJ47,0)</f>
      </c>
      <c r="AI47" s="132" t="s">
        <v>89</v>
      </c>
      <c r="AJ47" s="111">
        <f>IF(AN47=0,I47,0)</f>
      </c>
      <c r="AK47" s="111">
        <f>IF(AN47=12,I47,0)</f>
      </c>
      <c r="AL47" s="111">
        <f>IF(AN47=21,I47,0)</f>
      </c>
      <c r="AN47" s="111" t="n">
        <v>21</v>
      </c>
      <c r="AO47" s="111">
        <f>H47*0</f>
      </c>
      <c r="AP47" s="111">
        <f>H47*(1-0)</f>
      </c>
      <c r="AQ47" s="153" t="s">
        <v>173</v>
      </c>
      <c r="AV47" s="111">
        <f>AW47+AX47</f>
      </c>
      <c r="AW47" s="111">
        <f>G47*AO47</f>
      </c>
      <c r="AX47" s="111">
        <f>G47*AP47</f>
      </c>
      <c r="AY47" s="153" t="s">
        <v>3728</v>
      </c>
      <c r="AZ47" s="153" t="s">
        <v>3905</v>
      </c>
      <c r="BA47" s="132" t="s">
        <v>3856</v>
      </c>
      <c r="BC47" s="111">
        <f>AW47+AX47</f>
      </c>
      <c r="BD47" s="111">
        <f>H47/(100-BE47)*100</f>
      </c>
      <c r="BE47" s="111" t="n">
        <v>0</v>
      </c>
      <c r="BF47" s="111">
        <f>47</f>
      </c>
      <c r="BH47" s="111">
        <f>G47*AO47</f>
      </c>
      <c r="BI47" s="111">
        <f>G47*AP47</f>
      </c>
      <c r="BJ47" s="111">
        <f>G47*H47</f>
      </c>
      <c r="BK47" s="111"/>
      <c r="BL47" s="111" t="n">
        <v>732</v>
      </c>
      <c r="BW47" s="111" t="n">
        <v>21</v>
      </c>
      <c r="BX47" s="14" t="s">
        <v>3923</v>
      </c>
    </row>
    <row r="48">
      <c r="A48" s="9" t="s">
        <v>202</v>
      </c>
      <c r="B48" s="10" t="s">
        <v>89</v>
      </c>
      <c r="C48" s="10" t="s">
        <v>3925</v>
      </c>
      <c r="D48" s="14" t="s">
        <v>3926</v>
      </c>
      <c r="E48" s="10"/>
      <c r="F48" s="10" t="s">
        <v>133</v>
      </c>
      <c r="G48" s="111">
        <f>'Stavební rozpočet'!G2573</f>
      </c>
      <c r="H48" s="111">
        <f>'Stavební rozpočet'!H2573</f>
      </c>
      <c r="I48" s="111">
        <f>G48*H48</f>
      </c>
      <c r="J48" s="153" t="s">
        <v>4</v>
      </c>
      <c r="K48" s="146"/>
      <c r="Z48" s="111">
        <f>IF(AQ48="5",BJ48,0)</f>
      </c>
      <c r="AB48" s="111">
        <f>IF(AQ48="1",BH48,0)</f>
      </c>
      <c r="AC48" s="111">
        <f>IF(AQ48="1",BI48,0)</f>
      </c>
      <c r="AD48" s="111">
        <f>IF(AQ48="7",BH48,0)</f>
      </c>
      <c r="AE48" s="111">
        <f>IF(AQ48="7",BI48,0)</f>
      </c>
      <c r="AF48" s="111">
        <f>IF(AQ48="2",BH48,0)</f>
      </c>
      <c r="AG48" s="111">
        <f>IF(AQ48="2",BI48,0)</f>
      </c>
      <c r="AH48" s="111">
        <f>IF(AQ48="0",BJ48,0)</f>
      </c>
      <c r="AI48" s="132" t="s">
        <v>89</v>
      </c>
      <c r="AJ48" s="111">
        <f>IF(AN48=0,I48,0)</f>
      </c>
      <c r="AK48" s="111">
        <f>IF(AN48=12,I48,0)</f>
      </c>
      <c r="AL48" s="111">
        <f>IF(AN48=21,I48,0)</f>
      </c>
      <c r="AN48" s="111" t="n">
        <v>21</v>
      </c>
      <c r="AO48" s="111">
        <f>H48*0</f>
      </c>
      <c r="AP48" s="111">
        <f>H48*(1-0)</f>
      </c>
      <c r="AQ48" s="153" t="s">
        <v>173</v>
      </c>
      <c r="AV48" s="111">
        <f>AW48+AX48</f>
      </c>
      <c r="AW48" s="111">
        <f>G48*AO48</f>
      </c>
      <c r="AX48" s="111">
        <f>G48*AP48</f>
      </c>
      <c r="AY48" s="153" t="s">
        <v>3728</v>
      </c>
      <c r="AZ48" s="153" t="s">
        <v>3905</v>
      </c>
      <c r="BA48" s="132" t="s">
        <v>3856</v>
      </c>
      <c r="BC48" s="111">
        <f>AW48+AX48</f>
      </c>
      <c r="BD48" s="111">
        <f>H48/(100-BE48)*100</f>
      </c>
      <c r="BE48" s="111" t="n">
        <v>0</v>
      </c>
      <c r="BF48" s="111">
        <f>48</f>
      </c>
      <c r="BH48" s="111">
        <f>G48*AO48</f>
      </c>
      <c r="BI48" s="111">
        <f>G48*AP48</f>
      </c>
      <c r="BJ48" s="111">
        <f>G48*H48</f>
      </c>
      <c r="BK48" s="111"/>
      <c r="BL48" s="111" t="n">
        <v>732</v>
      </c>
      <c r="BW48" s="111" t="n">
        <v>21</v>
      </c>
      <c r="BX48" s="14" t="s">
        <v>3926</v>
      </c>
    </row>
    <row r="49">
      <c r="A49" s="9" t="s">
        <v>232</v>
      </c>
      <c r="B49" s="10" t="s">
        <v>89</v>
      </c>
      <c r="C49" s="10" t="s">
        <v>3928</v>
      </c>
      <c r="D49" s="14" t="s">
        <v>3929</v>
      </c>
      <c r="E49" s="10"/>
      <c r="F49" s="10" t="s">
        <v>133</v>
      </c>
      <c r="G49" s="111">
        <f>'Stavební rozpočet'!G2574</f>
      </c>
      <c r="H49" s="111">
        <f>'Stavební rozpočet'!H2574</f>
      </c>
      <c r="I49" s="111">
        <f>G49*H49</f>
      </c>
      <c r="J49" s="153" t="s">
        <v>4</v>
      </c>
      <c r="K49" s="146"/>
      <c r="Z49" s="111">
        <f>IF(AQ49="5",BJ49,0)</f>
      </c>
      <c r="AB49" s="111">
        <f>IF(AQ49="1",BH49,0)</f>
      </c>
      <c r="AC49" s="111">
        <f>IF(AQ49="1",BI49,0)</f>
      </c>
      <c r="AD49" s="111">
        <f>IF(AQ49="7",BH49,0)</f>
      </c>
      <c r="AE49" s="111">
        <f>IF(AQ49="7",BI49,0)</f>
      </c>
      <c r="AF49" s="111">
        <f>IF(AQ49="2",BH49,0)</f>
      </c>
      <c r="AG49" s="111">
        <f>IF(AQ49="2",BI49,0)</f>
      </c>
      <c r="AH49" s="111">
        <f>IF(AQ49="0",BJ49,0)</f>
      </c>
      <c r="AI49" s="132" t="s">
        <v>89</v>
      </c>
      <c r="AJ49" s="111">
        <f>IF(AN49=0,I49,0)</f>
      </c>
      <c r="AK49" s="111">
        <f>IF(AN49=12,I49,0)</f>
      </c>
      <c r="AL49" s="111">
        <f>IF(AN49=21,I49,0)</f>
      </c>
      <c r="AN49" s="111" t="n">
        <v>21</v>
      </c>
      <c r="AO49" s="111">
        <f>H49*0</f>
      </c>
      <c r="AP49" s="111">
        <f>H49*(1-0)</f>
      </c>
      <c r="AQ49" s="153" t="s">
        <v>173</v>
      </c>
      <c r="AV49" s="111">
        <f>AW49+AX49</f>
      </c>
      <c r="AW49" s="111">
        <f>G49*AO49</f>
      </c>
      <c r="AX49" s="111">
        <f>G49*AP49</f>
      </c>
      <c r="AY49" s="153" t="s">
        <v>3728</v>
      </c>
      <c r="AZ49" s="153" t="s">
        <v>3905</v>
      </c>
      <c r="BA49" s="132" t="s">
        <v>3856</v>
      </c>
      <c r="BC49" s="111">
        <f>AW49+AX49</f>
      </c>
      <c r="BD49" s="111">
        <f>H49/(100-BE49)*100</f>
      </c>
      <c r="BE49" s="111" t="n">
        <v>0</v>
      </c>
      <c r="BF49" s="111">
        <f>49</f>
      </c>
      <c r="BH49" s="111">
        <f>G49*AO49</f>
      </c>
      <c r="BI49" s="111">
        <f>G49*AP49</f>
      </c>
      <c r="BJ49" s="111">
        <f>G49*H49</f>
      </c>
      <c r="BK49" s="111"/>
      <c r="BL49" s="111" t="n">
        <v>732</v>
      </c>
      <c r="BW49" s="111" t="n">
        <v>21</v>
      </c>
      <c r="BX49" s="14" t="s">
        <v>3929</v>
      </c>
    </row>
    <row r="50">
      <c r="A50" s="9" t="s">
        <v>235</v>
      </c>
      <c r="B50" s="10" t="s">
        <v>89</v>
      </c>
      <c r="C50" s="10" t="s">
        <v>3931</v>
      </c>
      <c r="D50" s="14" t="s">
        <v>3932</v>
      </c>
      <c r="E50" s="10"/>
      <c r="F50" s="10" t="s">
        <v>2277</v>
      </c>
      <c r="G50" s="111">
        <f>'Stavební rozpočet'!G2575</f>
      </c>
      <c r="H50" s="111">
        <f>'Stavební rozpočet'!H2575</f>
      </c>
      <c r="I50" s="111">
        <f>G50*H50</f>
      </c>
      <c r="J50" s="153" t="s">
        <v>4</v>
      </c>
      <c r="K50" s="146"/>
      <c r="Z50" s="111">
        <f>IF(AQ50="5",BJ50,0)</f>
      </c>
      <c r="AB50" s="111">
        <f>IF(AQ50="1",BH50,0)</f>
      </c>
      <c r="AC50" s="111">
        <f>IF(AQ50="1",BI50,0)</f>
      </c>
      <c r="AD50" s="111">
        <f>IF(AQ50="7",BH50,0)</f>
      </c>
      <c r="AE50" s="111">
        <f>IF(AQ50="7",BI50,0)</f>
      </c>
      <c r="AF50" s="111">
        <f>IF(AQ50="2",BH50,0)</f>
      </c>
      <c r="AG50" s="111">
        <f>IF(AQ50="2",BI50,0)</f>
      </c>
      <c r="AH50" s="111">
        <f>IF(AQ50="0",BJ50,0)</f>
      </c>
      <c r="AI50" s="132" t="s">
        <v>89</v>
      </c>
      <c r="AJ50" s="111">
        <f>IF(AN50=0,I50,0)</f>
      </c>
      <c r="AK50" s="111">
        <f>IF(AN50=12,I50,0)</f>
      </c>
      <c r="AL50" s="111">
        <f>IF(AN50=21,I50,0)</f>
      </c>
      <c r="AN50" s="111" t="n">
        <v>21</v>
      </c>
      <c r="AO50" s="111">
        <f>H50*0</f>
      </c>
      <c r="AP50" s="111">
        <f>H50*(1-0)</f>
      </c>
      <c r="AQ50" s="153" t="s">
        <v>173</v>
      </c>
      <c r="AV50" s="111">
        <f>AW50+AX50</f>
      </c>
      <c r="AW50" s="111">
        <f>G50*AO50</f>
      </c>
      <c r="AX50" s="111">
        <f>G50*AP50</f>
      </c>
      <c r="AY50" s="153" t="s">
        <v>3728</v>
      </c>
      <c r="AZ50" s="153" t="s">
        <v>3905</v>
      </c>
      <c r="BA50" s="132" t="s">
        <v>3856</v>
      </c>
      <c r="BC50" s="111">
        <f>AW50+AX50</f>
      </c>
      <c r="BD50" s="111">
        <f>H50/(100-BE50)*100</f>
      </c>
      <c r="BE50" s="111" t="n">
        <v>0</v>
      </c>
      <c r="BF50" s="111">
        <f>50</f>
      </c>
      <c r="BH50" s="111">
        <f>G50*AO50</f>
      </c>
      <c r="BI50" s="111">
        <f>G50*AP50</f>
      </c>
      <c r="BJ50" s="111">
        <f>G50*H50</f>
      </c>
      <c r="BK50" s="111"/>
      <c r="BL50" s="111" t="n">
        <v>732</v>
      </c>
      <c r="BW50" s="111" t="n">
        <v>21</v>
      </c>
      <c r="BX50" s="14" t="s">
        <v>3932</v>
      </c>
    </row>
    <row r="51" ht="24.75">
      <c r="A51" s="9" t="s">
        <v>239</v>
      </c>
      <c r="B51" s="10" t="s">
        <v>89</v>
      </c>
      <c r="C51" s="10" t="s">
        <v>3934</v>
      </c>
      <c r="D51" s="14" t="s">
        <v>3935</v>
      </c>
      <c r="E51" s="10"/>
      <c r="F51" s="10" t="s">
        <v>2277</v>
      </c>
      <c r="G51" s="111">
        <f>'Stavební rozpočet'!G2576</f>
      </c>
      <c r="H51" s="111">
        <f>'Stavební rozpočet'!H2576</f>
      </c>
      <c r="I51" s="111">
        <f>G51*H51</f>
      </c>
      <c r="J51" s="153" t="s">
        <v>4</v>
      </c>
      <c r="K51" s="146"/>
      <c r="Z51" s="111">
        <f>IF(AQ51="5",BJ51,0)</f>
      </c>
      <c r="AB51" s="111">
        <f>IF(AQ51="1",BH51,0)</f>
      </c>
      <c r="AC51" s="111">
        <f>IF(AQ51="1",BI51,0)</f>
      </c>
      <c r="AD51" s="111">
        <f>IF(AQ51="7",BH51,0)</f>
      </c>
      <c r="AE51" s="111">
        <f>IF(AQ51="7",BI51,0)</f>
      </c>
      <c r="AF51" s="111">
        <f>IF(AQ51="2",BH51,0)</f>
      </c>
      <c r="AG51" s="111">
        <f>IF(AQ51="2",BI51,0)</f>
      </c>
      <c r="AH51" s="111">
        <f>IF(AQ51="0",BJ51,0)</f>
      </c>
      <c r="AI51" s="132" t="s">
        <v>89</v>
      </c>
      <c r="AJ51" s="111">
        <f>IF(AN51=0,I51,0)</f>
      </c>
      <c r="AK51" s="111">
        <f>IF(AN51=12,I51,0)</f>
      </c>
      <c r="AL51" s="111">
        <f>IF(AN51=21,I51,0)</f>
      </c>
      <c r="AN51" s="111" t="n">
        <v>21</v>
      </c>
      <c r="AO51" s="111">
        <f>H51*0</f>
      </c>
      <c r="AP51" s="111">
        <f>H51*(1-0)</f>
      </c>
      <c r="AQ51" s="153" t="s">
        <v>173</v>
      </c>
      <c r="AV51" s="111">
        <f>AW51+AX51</f>
      </c>
      <c r="AW51" s="111">
        <f>G51*AO51</f>
      </c>
      <c r="AX51" s="111">
        <f>G51*AP51</f>
      </c>
      <c r="AY51" s="153" t="s">
        <v>3728</v>
      </c>
      <c r="AZ51" s="153" t="s">
        <v>3905</v>
      </c>
      <c r="BA51" s="132" t="s">
        <v>3856</v>
      </c>
      <c r="BC51" s="111">
        <f>AW51+AX51</f>
      </c>
      <c r="BD51" s="111">
        <f>H51/(100-BE51)*100</f>
      </c>
      <c r="BE51" s="111" t="n">
        <v>0</v>
      </c>
      <c r="BF51" s="111">
        <f>51</f>
      </c>
      <c r="BH51" s="111">
        <f>G51*AO51</f>
      </c>
      <c r="BI51" s="111">
        <f>G51*AP51</f>
      </c>
      <c r="BJ51" s="111">
        <f>G51*H51</f>
      </c>
      <c r="BK51" s="111"/>
      <c r="BL51" s="111" t="n">
        <v>732</v>
      </c>
      <c r="BW51" s="111" t="n">
        <v>21</v>
      </c>
      <c r="BX51" s="14" t="s">
        <v>3935</v>
      </c>
    </row>
    <row r="52" ht="24.75">
      <c r="A52" s="9" t="s">
        <v>255</v>
      </c>
      <c r="B52" s="10" t="s">
        <v>89</v>
      </c>
      <c r="C52" s="10" t="s">
        <v>3937</v>
      </c>
      <c r="D52" s="14" t="s">
        <v>3938</v>
      </c>
      <c r="E52" s="10"/>
      <c r="F52" s="10" t="s">
        <v>2277</v>
      </c>
      <c r="G52" s="111">
        <f>'Stavební rozpočet'!G2577</f>
      </c>
      <c r="H52" s="111">
        <f>'Stavební rozpočet'!H2577</f>
      </c>
      <c r="I52" s="111">
        <f>G52*H52</f>
      </c>
      <c r="J52" s="153" t="s">
        <v>4</v>
      </c>
      <c r="K52" s="146"/>
      <c r="Z52" s="111">
        <f>IF(AQ52="5",BJ52,0)</f>
      </c>
      <c r="AB52" s="111">
        <f>IF(AQ52="1",BH52,0)</f>
      </c>
      <c r="AC52" s="111">
        <f>IF(AQ52="1",BI52,0)</f>
      </c>
      <c r="AD52" s="111">
        <f>IF(AQ52="7",BH52,0)</f>
      </c>
      <c r="AE52" s="111">
        <f>IF(AQ52="7",BI52,0)</f>
      </c>
      <c r="AF52" s="111">
        <f>IF(AQ52="2",BH52,0)</f>
      </c>
      <c r="AG52" s="111">
        <f>IF(AQ52="2",BI52,0)</f>
      </c>
      <c r="AH52" s="111">
        <f>IF(AQ52="0",BJ52,0)</f>
      </c>
      <c r="AI52" s="132" t="s">
        <v>89</v>
      </c>
      <c r="AJ52" s="111">
        <f>IF(AN52=0,I52,0)</f>
      </c>
      <c r="AK52" s="111">
        <f>IF(AN52=12,I52,0)</f>
      </c>
      <c r="AL52" s="111">
        <f>IF(AN52=21,I52,0)</f>
      </c>
      <c r="AN52" s="111" t="n">
        <v>21</v>
      </c>
      <c r="AO52" s="111">
        <f>H52*0</f>
      </c>
      <c r="AP52" s="111">
        <f>H52*(1-0)</f>
      </c>
      <c r="AQ52" s="153" t="s">
        <v>173</v>
      </c>
      <c r="AV52" s="111">
        <f>AW52+AX52</f>
      </c>
      <c r="AW52" s="111">
        <f>G52*AO52</f>
      </c>
      <c r="AX52" s="111">
        <f>G52*AP52</f>
      </c>
      <c r="AY52" s="153" t="s">
        <v>3728</v>
      </c>
      <c r="AZ52" s="153" t="s">
        <v>3905</v>
      </c>
      <c r="BA52" s="132" t="s">
        <v>3856</v>
      </c>
      <c r="BC52" s="111">
        <f>AW52+AX52</f>
      </c>
      <c r="BD52" s="111">
        <f>H52/(100-BE52)*100</f>
      </c>
      <c r="BE52" s="111" t="n">
        <v>0</v>
      </c>
      <c r="BF52" s="111">
        <f>52</f>
      </c>
      <c r="BH52" s="111">
        <f>G52*AO52</f>
      </c>
      <c r="BI52" s="111">
        <f>G52*AP52</f>
      </c>
      <c r="BJ52" s="111">
        <f>G52*H52</f>
      </c>
      <c r="BK52" s="111"/>
      <c r="BL52" s="111" t="n">
        <v>732</v>
      </c>
      <c r="BW52" s="111" t="n">
        <v>21</v>
      </c>
      <c r="BX52" s="14" t="s">
        <v>3938</v>
      </c>
    </row>
    <row r="53" ht="24.75">
      <c r="A53" s="9" t="s">
        <v>261</v>
      </c>
      <c r="B53" s="10" t="s">
        <v>89</v>
      </c>
      <c r="C53" s="10" t="s">
        <v>3940</v>
      </c>
      <c r="D53" s="14" t="s">
        <v>3941</v>
      </c>
      <c r="E53" s="10"/>
      <c r="F53" s="10" t="s">
        <v>2277</v>
      </c>
      <c r="G53" s="111">
        <f>'Stavební rozpočet'!G2578</f>
      </c>
      <c r="H53" s="111">
        <f>'Stavební rozpočet'!H2578</f>
      </c>
      <c r="I53" s="111">
        <f>G53*H53</f>
      </c>
      <c r="J53" s="153" t="s">
        <v>4</v>
      </c>
      <c r="K53" s="146"/>
      <c r="Z53" s="111">
        <f>IF(AQ53="5",BJ53,0)</f>
      </c>
      <c r="AB53" s="111">
        <f>IF(AQ53="1",BH53,0)</f>
      </c>
      <c r="AC53" s="111">
        <f>IF(AQ53="1",BI53,0)</f>
      </c>
      <c r="AD53" s="111">
        <f>IF(AQ53="7",BH53,0)</f>
      </c>
      <c r="AE53" s="111">
        <f>IF(AQ53="7",BI53,0)</f>
      </c>
      <c r="AF53" s="111">
        <f>IF(AQ53="2",BH53,0)</f>
      </c>
      <c r="AG53" s="111">
        <f>IF(AQ53="2",BI53,0)</f>
      </c>
      <c r="AH53" s="111">
        <f>IF(AQ53="0",BJ53,0)</f>
      </c>
      <c r="AI53" s="132" t="s">
        <v>89</v>
      </c>
      <c r="AJ53" s="111">
        <f>IF(AN53=0,I53,0)</f>
      </c>
      <c r="AK53" s="111">
        <f>IF(AN53=12,I53,0)</f>
      </c>
      <c r="AL53" s="111">
        <f>IF(AN53=21,I53,0)</f>
      </c>
      <c r="AN53" s="111" t="n">
        <v>21</v>
      </c>
      <c r="AO53" s="111">
        <f>H53*0</f>
      </c>
      <c r="AP53" s="111">
        <f>H53*(1-0)</f>
      </c>
      <c r="AQ53" s="153" t="s">
        <v>173</v>
      </c>
      <c r="AV53" s="111">
        <f>AW53+AX53</f>
      </c>
      <c r="AW53" s="111">
        <f>G53*AO53</f>
      </c>
      <c r="AX53" s="111">
        <f>G53*AP53</f>
      </c>
      <c r="AY53" s="153" t="s">
        <v>3728</v>
      </c>
      <c r="AZ53" s="153" t="s">
        <v>3905</v>
      </c>
      <c r="BA53" s="132" t="s">
        <v>3856</v>
      </c>
      <c r="BC53" s="111">
        <f>AW53+AX53</f>
      </c>
      <c r="BD53" s="111">
        <f>H53/(100-BE53)*100</f>
      </c>
      <c r="BE53" s="111" t="n">
        <v>0</v>
      </c>
      <c r="BF53" s="111">
        <f>53</f>
      </c>
      <c r="BH53" s="111">
        <f>G53*AO53</f>
      </c>
      <c r="BI53" s="111">
        <f>G53*AP53</f>
      </c>
      <c r="BJ53" s="111">
        <f>G53*H53</f>
      </c>
      <c r="BK53" s="111"/>
      <c r="BL53" s="111" t="n">
        <v>732</v>
      </c>
      <c r="BW53" s="111" t="n">
        <v>21</v>
      </c>
      <c r="BX53" s="14" t="s">
        <v>3941</v>
      </c>
    </row>
    <row r="54">
      <c r="A54" s="9" t="s">
        <v>266</v>
      </c>
      <c r="B54" s="10" t="s">
        <v>89</v>
      </c>
      <c r="C54" s="10" t="s">
        <v>3943</v>
      </c>
      <c r="D54" s="14" t="s">
        <v>3944</v>
      </c>
      <c r="E54" s="10"/>
      <c r="F54" s="10" t="s">
        <v>2277</v>
      </c>
      <c r="G54" s="111">
        <f>'Stavební rozpočet'!G2579</f>
      </c>
      <c r="H54" s="111">
        <f>'Stavební rozpočet'!H2579</f>
      </c>
      <c r="I54" s="111">
        <f>G54*H54</f>
      </c>
      <c r="J54" s="153" t="s">
        <v>4</v>
      </c>
      <c r="K54" s="146"/>
      <c r="Z54" s="111">
        <f>IF(AQ54="5",BJ54,0)</f>
      </c>
      <c r="AB54" s="111">
        <f>IF(AQ54="1",BH54,0)</f>
      </c>
      <c r="AC54" s="111">
        <f>IF(AQ54="1",BI54,0)</f>
      </c>
      <c r="AD54" s="111">
        <f>IF(AQ54="7",BH54,0)</f>
      </c>
      <c r="AE54" s="111">
        <f>IF(AQ54="7",BI54,0)</f>
      </c>
      <c r="AF54" s="111">
        <f>IF(AQ54="2",BH54,0)</f>
      </c>
      <c r="AG54" s="111">
        <f>IF(AQ54="2",BI54,0)</f>
      </c>
      <c r="AH54" s="111">
        <f>IF(AQ54="0",BJ54,0)</f>
      </c>
      <c r="AI54" s="132" t="s">
        <v>89</v>
      </c>
      <c r="AJ54" s="111">
        <f>IF(AN54=0,I54,0)</f>
      </c>
      <c r="AK54" s="111">
        <f>IF(AN54=12,I54,0)</f>
      </c>
      <c r="AL54" s="111">
        <f>IF(AN54=21,I54,0)</f>
      </c>
      <c r="AN54" s="111" t="n">
        <v>21</v>
      </c>
      <c r="AO54" s="111">
        <f>H54*0</f>
      </c>
      <c r="AP54" s="111">
        <f>H54*(1-0)</f>
      </c>
      <c r="AQ54" s="153" t="s">
        <v>173</v>
      </c>
      <c r="AV54" s="111">
        <f>AW54+AX54</f>
      </c>
      <c r="AW54" s="111">
        <f>G54*AO54</f>
      </c>
      <c r="AX54" s="111">
        <f>G54*AP54</f>
      </c>
      <c r="AY54" s="153" t="s">
        <v>3728</v>
      </c>
      <c r="AZ54" s="153" t="s">
        <v>3905</v>
      </c>
      <c r="BA54" s="132" t="s">
        <v>3856</v>
      </c>
      <c r="BC54" s="111">
        <f>AW54+AX54</f>
      </c>
      <c r="BD54" s="111">
        <f>H54/(100-BE54)*100</f>
      </c>
      <c r="BE54" s="111" t="n">
        <v>0</v>
      </c>
      <c r="BF54" s="111">
        <f>54</f>
      </c>
      <c r="BH54" s="111">
        <f>G54*AO54</f>
      </c>
      <c r="BI54" s="111">
        <f>G54*AP54</f>
      </c>
      <c r="BJ54" s="111">
        <f>G54*H54</f>
      </c>
      <c r="BK54" s="111"/>
      <c r="BL54" s="111" t="n">
        <v>732</v>
      </c>
      <c r="BW54" s="111" t="n">
        <v>21</v>
      </c>
      <c r="BX54" s="14" t="s">
        <v>3944</v>
      </c>
    </row>
    <row r="55">
      <c r="A55" s="9" t="s">
        <v>274</v>
      </c>
      <c r="B55" s="10" t="s">
        <v>89</v>
      </c>
      <c r="C55" s="10" t="s">
        <v>3946</v>
      </c>
      <c r="D55" s="14" t="s">
        <v>3947</v>
      </c>
      <c r="E55" s="10"/>
      <c r="F55" s="10" t="s">
        <v>2277</v>
      </c>
      <c r="G55" s="111">
        <f>'Stavební rozpočet'!G2580</f>
      </c>
      <c r="H55" s="111">
        <f>'Stavební rozpočet'!H2580</f>
      </c>
      <c r="I55" s="111">
        <f>G55*H55</f>
      </c>
      <c r="J55" s="153" t="s">
        <v>4</v>
      </c>
      <c r="K55" s="146"/>
      <c r="Z55" s="111">
        <f>IF(AQ55="5",BJ55,0)</f>
      </c>
      <c r="AB55" s="111">
        <f>IF(AQ55="1",BH55,0)</f>
      </c>
      <c r="AC55" s="111">
        <f>IF(AQ55="1",BI55,0)</f>
      </c>
      <c r="AD55" s="111">
        <f>IF(AQ55="7",BH55,0)</f>
      </c>
      <c r="AE55" s="111">
        <f>IF(AQ55="7",BI55,0)</f>
      </c>
      <c r="AF55" s="111">
        <f>IF(AQ55="2",BH55,0)</f>
      </c>
      <c r="AG55" s="111">
        <f>IF(AQ55="2",BI55,0)</f>
      </c>
      <c r="AH55" s="111">
        <f>IF(AQ55="0",BJ55,0)</f>
      </c>
      <c r="AI55" s="132" t="s">
        <v>89</v>
      </c>
      <c r="AJ55" s="111">
        <f>IF(AN55=0,I55,0)</f>
      </c>
      <c r="AK55" s="111">
        <f>IF(AN55=12,I55,0)</f>
      </c>
      <c r="AL55" s="111">
        <f>IF(AN55=21,I55,0)</f>
      </c>
      <c r="AN55" s="111" t="n">
        <v>21</v>
      </c>
      <c r="AO55" s="111">
        <f>H55*0</f>
      </c>
      <c r="AP55" s="111">
        <f>H55*(1-0)</f>
      </c>
      <c r="AQ55" s="153" t="s">
        <v>173</v>
      </c>
      <c r="AV55" s="111">
        <f>AW55+AX55</f>
      </c>
      <c r="AW55" s="111">
        <f>G55*AO55</f>
      </c>
      <c r="AX55" s="111">
        <f>G55*AP55</f>
      </c>
      <c r="AY55" s="153" t="s">
        <v>3728</v>
      </c>
      <c r="AZ55" s="153" t="s">
        <v>3905</v>
      </c>
      <c r="BA55" s="132" t="s">
        <v>3856</v>
      </c>
      <c r="BC55" s="111">
        <f>AW55+AX55</f>
      </c>
      <c r="BD55" s="111">
        <f>H55/(100-BE55)*100</f>
      </c>
      <c r="BE55" s="111" t="n">
        <v>0</v>
      </c>
      <c r="BF55" s="111">
        <f>55</f>
      </c>
      <c r="BH55" s="111">
        <f>G55*AO55</f>
      </c>
      <c r="BI55" s="111">
        <f>G55*AP55</f>
      </c>
      <c r="BJ55" s="111">
        <f>G55*H55</f>
      </c>
      <c r="BK55" s="111"/>
      <c r="BL55" s="111" t="n">
        <v>732</v>
      </c>
      <c r="BW55" s="111" t="n">
        <v>21</v>
      </c>
      <c r="BX55" s="14" t="s">
        <v>3947</v>
      </c>
    </row>
    <row r="56">
      <c r="A56" s="9" t="s">
        <v>279</v>
      </c>
      <c r="B56" s="10" t="s">
        <v>89</v>
      </c>
      <c r="C56" s="10" t="s">
        <v>3949</v>
      </c>
      <c r="D56" s="14" t="s">
        <v>3950</v>
      </c>
      <c r="E56" s="10"/>
      <c r="F56" s="10" t="s">
        <v>2277</v>
      </c>
      <c r="G56" s="111">
        <f>'Stavební rozpočet'!G2581</f>
      </c>
      <c r="H56" s="111">
        <f>'Stavební rozpočet'!H2581</f>
      </c>
      <c r="I56" s="111">
        <f>G56*H56</f>
      </c>
      <c r="J56" s="153" t="s">
        <v>4</v>
      </c>
      <c r="K56" s="146"/>
      <c r="Z56" s="111">
        <f>IF(AQ56="5",BJ56,0)</f>
      </c>
      <c r="AB56" s="111">
        <f>IF(AQ56="1",BH56,0)</f>
      </c>
      <c r="AC56" s="111">
        <f>IF(AQ56="1",BI56,0)</f>
      </c>
      <c r="AD56" s="111">
        <f>IF(AQ56="7",BH56,0)</f>
      </c>
      <c r="AE56" s="111">
        <f>IF(AQ56="7",BI56,0)</f>
      </c>
      <c r="AF56" s="111">
        <f>IF(AQ56="2",BH56,0)</f>
      </c>
      <c r="AG56" s="111">
        <f>IF(AQ56="2",BI56,0)</f>
      </c>
      <c r="AH56" s="111">
        <f>IF(AQ56="0",BJ56,0)</f>
      </c>
      <c r="AI56" s="132" t="s">
        <v>89</v>
      </c>
      <c r="AJ56" s="111">
        <f>IF(AN56=0,I56,0)</f>
      </c>
      <c r="AK56" s="111">
        <f>IF(AN56=12,I56,0)</f>
      </c>
      <c r="AL56" s="111">
        <f>IF(AN56=21,I56,0)</f>
      </c>
      <c r="AN56" s="111" t="n">
        <v>21</v>
      </c>
      <c r="AO56" s="111">
        <f>H56*0</f>
      </c>
      <c r="AP56" s="111">
        <f>H56*(1-0)</f>
      </c>
      <c r="AQ56" s="153" t="s">
        <v>173</v>
      </c>
      <c r="AV56" s="111">
        <f>AW56+AX56</f>
      </c>
      <c r="AW56" s="111">
        <f>G56*AO56</f>
      </c>
      <c r="AX56" s="111">
        <f>G56*AP56</f>
      </c>
      <c r="AY56" s="153" t="s">
        <v>3728</v>
      </c>
      <c r="AZ56" s="153" t="s">
        <v>3905</v>
      </c>
      <c r="BA56" s="132" t="s">
        <v>3856</v>
      </c>
      <c r="BC56" s="111">
        <f>AW56+AX56</f>
      </c>
      <c r="BD56" s="111">
        <f>H56/(100-BE56)*100</f>
      </c>
      <c r="BE56" s="111" t="n">
        <v>0</v>
      </c>
      <c r="BF56" s="111">
        <f>56</f>
      </c>
      <c r="BH56" s="111">
        <f>G56*AO56</f>
      </c>
      <c r="BI56" s="111">
        <f>G56*AP56</f>
      </c>
      <c r="BJ56" s="111">
        <f>G56*H56</f>
      </c>
      <c r="BK56" s="111"/>
      <c r="BL56" s="111" t="n">
        <v>732</v>
      </c>
      <c r="BW56" s="111" t="n">
        <v>21</v>
      </c>
      <c r="BX56" s="14" t="s">
        <v>3950</v>
      </c>
    </row>
    <row r="57">
      <c r="A57" s="9" t="s">
        <v>290</v>
      </c>
      <c r="B57" s="10" t="s">
        <v>89</v>
      </c>
      <c r="C57" s="10" t="s">
        <v>3952</v>
      </c>
      <c r="D57" s="14" t="s">
        <v>3953</v>
      </c>
      <c r="E57" s="10"/>
      <c r="F57" s="10" t="s">
        <v>2277</v>
      </c>
      <c r="G57" s="111">
        <f>'Stavební rozpočet'!G2582</f>
      </c>
      <c r="H57" s="111">
        <f>'Stavební rozpočet'!H2582</f>
      </c>
      <c r="I57" s="111">
        <f>G57*H57</f>
      </c>
      <c r="J57" s="153" t="s">
        <v>4</v>
      </c>
      <c r="K57" s="146"/>
      <c r="Z57" s="111">
        <f>IF(AQ57="5",BJ57,0)</f>
      </c>
      <c r="AB57" s="111">
        <f>IF(AQ57="1",BH57,0)</f>
      </c>
      <c r="AC57" s="111">
        <f>IF(AQ57="1",BI57,0)</f>
      </c>
      <c r="AD57" s="111">
        <f>IF(AQ57="7",BH57,0)</f>
      </c>
      <c r="AE57" s="111">
        <f>IF(AQ57="7",BI57,0)</f>
      </c>
      <c r="AF57" s="111">
        <f>IF(AQ57="2",BH57,0)</f>
      </c>
      <c r="AG57" s="111">
        <f>IF(AQ57="2",BI57,0)</f>
      </c>
      <c r="AH57" s="111">
        <f>IF(AQ57="0",BJ57,0)</f>
      </c>
      <c r="AI57" s="132" t="s">
        <v>89</v>
      </c>
      <c r="AJ57" s="111">
        <f>IF(AN57=0,I57,0)</f>
      </c>
      <c r="AK57" s="111">
        <f>IF(AN57=12,I57,0)</f>
      </c>
      <c r="AL57" s="111">
        <f>IF(AN57=21,I57,0)</f>
      </c>
      <c r="AN57" s="111" t="n">
        <v>21</v>
      </c>
      <c r="AO57" s="111">
        <f>H57*0</f>
      </c>
      <c r="AP57" s="111">
        <f>H57*(1-0)</f>
      </c>
      <c r="AQ57" s="153" t="s">
        <v>173</v>
      </c>
      <c r="AV57" s="111">
        <f>AW57+AX57</f>
      </c>
      <c r="AW57" s="111">
        <f>G57*AO57</f>
      </c>
      <c r="AX57" s="111">
        <f>G57*AP57</f>
      </c>
      <c r="AY57" s="153" t="s">
        <v>3728</v>
      </c>
      <c r="AZ57" s="153" t="s">
        <v>3905</v>
      </c>
      <c r="BA57" s="132" t="s">
        <v>3856</v>
      </c>
      <c r="BC57" s="111">
        <f>AW57+AX57</f>
      </c>
      <c r="BD57" s="111">
        <f>H57/(100-BE57)*100</f>
      </c>
      <c r="BE57" s="111" t="n">
        <v>0</v>
      </c>
      <c r="BF57" s="111">
        <f>57</f>
      </c>
      <c r="BH57" s="111">
        <f>G57*AO57</f>
      </c>
      <c r="BI57" s="111">
        <f>G57*AP57</f>
      </c>
      <c r="BJ57" s="111">
        <f>G57*H57</f>
      </c>
      <c r="BK57" s="111"/>
      <c r="BL57" s="111" t="n">
        <v>732</v>
      </c>
      <c r="BW57" s="111" t="n">
        <v>21</v>
      </c>
      <c r="BX57" s="14" t="s">
        <v>3953</v>
      </c>
    </row>
    <row r="58">
      <c r="A58" s="9" t="s">
        <v>310</v>
      </c>
      <c r="B58" s="10" t="s">
        <v>89</v>
      </c>
      <c r="C58" s="10" t="s">
        <v>3955</v>
      </c>
      <c r="D58" s="14" t="s">
        <v>3956</v>
      </c>
      <c r="E58" s="10"/>
      <c r="F58" s="10" t="s">
        <v>2277</v>
      </c>
      <c r="G58" s="111">
        <f>'Stavební rozpočet'!G2583</f>
      </c>
      <c r="H58" s="111">
        <f>'Stavební rozpočet'!H2583</f>
      </c>
      <c r="I58" s="111">
        <f>G58*H58</f>
      </c>
      <c r="J58" s="153" t="s">
        <v>4</v>
      </c>
      <c r="K58" s="146"/>
      <c r="Z58" s="111">
        <f>IF(AQ58="5",BJ58,0)</f>
      </c>
      <c r="AB58" s="111">
        <f>IF(AQ58="1",BH58,0)</f>
      </c>
      <c r="AC58" s="111">
        <f>IF(AQ58="1",BI58,0)</f>
      </c>
      <c r="AD58" s="111">
        <f>IF(AQ58="7",BH58,0)</f>
      </c>
      <c r="AE58" s="111">
        <f>IF(AQ58="7",BI58,0)</f>
      </c>
      <c r="AF58" s="111">
        <f>IF(AQ58="2",BH58,0)</f>
      </c>
      <c r="AG58" s="111">
        <f>IF(AQ58="2",BI58,0)</f>
      </c>
      <c r="AH58" s="111">
        <f>IF(AQ58="0",BJ58,0)</f>
      </c>
      <c r="AI58" s="132" t="s">
        <v>89</v>
      </c>
      <c r="AJ58" s="111">
        <f>IF(AN58=0,I58,0)</f>
      </c>
      <c r="AK58" s="111">
        <f>IF(AN58=12,I58,0)</f>
      </c>
      <c r="AL58" s="111">
        <f>IF(AN58=21,I58,0)</f>
      </c>
      <c r="AN58" s="111" t="n">
        <v>21</v>
      </c>
      <c r="AO58" s="111">
        <f>H58*0</f>
      </c>
      <c r="AP58" s="111">
        <f>H58*(1-0)</f>
      </c>
      <c r="AQ58" s="153" t="s">
        <v>173</v>
      </c>
      <c r="AV58" s="111">
        <f>AW58+AX58</f>
      </c>
      <c r="AW58" s="111">
        <f>G58*AO58</f>
      </c>
      <c r="AX58" s="111">
        <f>G58*AP58</f>
      </c>
      <c r="AY58" s="153" t="s">
        <v>3728</v>
      </c>
      <c r="AZ58" s="153" t="s">
        <v>3905</v>
      </c>
      <c r="BA58" s="132" t="s">
        <v>3856</v>
      </c>
      <c r="BC58" s="111">
        <f>AW58+AX58</f>
      </c>
      <c r="BD58" s="111">
        <f>H58/(100-BE58)*100</f>
      </c>
      <c r="BE58" s="111" t="n">
        <v>0</v>
      </c>
      <c r="BF58" s="111">
        <f>58</f>
      </c>
      <c r="BH58" s="111">
        <f>G58*AO58</f>
      </c>
      <c r="BI58" s="111">
        <f>G58*AP58</f>
      </c>
      <c r="BJ58" s="111">
        <f>G58*H58</f>
      </c>
      <c r="BK58" s="111"/>
      <c r="BL58" s="111" t="n">
        <v>732</v>
      </c>
      <c r="BW58" s="111" t="n">
        <v>21</v>
      </c>
      <c r="BX58" s="14" t="s">
        <v>3956</v>
      </c>
    </row>
    <row r="59">
      <c r="A59" s="9" t="s">
        <v>288</v>
      </c>
      <c r="B59" s="10" t="s">
        <v>89</v>
      </c>
      <c r="C59" s="10" t="s">
        <v>3958</v>
      </c>
      <c r="D59" s="14" t="s">
        <v>3959</v>
      </c>
      <c r="E59" s="10"/>
      <c r="F59" s="10" t="s">
        <v>3860</v>
      </c>
      <c r="G59" s="111">
        <f>'Stavební rozpočet'!G2584</f>
      </c>
      <c r="H59" s="111">
        <f>'Stavební rozpočet'!H2584</f>
      </c>
      <c r="I59" s="111">
        <f>G59*H59</f>
      </c>
      <c r="J59" s="153" t="s">
        <v>4</v>
      </c>
      <c r="K59" s="146"/>
      <c r="Z59" s="111">
        <f>IF(AQ59="5",BJ59,0)</f>
      </c>
      <c r="AB59" s="111">
        <f>IF(AQ59="1",BH59,0)</f>
      </c>
      <c r="AC59" s="111">
        <f>IF(AQ59="1",BI59,0)</f>
      </c>
      <c r="AD59" s="111">
        <f>IF(AQ59="7",BH59,0)</f>
      </c>
      <c r="AE59" s="111">
        <f>IF(AQ59="7",BI59,0)</f>
      </c>
      <c r="AF59" s="111">
        <f>IF(AQ59="2",BH59,0)</f>
      </c>
      <c r="AG59" s="111">
        <f>IF(AQ59="2",BI59,0)</f>
      </c>
      <c r="AH59" s="111">
        <f>IF(AQ59="0",BJ59,0)</f>
      </c>
      <c r="AI59" s="132" t="s">
        <v>89</v>
      </c>
      <c r="AJ59" s="111">
        <f>IF(AN59=0,I59,0)</f>
      </c>
      <c r="AK59" s="111">
        <f>IF(AN59=12,I59,0)</f>
      </c>
      <c r="AL59" s="111">
        <f>IF(AN59=21,I59,0)</f>
      </c>
      <c r="AN59" s="111" t="n">
        <v>21</v>
      </c>
      <c r="AO59" s="111">
        <f>H59*0</f>
      </c>
      <c r="AP59" s="111">
        <f>H59*(1-0)</f>
      </c>
      <c r="AQ59" s="153" t="s">
        <v>173</v>
      </c>
      <c r="AV59" s="111">
        <f>AW59+AX59</f>
      </c>
      <c r="AW59" s="111">
        <f>G59*AO59</f>
      </c>
      <c r="AX59" s="111">
        <f>G59*AP59</f>
      </c>
      <c r="AY59" s="153" t="s">
        <v>3728</v>
      </c>
      <c r="AZ59" s="153" t="s">
        <v>3905</v>
      </c>
      <c r="BA59" s="132" t="s">
        <v>3856</v>
      </c>
      <c r="BC59" s="111">
        <f>AW59+AX59</f>
      </c>
      <c r="BD59" s="111">
        <f>H59/(100-BE59)*100</f>
      </c>
      <c r="BE59" s="111" t="n">
        <v>0</v>
      </c>
      <c r="BF59" s="111">
        <f>59</f>
      </c>
      <c r="BH59" s="111">
        <f>G59*AO59</f>
      </c>
      <c r="BI59" s="111">
        <f>G59*AP59</f>
      </c>
      <c r="BJ59" s="111">
        <f>G59*H59</f>
      </c>
      <c r="BK59" s="111"/>
      <c r="BL59" s="111" t="n">
        <v>732</v>
      </c>
      <c r="BW59" s="111" t="n">
        <v>21</v>
      </c>
      <c r="BX59" s="14" t="s">
        <v>3959</v>
      </c>
    </row>
    <row r="60">
      <c r="A60" s="9" t="s">
        <v>330</v>
      </c>
      <c r="B60" s="10" t="s">
        <v>89</v>
      </c>
      <c r="C60" s="10" t="s">
        <v>3961</v>
      </c>
      <c r="D60" s="14" t="s">
        <v>3962</v>
      </c>
      <c r="E60" s="10"/>
      <c r="F60" s="10" t="s">
        <v>61</v>
      </c>
      <c r="G60" s="111">
        <f>'Stavební rozpočet'!G2585</f>
      </c>
      <c r="H60" s="111">
        <f>'Stavební rozpočet'!H2585</f>
      </c>
      <c r="I60" s="111">
        <f>G60*H60</f>
      </c>
      <c r="J60" s="153" t="s">
        <v>4</v>
      </c>
      <c r="K60" s="146"/>
      <c r="Z60" s="111">
        <f>IF(AQ60="5",BJ60,0)</f>
      </c>
      <c r="AB60" s="111">
        <f>IF(AQ60="1",BH60,0)</f>
      </c>
      <c r="AC60" s="111">
        <f>IF(AQ60="1",BI60,0)</f>
      </c>
      <c r="AD60" s="111">
        <f>IF(AQ60="7",BH60,0)</f>
      </c>
      <c r="AE60" s="111">
        <f>IF(AQ60="7",BI60,0)</f>
      </c>
      <c r="AF60" s="111">
        <f>IF(AQ60="2",BH60,0)</f>
      </c>
      <c r="AG60" s="111">
        <f>IF(AQ60="2",BI60,0)</f>
      </c>
      <c r="AH60" s="111">
        <f>IF(AQ60="0",BJ60,0)</f>
      </c>
      <c r="AI60" s="132" t="s">
        <v>89</v>
      </c>
      <c r="AJ60" s="111">
        <f>IF(AN60=0,I60,0)</f>
      </c>
      <c r="AK60" s="111">
        <f>IF(AN60=12,I60,0)</f>
      </c>
      <c r="AL60" s="111">
        <f>IF(AN60=21,I60,0)</f>
      </c>
      <c r="AN60" s="111" t="n">
        <v>21</v>
      </c>
      <c r="AO60" s="111">
        <f>H60*0</f>
      </c>
      <c r="AP60" s="111">
        <f>H60*(1-0)</f>
      </c>
      <c r="AQ60" s="153" t="s">
        <v>173</v>
      </c>
      <c r="AV60" s="111">
        <f>AW60+AX60</f>
      </c>
      <c r="AW60" s="111">
        <f>G60*AO60</f>
      </c>
      <c r="AX60" s="111">
        <f>G60*AP60</f>
      </c>
      <c r="AY60" s="153" t="s">
        <v>3728</v>
      </c>
      <c r="AZ60" s="153" t="s">
        <v>3905</v>
      </c>
      <c r="BA60" s="132" t="s">
        <v>3856</v>
      </c>
      <c r="BC60" s="111">
        <f>AW60+AX60</f>
      </c>
      <c r="BD60" s="111">
        <f>H60/(100-BE60)*100</f>
      </c>
      <c r="BE60" s="111" t="n">
        <v>0</v>
      </c>
      <c r="BF60" s="111">
        <f>60</f>
      </c>
      <c r="BH60" s="111">
        <f>G60*AO60</f>
      </c>
      <c r="BI60" s="111">
        <f>G60*AP60</f>
      </c>
      <c r="BJ60" s="111">
        <f>G60*H60</f>
      </c>
      <c r="BK60" s="111"/>
      <c r="BL60" s="111" t="n">
        <v>732</v>
      </c>
      <c r="BW60" s="111" t="n">
        <v>21</v>
      </c>
      <c r="BX60" s="14" t="s">
        <v>3962</v>
      </c>
    </row>
    <row r="61">
      <c r="A61" s="9" t="s">
        <v>333</v>
      </c>
      <c r="B61" s="10" t="s">
        <v>89</v>
      </c>
      <c r="C61" s="10" t="s">
        <v>3964</v>
      </c>
      <c r="D61" s="14" t="s">
        <v>3965</v>
      </c>
      <c r="E61" s="10"/>
      <c r="F61" s="10" t="s">
        <v>282</v>
      </c>
      <c r="G61" s="111">
        <f>'Stavební rozpočet'!G2586</f>
      </c>
      <c r="H61" s="111">
        <f>'Stavební rozpočet'!H2586</f>
      </c>
      <c r="I61" s="111">
        <f>G61*H61</f>
      </c>
      <c r="J61" s="153" t="s">
        <v>4</v>
      </c>
      <c r="K61" s="146"/>
      <c r="Z61" s="111">
        <f>IF(AQ61="5",BJ61,0)</f>
      </c>
      <c r="AB61" s="111">
        <f>IF(AQ61="1",BH61,0)</f>
      </c>
      <c r="AC61" s="111">
        <f>IF(AQ61="1",BI61,0)</f>
      </c>
      <c r="AD61" s="111">
        <f>IF(AQ61="7",BH61,0)</f>
      </c>
      <c r="AE61" s="111">
        <f>IF(AQ61="7",BI61,0)</f>
      </c>
      <c r="AF61" s="111">
        <f>IF(AQ61="2",BH61,0)</f>
      </c>
      <c r="AG61" s="111">
        <f>IF(AQ61="2",BI61,0)</f>
      </c>
      <c r="AH61" s="111">
        <f>IF(AQ61="0",BJ61,0)</f>
      </c>
      <c r="AI61" s="132" t="s">
        <v>89</v>
      </c>
      <c r="AJ61" s="111">
        <f>IF(AN61=0,I61,0)</f>
      </c>
      <c r="AK61" s="111">
        <f>IF(AN61=12,I61,0)</f>
      </c>
      <c r="AL61" s="111">
        <f>IF(AN61=21,I61,0)</f>
      </c>
      <c r="AN61" s="111" t="n">
        <v>21</v>
      </c>
      <c r="AO61" s="111">
        <f>H61*0</f>
      </c>
      <c r="AP61" s="111">
        <f>H61*(1-0)</f>
      </c>
      <c r="AQ61" s="153" t="s">
        <v>173</v>
      </c>
      <c r="AV61" s="111">
        <f>AW61+AX61</f>
      </c>
      <c r="AW61" s="111">
        <f>G61*AO61</f>
      </c>
      <c r="AX61" s="111">
        <f>G61*AP61</f>
      </c>
      <c r="AY61" s="153" t="s">
        <v>3728</v>
      </c>
      <c r="AZ61" s="153" t="s">
        <v>3905</v>
      </c>
      <c r="BA61" s="132" t="s">
        <v>3856</v>
      </c>
      <c r="BC61" s="111">
        <f>AW61+AX61</f>
      </c>
      <c r="BD61" s="111">
        <f>H61/(100-BE61)*100</f>
      </c>
      <c r="BE61" s="111" t="n">
        <v>0</v>
      </c>
      <c r="BF61" s="111">
        <f>61</f>
      </c>
      <c r="BH61" s="111">
        <f>G61*AO61</f>
      </c>
      <c r="BI61" s="111">
        <f>G61*AP61</f>
      </c>
      <c r="BJ61" s="111">
        <f>G61*H61</f>
      </c>
      <c r="BK61" s="111"/>
      <c r="BL61" s="111" t="n">
        <v>732</v>
      </c>
      <c r="BW61" s="111" t="n">
        <v>21</v>
      </c>
      <c r="BX61" s="14" t="s">
        <v>3965</v>
      </c>
    </row>
    <row r="62">
      <c r="A62" s="9" t="s">
        <v>342</v>
      </c>
      <c r="B62" s="10" t="s">
        <v>89</v>
      </c>
      <c r="C62" s="10" t="s">
        <v>3967</v>
      </c>
      <c r="D62" s="14" t="s">
        <v>3968</v>
      </c>
      <c r="E62" s="10"/>
      <c r="F62" s="10" t="s">
        <v>282</v>
      </c>
      <c r="G62" s="111">
        <f>'Stavební rozpočet'!G2587</f>
      </c>
      <c r="H62" s="111">
        <f>'Stavební rozpočet'!H2587</f>
      </c>
      <c r="I62" s="111">
        <f>G62*H62</f>
      </c>
      <c r="J62" s="153" t="s">
        <v>4</v>
      </c>
      <c r="K62" s="146"/>
      <c r="Z62" s="111">
        <f>IF(AQ62="5",BJ62,0)</f>
      </c>
      <c r="AB62" s="111">
        <f>IF(AQ62="1",BH62,0)</f>
      </c>
      <c r="AC62" s="111">
        <f>IF(AQ62="1",BI62,0)</f>
      </c>
      <c r="AD62" s="111">
        <f>IF(AQ62="7",BH62,0)</f>
      </c>
      <c r="AE62" s="111">
        <f>IF(AQ62="7",BI62,0)</f>
      </c>
      <c r="AF62" s="111">
        <f>IF(AQ62="2",BH62,0)</f>
      </c>
      <c r="AG62" s="111">
        <f>IF(AQ62="2",BI62,0)</f>
      </c>
      <c r="AH62" s="111">
        <f>IF(AQ62="0",BJ62,0)</f>
      </c>
      <c r="AI62" s="132" t="s">
        <v>89</v>
      </c>
      <c r="AJ62" s="111">
        <f>IF(AN62=0,I62,0)</f>
      </c>
      <c r="AK62" s="111">
        <f>IF(AN62=12,I62,0)</f>
      </c>
      <c r="AL62" s="111">
        <f>IF(AN62=21,I62,0)</f>
      </c>
      <c r="AN62" s="111" t="n">
        <v>21</v>
      </c>
      <c r="AO62" s="111">
        <f>H62*0</f>
      </c>
      <c r="AP62" s="111">
        <f>H62*(1-0)</f>
      </c>
      <c r="AQ62" s="153" t="s">
        <v>173</v>
      </c>
      <c r="AV62" s="111">
        <f>AW62+AX62</f>
      </c>
      <c r="AW62" s="111">
        <f>G62*AO62</f>
      </c>
      <c r="AX62" s="111">
        <f>G62*AP62</f>
      </c>
      <c r="AY62" s="153" t="s">
        <v>3728</v>
      </c>
      <c r="AZ62" s="153" t="s">
        <v>3905</v>
      </c>
      <c r="BA62" s="132" t="s">
        <v>3856</v>
      </c>
      <c r="BC62" s="111">
        <f>AW62+AX62</f>
      </c>
      <c r="BD62" s="111">
        <f>H62/(100-BE62)*100</f>
      </c>
      <c r="BE62" s="111" t="n">
        <v>0</v>
      </c>
      <c r="BF62" s="111">
        <f>62</f>
      </c>
      <c r="BH62" s="111">
        <f>G62*AO62</f>
      </c>
      <c r="BI62" s="111">
        <f>G62*AP62</f>
      </c>
      <c r="BJ62" s="111">
        <f>G62*H62</f>
      </c>
      <c r="BK62" s="111"/>
      <c r="BL62" s="111" t="n">
        <v>732</v>
      </c>
      <c r="BW62" s="111" t="n">
        <v>21</v>
      </c>
      <c r="BX62" s="14" t="s">
        <v>3968</v>
      </c>
    </row>
    <row r="63">
      <c r="A63" s="9" t="s">
        <v>348</v>
      </c>
      <c r="B63" s="10" t="s">
        <v>89</v>
      </c>
      <c r="C63" s="10" t="s">
        <v>3970</v>
      </c>
      <c r="D63" s="14" t="s">
        <v>3971</v>
      </c>
      <c r="E63" s="10"/>
      <c r="F63" s="10" t="s">
        <v>133</v>
      </c>
      <c r="G63" s="111">
        <f>'Stavební rozpočet'!G2588</f>
      </c>
      <c r="H63" s="111">
        <f>'Stavební rozpočet'!H2588</f>
      </c>
      <c r="I63" s="111">
        <f>G63*H63</f>
      </c>
      <c r="J63" s="153" t="s">
        <v>4</v>
      </c>
      <c r="K63" s="146"/>
      <c r="Z63" s="111">
        <f>IF(AQ63="5",BJ63,0)</f>
      </c>
      <c r="AB63" s="111">
        <f>IF(AQ63="1",BH63,0)</f>
      </c>
      <c r="AC63" s="111">
        <f>IF(AQ63="1",BI63,0)</f>
      </c>
      <c r="AD63" s="111">
        <f>IF(AQ63="7",BH63,0)</f>
      </c>
      <c r="AE63" s="111">
        <f>IF(AQ63="7",BI63,0)</f>
      </c>
      <c r="AF63" s="111">
        <f>IF(AQ63="2",BH63,0)</f>
      </c>
      <c r="AG63" s="111">
        <f>IF(AQ63="2",BI63,0)</f>
      </c>
      <c r="AH63" s="111">
        <f>IF(AQ63="0",BJ63,0)</f>
      </c>
      <c r="AI63" s="132" t="s">
        <v>89</v>
      </c>
      <c r="AJ63" s="111">
        <f>IF(AN63=0,I63,0)</f>
      </c>
      <c r="AK63" s="111">
        <f>IF(AN63=12,I63,0)</f>
      </c>
      <c r="AL63" s="111">
        <f>IF(AN63=21,I63,0)</f>
      </c>
      <c r="AN63" s="111" t="n">
        <v>21</v>
      </c>
      <c r="AO63" s="111">
        <f>H63*0</f>
      </c>
      <c r="AP63" s="111">
        <f>H63*(1-0)</f>
      </c>
      <c r="AQ63" s="153" t="s">
        <v>173</v>
      </c>
      <c r="AV63" s="111">
        <f>AW63+AX63</f>
      </c>
      <c r="AW63" s="111">
        <f>G63*AO63</f>
      </c>
      <c r="AX63" s="111">
        <f>G63*AP63</f>
      </c>
      <c r="AY63" s="153" t="s">
        <v>3728</v>
      </c>
      <c r="AZ63" s="153" t="s">
        <v>3905</v>
      </c>
      <c r="BA63" s="132" t="s">
        <v>3856</v>
      </c>
      <c r="BC63" s="111">
        <f>AW63+AX63</f>
      </c>
      <c r="BD63" s="111">
        <f>H63/(100-BE63)*100</f>
      </c>
      <c r="BE63" s="111" t="n">
        <v>0</v>
      </c>
      <c r="BF63" s="111">
        <f>63</f>
      </c>
      <c r="BH63" s="111">
        <f>G63*AO63</f>
      </c>
      <c r="BI63" s="111">
        <f>G63*AP63</f>
      </c>
      <c r="BJ63" s="111">
        <f>G63*H63</f>
      </c>
      <c r="BK63" s="111"/>
      <c r="BL63" s="111" t="n">
        <v>732</v>
      </c>
      <c r="BW63" s="111" t="n">
        <v>21</v>
      </c>
      <c r="BX63" s="14" t="s">
        <v>3971</v>
      </c>
    </row>
    <row r="64" ht="24.75">
      <c r="A64" s="9" t="s">
        <v>354</v>
      </c>
      <c r="B64" s="10" t="s">
        <v>89</v>
      </c>
      <c r="C64" s="10" t="s">
        <v>3973</v>
      </c>
      <c r="D64" s="14" t="s">
        <v>3974</v>
      </c>
      <c r="E64" s="10"/>
      <c r="F64" s="10" t="s">
        <v>133</v>
      </c>
      <c r="G64" s="111">
        <f>'Stavební rozpočet'!G2589</f>
      </c>
      <c r="H64" s="111">
        <f>'Stavební rozpočet'!H2589</f>
      </c>
      <c r="I64" s="111">
        <f>G64*H64</f>
      </c>
      <c r="J64" s="153" t="s">
        <v>4</v>
      </c>
      <c r="K64" s="146"/>
      <c r="Z64" s="111">
        <f>IF(AQ64="5",BJ64,0)</f>
      </c>
      <c r="AB64" s="111">
        <f>IF(AQ64="1",BH64,0)</f>
      </c>
      <c r="AC64" s="111">
        <f>IF(AQ64="1",BI64,0)</f>
      </c>
      <c r="AD64" s="111">
        <f>IF(AQ64="7",BH64,0)</f>
      </c>
      <c r="AE64" s="111">
        <f>IF(AQ64="7",BI64,0)</f>
      </c>
      <c r="AF64" s="111">
        <f>IF(AQ64="2",BH64,0)</f>
      </c>
      <c r="AG64" s="111">
        <f>IF(AQ64="2",BI64,0)</f>
      </c>
      <c r="AH64" s="111">
        <f>IF(AQ64="0",BJ64,0)</f>
      </c>
      <c r="AI64" s="132" t="s">
        <v>89</v>
      </c>
      <c r="AJ64" s="111">
        <f>IF(AN64=0,I64,0)</f>
      </c>
      <c r="AK64" s="111">
        <f>IF(AN64=12,I64,0)</f>
      </c>
      <c r="AL64" s="111">
        <f>IF(AN64=21,I64,0)</f>
      </c>
      <c r="AN64" s="111" t="n">
        <v>21</v>
      </c>
      <c r="AO64" s="111">
        <f>H64*0</f>
      </c>
      <c r="AP64" s="111">
        <f>H64*(1-0)</f>
      </c>
      <c r="AQ64" s="153" t="s">
        <v>173</v>
      </c>
      <c r="AV64" s="111">
        <f>AW64+AX64</f>
      </c>
      <c r="AW64" s="111">
        <f>G64*AO64</f>
      </c>
      <c r="AX64" s="111">
        <f>G64*AP64</f>
      </c>
      <c r="AY64" s="153" t="s">
        <v>3728</v>
      </c>
      <c r="AZ64" s="153" t="s">
        <v>3905</v>
      </c>
      <c r="BA64" s="132" t="s">
        <v>3856</v>
      </c>
      <c r="BC64" s="111">
        <f>AW64+AX64</f>
      </c>
      <c r="BD64" s="111">
        <f>H64/(100-BE64)*100</f>
      </c>
      <c r="BE64" s="111" t="n">
        <v>0</v>
      </c>
      <c r="BF64" s="111">
        <f>64</f>
      </c>
      <c r="BH64" s="111">
        <f>G64*AO64</f>
      </c>
      <c r="BI64" s="111">
        <f>G64*AP64</f>
      </c>
      <c r="BJ64" s="111">
        <f>G64*H64</f>
      </c>
      <c r="BK64" s="111"/>
      <c r="BL64" s="111" t="n">
        <v>732</v>
      </c>
      <c r="BW64" s="111" t="n">
        <v>21</v>
      </c>
      <c r="BX64" s="14" t="s">
        <v>3974</v>
      </c>
    </row>
    <row r="65" ht="24.75">
      <c r="A65" s="9" t="s">
        <v>360</v>
      </c>
      <c r="B65" s="10" t="s">
        <v>89</v>
      </c>
      <c r="C65" s="10" t="s">
        <v>3976</v>
      </c>
      <c r="D65" s="14" t="s">
        <v>3977</v>
      </c>
      <c r="E65" s="10"/>
      <c r="F65" s="10" t="s">
        <v>133</v>
      </c>
      <c r="G65" s="111">
        <f>'Stavební rozpočet'!G2590</f>
      </c>
      <c r="H65" s="111">
        <f>'Stavební rozpočet'!H2590</f>
      </c>
      <c r="I65" s="111">
        <f>G65*H65</f>
      </c>
      <c r="J65" s="153" t="s">
        <v>4</v>
      </c>
      <c r="K65" s="146"/>
      <c r="Z65" s="111">
        <f>IF(AQ65="5",BJ65,0)</f>
      </c>
      <c r="AB65" s="111">
        <f>IF(AQ65="1",BH65,0)</f>
      </c>
      <c r="AC65" s="111">
        <f>IF(AQ65="1",BI65,0)</f>
      </c>
      <c r="AD65" s="111">
        <f>IF(AQ65="7",BH65,0)</f>
      </c>
      <c r="AE65" s="111">
        <f>IF(AQ65="7",BI65,0)</f>
      </c>
      <c r="AF65" s="111">
        <f>IF(AQ65="2",BH65,0)</f>
      </c>
      <c r="AG65" s="111">
        <f>IF(AQ65="2",BI65,0)</f>
      </c>
      <c r="AH65" s="111">
        <f>IF(AQ65="0",BJ65,0)</f>
      </c>
      <c r="AI65" s="132" t="s">
        <v>89</v>
      </c>
      <c r="AJ65" s="111">
        <f>IF(AN65=0,I65,0)</f>
      </c>
      <c r="AK65" s="111">
        <f>IF(AN65=12,I65,0)</f>
      </c>
      <c r="AL65" s="111">
        <f>IF(AN65=21,I65,0)</f>
      </c>
      <c r="AN65" s="111" t="n">
        <v>21</v>
      </c>
      <c r="AO65" s="111">
        <f>H65*0</f>
      </c>
      <c r="AP65" s="111">
        <f>H65*(1-0)</f>
      </c>
      <c r="AQ65" s="153" t="s">
        <v>173</v>
      </c>
      <c r="AV65" s="111">
        <f>AW65+AX65</f>
      </c>
      <c r="AW65" s="111">
        <f>G65*AO65</f>
      </c>
      <c r="AX65" s="111">
        <f>G65*AP65</f>
      </c>
      <c r="AY65" s="153" t="s">
        <v>3728</v>
      </c>
      <c r="AZ65" s="153" t="s">
        <v>3905</v>
      </c>
      <c r="BA65" s="132" t="s">
        <v>3856</v>
      </c>
      <c r="BC65" s="111">
        <f>AW65+AX65</f>
      </c>
      <c r="BD65" s="111">
        <f>H65/(100-BE65)*100</f>
      </c>
      <c r="BE65" s="111" t="n">
        <v>0</v>
      </c>
      <c r="BF65" s="111">
        <f>65</f>
      </c>
      <c r="BH65" s="111">
        <f>G65*AO65</f>
      </c>
      <c r="BI65" s="111">
        <f>G65*AP65</f>
      </c>
      <c r="BJ65" s="111">
        <f>G65*H65</f>
      </c>
      <c r="BK65" s="111"/>
      <c r="BL65" s="111" t="n">
        <v>732</v>
      </c>
      <c r="BW65" s="111" t="n">
        <v>21</v>
      </c>
      <c r="BX65" s="14" t="s">
        <v>3977</v>
      </c>
    </row>
    <row r="66">
      <c r="A66" s="9" t="s">
        <v>366</v>
      </c>
      <c r="B66" s="10" t="s">
        <v>89</v>
      </c>
      <c r="C66" s="10" t="s">
        <v>3979</v>
      </c>
      <c r="D66" s="14" t="s">
        <v>3980</v>
      </c>
      <c r="E66" s="10"/>
      <c r="F66" s="10" t="s">
        <v>133</v>
      </c>
      <c r="G66" s="111">
        <f>'Stavební rozpočet'!G2591</f>
      </c>
      <c r="H66" s="111">
        <f>'Stavební rozpočet'!H2591</f>
      </c>
      <c r="I66" s="111">
        <f>G66*H66</f>
      </c>
      <c r="J66" s="153" t="s">
        <v>4</v>
      </c>
      <c r="K66" s="146"/>
      <c r="Z66" s="111">
        <f>IF(AQ66="5",BJ66,0)</f>
      </c>
      <c r="AB66" s="111">
        <f>IF(AQ66="1",BH66,0)</f>
      </c>
      <c r="AC66" s="111">
        <f>IF(AQ66="1",BI66,0)</f>
      </c>
      <c r="AD66" s="111">
        <f>IF(AQ66="7",BH66,0)</f>
      </c>
      <c r="AE66" s="111">
        <f>IF(AQ66="7",BI66,0)</f>
      </c>
      <c r="AF66" s="111">
        <f>IF(AQ66="2",BH66,0)</f>
      </c>
      <c r="AG66" s="111">
        <f>IF(AQ66="2",BI66,0)</f>
      </c>
      <c r="AH66" s="111">
        <f>IF(AQ66="0",BJ66,0)</f>
      </c>
      <c r="AI66" s="132" t="s">
        <v>89</v>
      </c>
      <c r="AJ66" s="111">
        <f>IF(AN66=0,I66,0)</f>
      </c>
      <c r="AK66" s="111">
        <f>IF(AN66=12,I66,0)</f>
      </c>
      <c r="AL66" s="111">
        <f>IF(AN66=21,I66,0)</f>
      </c>
      <c r="AN66" s="111" t="n">
        <v>21</v>
      </c>
      <c r="AO66" s="111">
        <f>H66*0</f>
      </c>
      <c r="AP66" s="111">
        <f>H66*(1-0)</f>
      </c>
      <c r="AQ66" s="153" t="s">
        <v>173</v>
      </c>
      <c r="AV66" s="111">
        <f>AW66+AX66</f>
      </c>
      <c r="AW66" s="111">
        <f>G66*AO66</f>
      </c>
      <c r="AX66" s="111">
        <f>G66*AP66</f>
      </c>
      <c r="AY66" s="153" t="s">
        <v>3728</v>
      </c>
      <c r="AZ66" s="153" t="s">
        <v>3905</v>
      </c>
      <c r="BA66" s="132" t="s">
        <v>3856</v>
      </c>
      <c r="BC66" s="111">
        <f>AW66+AX66</f>
      </c>
      <c r="BD66" s="111">
        <f>H66/(100-BE66)*100</f>
      </c>
      <c r="BE66" s="111" t="n">
        <v>0</v>
      </c>
      <c r="BF66" s="111">
        <f>66</f>
      </c>
      <c r="BH66" s="111">
        <f>G66*AO66</f>
      </c>
      <c r="BI66" s="111">
        <f>G66*AP66</f>
      </c>
      <c r="BJ66" s="111">
        <f>G66*H66</f>
      </c>
      <c r="BK66" s="111"/>
      <c r="BL66" s="111" t="n">
        <v>732</v>
      </c>
      <c r="BW66" s="111" t="n">
        <v>21</v>
      </c>
      <c r="BX66" s="14" t="s">
        <v>3980</v>
      </c>
    </row>
    <row r="67">
      <c r="A67" s="9" t="s">
        <v>374</v>
      </c>
      <c r="B67" s="10" t="s">
        <v>89</v>
      </c>
      <c r="C67" s="10" t="s">
        <v>3982</v>
      </c>
      <c r="D67" s="14" t="s">
        <v>3983</v>
      </c>
      <c r="E67" s="10"/>
      <c r="F67" s="10" t="s">
        <v>133</v>
      </c>
      <c r="G67" s="111">
        <f>'Stavební rozpočet'!G2592</f>
      </c>
      <c r="H67" s="111">
        <f>'Stavební rozpočet'!H2592</f>
      </c>
      <c r="I67" s="111">
        <f>G67*H67</f>
      </c>
      <c r="J67" s="153" t="s">
        <v>4</v>
      </c>
      <c r="K67" s="146"/>
      <c r="Z67" s="111">
        <f>IF(AQ67="5",BJ67,0)</f>
      </c>
      <c r="AB67" s="111">
        <f>IF(AQ67="1",BH67,0)</f>
      </c>
      <c r="AC67" s="111">
        <f>IF(AQ67="1",BI67,0)</f>
      </c>
      <c r="AD67" s="111">
        <f>IF(AQ67="7",BH67,0)</f>
      </c>
      <c r="AE67" s="111">
        <f>IF(AQ67="7",BI67,0)</f>
      </c>
      <c r="AF67" s="111">
        <f>IF(AQ67="2",BH67,0)</f>
      </c>
      <c r="AG67" s="111">
        <f>IF(AQ67="2",BI67,0)</f>
      </c>
      <c r="AH67" s="111">
        <f>IF(AQ67="0",BJ67,0)</f>
      </c>
      <c r="AI67" s="132" t="s">
        <v>89</v>
      </c>
      <c r="AJ67" s="111">
        <f>IF(AN67=0,I67,0)</f>
      </c>
      <c r="AK67" s="111">
        <f>IF(AN67=12,I67,0)</f>
      </c>
      <c r="AL67" s="111">
        <f>IF(AN67=21,I67,0)</f>
      </c>
      <c r="AN67" s="111" t="n">
        <v>21</v>
      </c>
      <c r="AO67" s="111">
        <f>H67*0</f>
      </c>
      <c r="AP67" s="111">
        <f>H67*(1-0)</f>
      </c>
      <c r="AQ67" s="153" t="s">
        <v>173</v>
      </c>
      <c r="AV67" s="111">
        <f>AW67+AX67</f>
      </c>
      <c r="AW67" s="111">
        <f>G67*AO67</f>
      </c>
      <c r="AX67" s="111">
        <f>G67*AP67</f>
      </c>
      <c r="AY67" s="153" t="s">
        <v>3728</v>
      </c>
      <c r="AZ67" s="153" t="s">
        <v>3905</v>
      </c>
      <c r="BA67" s="132" t="s">
        <v>3856</v>
      </c>
      <c r="BC67" s="111">
        <f>AW67+AX67</f>
      </c>
      <c r="BD67" s="111">
        <f>H67/(100-BE67)*100</f>
      </c>
      <c r="BE67" s="111" t="n">
        <v>0</v>
      </c>
      <c r="BF67" s="111">
        <f>67</f>
      </c>
      <c r="BH67" s="111">
        <f>G67*AO67</f>
      </c>
      <c r="BI67" s="111">
        <f>G67*AP67</f>
      </c>
      <c r="BJ67" s="111">
        <f>G67*H67</f>
      </c>
      <c r="BK67" s="111"/>
      <c r="BL67" s="111" t="n">
        <v>732</v>
      </c>
      <c r="BW67" s="111" t="n">
        <v>21</v>
      </c>
      <c r="BX67" s="14" t="s">
        <v>3983</v>
      </c>
    </row>
    <row r="68">
      <c r="A68" s="9" t="s">
        <v>378</v>
      </c>
      <c r="B68" s="10" t="s">
        <v>89</v>
      </c>
      <c r="C68" s="10" t="s">
        <v>3985</v>
      </c>
      <c r="D68" s="14" t="s">
        <v>3986</v>
      </c>
      <c r="E68" s="10"/>
      <c r="F68" s="10" t="s">
        <v>133</v>
      </c>
      <c r="G68" s="111">
        <f>'Stavební rozpočet'!G2593</f>
      </c>
      <c r="H68" s="111">
        <f>'Stavební rozpočet'!H2593</f>
      </c>
      <c r="I68" s="111">
        <f>G68*H68</f>
      </c>
      <c r="J68" s="153" t="s">
        <v>4</v>
      </c>
      <c r="K68" s="146"/>
      <c r="Z68" s="111">
        <f>IF(AQ68="5",BJ68,0)</f>
      </c>
      <c r="AB68" s="111">
        <f>IF(AQ68="1",BH68,0)</f>
      </c>
      <c r="AC68" s="111">
        <f>IF(AQ68="1",BI68,0)</f>
      </c>
      <c r="AD68" s="111">
        <f>IF(AQ68="7",BH68,0)</f>
      </c>
      <c r="AE68" s="111">
        <f>IF(AQ68="7",BI68,0)</f>
      </c>
      <c r="AF68" s="111">
        <f>IF(AQ68="2",BH68,0)</f>
      </c>
      <c r="AG68" s="111">
        <f>IF(AQ68="2",BI68,0)</f>
      </c>
      <c r="AH68" s="111">
        <f>IF(AQ68="0",BJ68,0)</f>
      </c>
      <c r="AI68" s="132" t="s">
        <v>89</v>
      </c>
      <c r="AJ68" s="111">
        <f>IF(AN68=0,I68,0)</f>
      </c>
      <c r="AK68" s="111">
        <f>IF(AN68=12,I68,0)</f>
      </c>
      <c r="AL68" s="111">
        <f>IF(AN68=21,I68,0)</f>
      </c>
      <c r="AN68" s="111" t="n">
        <v>21</v>
      </c>
      <c r="AO68" s="111">
        <f>H68*0</f>
      </c>
      <c r="AP68" s="111">
        <f>H68*(1-0)</f>
      </c>
      <c r="AQ68" s="153" t="s">
        <v>173</v>
      </c>
      <c r="AV68" s="111">
        <f>AW68+AX68</f>
      </c>
      <c r="AW68" s="111">
        <f>G68*AO68</f>
      </c>
      <c r="AX68" s="111">
        <f>G68*AP68</f>
      </c>
      <c r="AY68" s="153" t="s">
        <v>3728</v>
      </c>
      <c r="AZ68" s="153" t="s">
        <v>3905</v>
      </c>
      <c r="BA68" s="132" t="s">
        <v>3856</v>
      </c>
      <c r="BC68" s="111">
        <f>AW68+AX68</f>
      </c>
      <c r="BD68" s="111">
        <f>H68/(100-BE68)*100</f>
      </c>
      <c r="BE68" s="111" t="n">
        <v>0</v>
      </c>
      <c r="BF68" s="111">
        <f>68</f>
      </c>
      <c r="BH68" s="111">
        <f>G68*AO68</f>
      </c>
      <c r="BI68" s="111">
        <f>G68*AP68</f>
      </c>
      <c r="BJ68" s="111">
        <f>G68*H68</f>
      </c>
      <c r="BK68" s="111"/>
      <c r="BL68" s="111" t="n">
        <v>732</v>
      </c>
      <c r="BW68" s="111" t="n">
        <v>21</v>
      </c>
      <c r="BX68" s="14" t="s">
        <v>3986</v>
      </c>
    </row>
    <row r="69">
      <c r="A69" s="9" t="s">
        <v>381</v>
      </c>
      <c r="B69" s="10" t="s">
        <v>89</v>
      </c>
      <c r="C69" s="10" t="s">
        <v>3988</v>
      </c>
      <c r="D69" s="14" t="s">
        <v>3989</v>
      </c>
      <c r="E69" s="10"/>
      <c r="F69" s="10" t="s">
        <v>133</v>
      </c>
      <c r="G69" s="111">
        <f>'Stavební rozpočet'!G2594</f>
      </c>
      <c r="H69" s="111">
        <f>'Stavební rozpočet'!H2594</f>
      </c>
      <c r="I69" s="111">
        <f>G69*H69</f>
      </c>
      <c r="J69" s="153" t="s">
        <v>4</v>
      </c>
      <c r="K69" s="146"/>
      <c r="Z69" s="111">
        <f>IF(AQ69="5",BJ69,0)</f>
      </c>
      <c r="AB69" s="111">
        <f>IF(AQ69="1",BH69,0)</f>
      </c>
      <c r="AC69" s="111">
        <f>IF(AQ69="1",BI69,0)</f>
      </c>
      <c r="AD69" s="111">
        <f>IF(AQ69="7",BH69,0)</f>
      </c>
      <c r="AE69" s="111">
        <f>IF(AQ69="7",BI69,0)</f>
      </c>
      <c r="AF69" s="111">
        <f>IF(AQ69="2",BH69,0)</f>
      </c>
      <c r="AG69" s="111">
        <f>IF(AQ69="2",BI69,0)</f>
      </c>
      <c r="AH69" s="111">
        <f>IF(AQ69="0",BJ69,0)</f>
      </c>
      <c r="AI69" s="132" t="s">
        <v>89</v>
      </c>
      <c r="AJ69" s="111">
        <f>IF(AN69=0,I69,0)</f>
      </c>
      <c r="AK69" s="111">
        <f>IF(AN69=12,I69,0)</f>
      </c>
      <c r="AL69" s="111">
        <f>IF(AN69=21,I69,0)</f>
      </c>
      <c r="AN69" s="111" t="n">
        <v>21</v>
      </c>
      <c r="AO69" s="111">
        <f>H69*0</f>
      </c>
      <c r="AP69" s="111">
        <f>H69*(1-0)</f>
      </c>
      <c r="AQ69" s="153" t="s">
        <v>173</v>
      </c>
      <c r="AV69" s="111">
        <f>AW69+AX69</f>
      </c>
      <c r="AW69" s="111">
        <f>G69*AO69</f>
      </c>
      <c r="AX69" s="111">
        <f>G69*AP69</f>
      </c>
      <c r="AY69" s="153" t="s">
        <v>3728</v>
      </c>
      <c r="AZ69" s="153" t="s">
        <v>3905</v>
      </c>
      <c r="BA69" s="132" t="s">
        <v>3856</v>
      </c>
      <c r="BC69" s="111">
        <f>AW69+AX69</f>
      </c>
      <c r="BD69" s="111">
        <f>H69/(100-BE69)*100</f>
      </c>
      <c r="BE69" s="111" t="n">
        <v>0</v>
      </c>
      <c r="BF69" s="111">
        <f>69</f>
      </c>
      <c r="BH69" s="111">
        <f>G69*AO69</f>
      </c>
      <c r="BI69" s="111">
        <f>G69*AP69</f>
      </c>
      <c r="BJ69" s="111">
        <f>G69*H69</f>
      </c>
      <c r="BK69" s="111"/>
      <c r="BL69" s="111" t="n">
        <v>732</v>
      </c>
      <c r="BW69" s="111" t="n">
        <v>21</v>
      </c>
      <c r="BX69" s="14" t="s">
        <v>3989</v>
      </c>
    </row>
    <row r="70">
      <c r="A70" s="9" t="s">
        <v>387</v>
      </c>
      <c r="B70" s="10" t="s">
        <v>89</v>
      </c>
      <c r="C70" s="10" t="s">
        <v>3991</v>
      </c>
      <c r="D70" s="14" t="s">
        <v>3992</v>
      </c>
      <c r="E70" s="10"/>
      <c r="F70" s="10" t="s">
        <v>61</v>
      </c>
      <c r="G70" s="111">
        <f>'Stavební rozpočet'!G2595</f>
      </c>
      <c r="H70" s="111">
        <f>'Stavební rozpočet'!H2595</f>
      </c>
      <c r="I70" s="111">
        <f>G70*H70</f>
      </c>
      <c r="J70" s="153" t="s">
        <v>4</v>
      </c>
      <c r="K70" s="146"/>
      <c r="Z70" s="111">
        <f>IF(AQ70="5",BJ70,0)</f>
      </c>
      <c r="AB70" s="111">
        <f>IF(AQ70="1",BH70,0)</f>
      </c>
      <c r="AC70" s="111">
        <f>IF(AQ70="1",BI70,0)</f>
      </c>
      <c r="AD70" s="111">
        <f>IF(AQ70="7",BH70,0)</f>
      </c>
      <c r="AE70" s="111">
        <f>IF(AQ70="7",BI70,0)</f>
      </c>
      <c r="AF70" s="111">
        <f>IF(AQ70="2",BH70,0)</f>
      </c>
      <c r="AG70" s="111">
        <f>IF(AQ70="2",BI70,0)</f>
      </c>
      <c r="AH70" s="111">
        <f>IF(AQ70="0",BJ70,0)</f>
      </c>
      <c r="AI70" s="132" t="s">
        <v>89</v>
      </c>
      <c r="AJ70" s="111">
        <f>IF(AN70=0,I70,0)</f>
      </c>
      <c r="AK70" s="111">
        <f>IF(AN70=12,I70,0)</f>
      </c>
      <c r="AL70" s="111">
        <f>IF(AN70=21,I70,0)</f>
      </c>
      <c r="AN70" s="111" t="n">
        <v>21</v>
      </c>
      <c r="AO70" s="111">
        <f>H70*0</f>
      </c>
      <c r="AP70" s="111">
        <f>H70*(1-0)</f>
      </c>
      <c r="AQ70" s="153" t="s">
        <v>173</v>
      </c>
      <c r="AV70" s="111">
        <f>AW70+AX70</f>
      </c>
      <c r="AW70" s="111">
        <f>G70*AO70</f>
      </c>
      <c r="AX70" s="111">
        <f>G70*AP70</f>
      </c>
      <c r="AY70" s="153" t="s">
        <v>3728</v>
      </c>
      <c r="AZ70" s="153" t="s">
        <v>3905</v>
      </c>
      <c r="BA70" s="132" t="s">
        <v>3856</v>
      </c>
      <c r="BC70" s="111">
        <f>AW70+AX70</f>
      </c>
      <c r="BD70" s="111">
        <f>H70/(100-BE70)*100</f>
      </c>
      <c r="BE70" s="111" t="n">
        <v>0</v>
      </c>
      <c r="BF70" s="111">
        <f>70</f>
      </c>
      <c r="BH70" s="111">
        <f>G70*AO70</f>
      </c>
      <c r="BI70" s="111">
        <f>G70*AP70</f>
      </c>
      <c r="BJ70" s="111">
        <f>G70*H70</f>
      </c>
      <c r="BK70" s="111"/>
      <c r="BL70" s="111" t="n">
        <v>732</v>
      </c>
      <c r="BW70" s="111" t="n">
        <v>21</v>
      </c>
      <c r="BX70" s="14" t="s">
        <v>3992</v>
      </c>
    </row>
    <row r="71" ht="24.75">
      <c r="A71" s="9" t="s">
        <v>392</v>
      </c>
      <c r="B71" s="10" t="s">
        <v>89</v>
      </c>
      <c r="C71" s="10" t="s">
        <v>3994</v>
      </c>
      <c r="D71" s="14" t="s">
        <v>3995</v>
      </c>
      <c r="E71" s="10"/>
      <c r="F71" s="10" t="s">
        <v>3860</v>
      </c>
      <c r="G71" s="111">
        <f>'Stavební rozpočet'!G2596</f>
      </c>
      <c r="H71" s="111">
        <f>'Stavební rozpočet'!H2596</f>
      </c>
      <c r="I71" s="111">
        <f>G71*H71</f>
      </c>
      <c r="J71" s="153" t="s">
        <v>4</v>
      </c>
      <c r="K71" s="146"/>
      <c r="Z71" s="111">
        <f>IF(AQ71="5",BJ71,0)</f>
      </c>
      <c r="AB71" s="111">
        <f>IF(AQ71="1",BH71,0)</f>
      </c>
      <c r="AC71" s="111">
        <f>IF(AQ71="1",BI71,0)</f>
      </c>
      <c r="AD71" s="111">
        <f>IF(AQ71="7",BH71,0)</f>
      </c>
      <c r="AE71" s="111">
        <f>IF(AQ71="7",BI71,0)</f>
      </c>
      <c r="AF71" s="111">
        <f>IF(AQ71="2",BH71,0)</f>
      </c>
      <c r="AG71" s="111">
        <f>IF(AQ71="2",BI71,0)</f>
      </c>
      <c r="AH71" s="111">
        <f>IF(AQ71="0",BJ71,0)</f>
      </c>
      <c r="AI71" s="132" t="s">
        <v>89</v>
      </c>
      <c r="AJ71" s="111">
        <f>IF(AN71=0,I71,0)</f>
      </c>
      <c r="AK71" s="111">
        <f>IF(AN71=12,I71,0)</f>
      </c>
      <c r="AL71" s="111">
        <f>IF(AN71=21,I71,0)</f>
      </c>
      <c r="AN71" s="111" t="n">
        <v>21</v>
      </c>
      <c r="AO71" s="111">
        <f>H71*1</f>
      </c>
      <c r="AP71" s="111">
        <f>H71*(1-1)</f>
      </c>
      <c r="AQ71" s="153" t="s">
        <v>173</v>
      </c>
      <c r="AV71" s="111">
        <f>AW71+AX71</f>
      </c>
      <c r="AW71" s="111">
        <f>G71*AO71</f>
      </c>
      <c r="AX71" s="111">
        <f>G71*AP71</f>
      </c>
      <c r="AY71" s="153" t="s">
        <v>3728</v>
      </c>
      <c r="AZ71" s="153" t="s">
        <v>3905</v>
      </c>
      <c r="BA71" s="132" t="s">
        <v>3856</v>
      </c>
      <c r="BC71" s="111">
        <f>AW71+AX71</f>
      </c>
      <c r="BD71" s="111">
        <f>H71/(100-BE71)*100</f>
      </c>
      <c r="BE71" s="111" t="n">
        <v>0</v>
      </c>
      <c r="BF71" s="111">
        <f>71</f>
      </c>
      <c r="BH71" s="111">
        <f>G71*AO71</f>
      </c>
      <c r="BI71" s="111">
        <f>G71*AP71</f>
      </c>
      <c r="BJ71" s="111">
        <f>G71*H71</f>
      </c>
      <c r="BK71" s="111"/>
      <c r="BL71" s="111" t="n">
        <v>732</v>
      </c>
      <c r="BW71" s="111" t="n">
        <v>21</v>
      </c>
      <c r="BX71" s="14" t="s">
        <v>3995</v>
      </c>
    </row>
    <row r="72" ht="24.75">
      <c r="A72" s="9" t="s">
        <v>395</v>
      </c>
      <c r="B72" s="10" t="s">
        <v>89</v>
      </c>
      <c r="C72" s="10" t="s">
        <v>3997</v>
      </c>
      <c r="D72" s="14" t="s">
        <v>3998</v>
      </c>
      <c r="E72" s="10"/>
      <c r="F72" s="10" t="s">
        <v>133</v>
      </c>
      <c r="G72" s="111">
        <f>'Stavební rozpočet'!G2597</f>
      </c>
      <c r="H72" s="111">
        <f>'Stavební rozpočet'!H2597</f>
      </c>
      <c r="I72" s="111">
        <f>G72*H72</f>
      </c>
      <c r="J72" s="153" t="s">
        <v>4</v>
      </c>
      <c r="K72" s="146"/>
      <c r="Z72" s="111">
        <f>IF(AQ72="5",BJ72,0)</f>
      </c>
      <c r="AB72" s="111">
        <f>IF(AQ72="1",BH72,0)</f>
      </c>
      <c r="AC72" s="111">
        <f>IF(AQ72="1",BI72,0)</f>
      </c>
      <c r="AD72" s="111">
        <f>IF(AQ72="7",BH72,0)</f>
      </c>
      <c r="AE72" s="111">
        <f>IF(AQ72="7",BI72,0)</f>
      </c>
      <c r="AF72" s="111">
        <f>IF(AQ72="2",BH72,0)</f>
      </c>
      <c r="AG72" s="111">
        <f>IF(AQ72="2",BI72,0)</f>
      </c>
      <c r="AH72" s="111">
        <f>IF(AQ72="0",BJ72,0)</f>
      </c>
      <c r="AI72" s="132" t="s">
        <v>89</v>
      </c>
      <c r="AJ72" s="111">
        <f>IF(AN72=0,I72,0)</f>
      </c>
      <c r="AK72" s="111">
        <f>IF(AN72=12,I72,0)</f>
      </c>
      <c r="AL72" s="111">
        <f>IF(AN72=21,I72,0)</f>
      </c>
      <c r="AN72" s="111" t="n">
        <v>21</v>
      </c>
      <c r="AO72" s="111">
        <f>H72*1</f>
      </c>
      <c r="AP72" s="111">
        <f>H72*(1-1)</f>
      </c>
      <c r="AQ72" s="153" t="s">
        <v>173</v>
      </c>
      <c r="AV72" s="111">
        <f>AW72+AX72</f>
      </c>
      <c r="AW72" s="111">
        <f>G72*AO72</f>
      </c>
      <c r="AX72" s="111">
        <f>G72*AP72</f>
      </c>
      <c r="AY72" s="153" t="s">
        <v>3728</v>
      </c>
      <c r="AZ72" s="153" t="s">
        <v>3905</v>
      </c>
      <c r="BA72" s="132" t="s">
        <v>3856</v>
      </c>
      <c r="BC72" s="111">
        <f>AW72+AX72</f>
      </c>
      <c r="BD72" s="111">
        <f>H72/(100-BE72)*100</f>
      </c>
      <c r="BE72" s="111" t="n">
        <v>0</v>
      </c>
      <c r="BF72" s="111">
        <f>72</f>
      </c>
      <c r="BH72" s="111">
        <f>G72*AO72</f>
      </c>
      <c r="BI72" s="111">
        <f>G72*AP72</f>
      </c>
      <c r="BJ72" s="111">
        <f>G72*H72</f>
      </c>
      <c r="BK72" s="111"/>
      <c r="BL72" s="111" t="n">
        <v>732</v>
      </c>
      <c r="BW72" s="111" t="n">
        <v>21</v>
      </c>
      <c r="BX72" s="14" t="s">
        <v>3998</v>
      </c>
    </row>
    <row r="73" ht="24.75">
      <c r="A73" s="9" t="s">
        <v>407</v>
      </c>
      <c r="B73" s="10" t="s">
        <v>89</v>
      </c>
      <c r="C73" s="10" t="s">
        <v>3999</v>
      </c>
      <c r="D73" s="14" t="s">
        <v>4000</v>
      </c>
      <c r="E73" s="10"/>
      <c r="F73" s="10" t="s">
        <v>2277</v>
      </c>
      <c r="G73" s="111">
        <f>'Stavební rozpočet'!G2598</f>
      </c>
      <c r="H73" s="111">
        <f>'Stavební rozpočet'!H2598</f>
      </c>
      <c r="I73" s="111">
        <f>G73*H73</f>
      </c>
      <c r="J73" s="153" t="s">
        <v>4</v>
      </c>
      <c r="K73" s="146"/>
      <c r="Z73" s="111">
        <f>IF(AQ73="5",BJ73,0)</f>
      </c>
      <c r="AB73" s="111">
        <f>IF(AQ73="1",BH73,0)</f>
      </c>
      <c r="AC73" s="111">
        <f>IF(AQ73="1",BI73,0)</f>
      </c>
      <c r="AD73" s="111">
        <f>IF(AQ73="7",BH73,0)</f>
      </c>
      <c r="AE73" s="111">
        <f>IF(AQ73="7",BI73,0)</f>
      </c>
      <c r="AF73" s="111">
        <f>IF(AQ73="2",BH73,0)</f>
      </c>
      <c r="AG73" s="111">
        <f>IF(AQ73="2",BI73,0)</f>
      </c>
      <c r="AH73" s="111">
        <f>IF(AQ73="0",BJ73,0)</f>
      </c>
      <c r="AI73" s="132" t="s">
        <v>89</v>
      </c>
      <c r="AJ73" s="111">
        <f>IF(AN73=0,I73,0)</f>
      </c>
      <c r="AK73" s="111">
        <f>IF(AN73=12,I73,0)</f>
      </c>
      <c r="AL73" s="111">
        <f>IF(AN73=21,I73,0)</f>
      </c>
      <c r="AN73" s="111" t="n">
        <v>21</v>
      </c>
      <c r="AO73" s="111">
        <f>H73*1</f>
      </c>
      <c r="AP73" s="111">
        <f>H73*(1-1)</f>
      </c>
      <c r="AQ73" s="153" t="s">
        <v>173</v>
      </c>
      <c r="AV73" s="111">
        <f>AW73+AX73</f>
      </c>
      <c r="AW73" s="111">
        <f>G73*AO73</f>
      </c>
      <c r="AX73" s="111">
        <f>G73*AP73</f>
      </c>
      <c r="AY73" s="153" t="s">
        <v>3728</v>
      </c>
      <c r="AZ73" s="153" t="s">
        <v>3905</v>
      </c>
      <c r="BA73" s="132" t="s">
        <v>3856</v>
      </c>
      <c r="BC73" s="111">
        <f>AW73+AX73</f>
      </c>
      <c r="BD73" s="111">
        <f>H73/(100-BE73)*100</f>
      </c>
      <c r="BE73" s="111" t="n">
        <v>0</v>
      </c>
      <c r="BF73" s="111">
        <f>73</f>
      </c>
      <c r="BH73" s="111">
        <f>G73*AO73</f>
      </c>
      <c r="BI73" s="111">
        <f>G73*AP73</f>
      </c>
      <c r="BJ73" s="111">
        <f>G73*H73</f>
      </c>
      <c r="BK73" s="111"/>
      <c r="BL73" s="111" t="n">
        <v>732</v>
      </c>
      <c r="BW73" s="111" t="n">
        <v>21</v>
      </c>
      <c r="BX73" s="14" t="s">
        <v>4000</v>
      </c>
    </row>
    <row r="74">
      <c r="A74" s="9" t="s">
        <v>411</v>
      </c>
      <c r="B74" s="10" t="s">
        <v>89</v>
      </c>
      <c r="C74" s="10" t="s">
        <v>4002</v>
      </c>
      <c r="D74" s="14" t="s">
        <v>4003</v>
      </c>
      <c r="E74" s="10"/>
      <c r="F74" s="10" t="s">
        <v>282</v>
      </c>
      <c r="G74" s="111">
        <f>'Stavební rozpočet'!G2599</f>
      </c>
      <c r="H74" s="111">
        <f>'Stavební rozpočet'!H2599</f>
      </c>
      <c r="I74" s="111">
        <f>G74*H74</f>
      </c>
      <c r="J74" s="153" t="s">
        <v>4</v>
      </c>
      <c r="K74" s="146"/>
      <c r="Z74" s="111">
        <f>IF(AQ74="5",BJ74,0)</f>
      </c>
      <c r="AB74" s="111">
        <f>IF(AQ74="1",BH74,0)</f>
      </c>
      <c r="AC74" s="111">
        <f>IF(AQ74="1",BI74,0)</f>
      </c>
      <c r="AD74" s="111">
        <f>IF(AQ74="7",BH74,0)</f>
      </c>
      <c r="AE74" s="111">
        <f>IF(AQ74="7",BI74,0)</f>
      </c>
      <c r="AF74" s="111">
        <f>IF(AQ74="2",BH74,0)</f>
      </c>
      <c r="AG74" s="111">
        <f>IF(AQ74="2",BI74,0)</f>
      </c>
      <c r="AH74" s="111">
        <f>IF(AQ74="0",BJ74,0)</f>
      </c>
      <c r="AI74" s="132" t="s">
        <v>89</v>
      </c>
      <c r="AJ74" s="111">
        <f>IF(AN74=0,I74,0)</f>
      </c>
      <c r="AK74" s="111">
        <f>IF(AN74=12,I74,0)</f>
      </c>
      <c r="AL74" s="111">
        <f>IF(AN74=21,I74,0)</f>
      </c>
      <c r="AN74" s="111" t="n">
        <v>21</v>
      </c>
      <c r="AO74" s="111">
        <f>H74*1</f>
      </c>
      <c r="AP74" s="111">
        <f>H74*(1-1)</f>
      </c>
      <c r="AQ74" s="153" t="s">
        <v>173</v>
      </c>
      <c r="AV74" s="111">
        <f>AW74+AX74</f>
      </c>
      <c r="AW74" s="111">
        <f>G74*AO74</f>
      </c>
      <c r="AX74" s="111">
        <f>G74*AP74</f>
      </c>
      <c r="AY74" s="153" t="s">
        <v>3728</v>
      </c>
      <c r="AZ74" s="153" t="s">
        <v>3905</v>
      </c>
      <c r="BA74" s="132" t="s">
        <v>3856</v>
      </c>
      <c r="BC74" s="111">
        <f>AW74+AX74</f>
      </c>
      <c r="BD74" s="111">
        <f>H74/(100-BE74)*100</f>
      </c>
      <c r="BE74" s="111" t="n">
        <v>0</v>
      </c>
      <c r="BF74" s="111">
        <f>74</f>
      </c>
      <c r="BH74" s="111">
        <f>G74*AO74</f>
      </c>
      <c r="BI74" s="111">
        <f>G74*AP74</f>
      </c>
      <c r="BJ74" s="111">
        <f>G74*H74</f>
      </c>
      <c r="BK74" s="111"/>
      <c r="BL74" s="111" t="n">
        <v>732</v>
      </c>
      <c r="BW74" s="111" t="n">
        <v>21</v>
      </c>
      <c r="BX74" s="14" t="s">
        <v>4003</v>
      </c>
    </row>
    <row r="75">
      <c r="A75" s="9" t="s">
        <v>416</v>
      </c>
      <c r="B75" s="10" t="s">
        <v>89</v>
      </c>
      <c r="C75" s="10" t="s">
        <v>4004</v>
      </c>
      <c r="D75" s="14" t="s">
        <v>4005</v>
      </c>
      <c r="E75" s="10"/>
      <c r="F75" s="10" t="s">
        <v>133</v>
      </c>
      <c r="G75" s="111">
        <f>'Stavební rozpočet'!G2600</f>
      </c>
      <c r="H75" s="111">
        <f>'Stavební rozpočet'!H2600</f>
      </c>
      <c r="I75" s="111">
        <f>G75*H75</f>
      </c>
      <c r="J75" s="153" t="s">
        <v>4</v>
      </c>
      <c r="K75" s="146"/>
      <c r="Z75" s="111">
        <f>IF(AQ75="5",BJ75,0)</f>
      </c>
      <c r="AB75" s="111">
        <f>IF(AQ75="1",BH75,0)</f>
      </c>
      <c r="AC75" s="111">
        <f>IF(AQ75="1",BI75,0)</f>
      </c>
      <c r="AD75" s="111">
        <f>IF(AQ75="7",BH75,0)</f>
      </c>
      <c r="AE75" s="111">
        <f>IF(AQ75="7",BI75,0)</f>
      </c>
      <c r="AF75" s="111">
        <f>IF(AQ75="2",BH75,0)</f>
      </c>
      <c r="AG75" s="111">
        <f>IF(AQ75="2",BI75,0)</f>
      </c>
      <c r="AH75" s="111">
        <f>IF(AQ75="0",BJ75,0)</f>
      </c>
      <c r="AI75" s="132" t="s">
        <v>89</v>
      </c>
      <c r="AJ75" s="111">
        <f>IF(AN75=0,I75,0)</f>
      </c>
      <c r="AK75" s="111">
        <f>IF(AN75=12,I75,0)</f>
      </c>
      <c r="AL75" s="111">
        <f>IF(AN75=21,I75,0)</f>
      </c>
      <c r="AN75" s="111" t="n">
        <v>21</v>
      </c>
      <c r="AO75" s="111">
        <f>H75*1</f>
      </c>
      <c r="AP75" s="111">
        <f>H75*(1-1)</f>
      </c>
      <c r="AQ75" s="153" t="s">
        <v>173</v>
      </c>
      <c r="AV75" s="111">
        <f>AW75+AX75</f>
      </c>
      <c r="AW75" s="111">
        <f>G75*AO75</f>
      </c>
      <c r="AX75" s="111">
        <f>G75*AP75</f>
      </c>
      <c r="AY75" s="153" t="s">
        <v>3728</v>
      </c>
      <c r="AZ75" s="153" t="s">
        <v>3905</v>
      </c>
      <c r="BA75" s="132" t="s">
        <v>3856</v>
      </c>
      <c r="BC75" s="111">
        <f>AW75+AX75</f>
      </c>
      <c r="BD75" s="111">
        <f>H75/(100-BE75)*100</f>
      </c>
      <c r="BE75" s="111" t="n">
        <v>0</v>
      </c>
      <c r="BF75" s="111">
        <f>75</f>
      </c>
      <c r="BH75" s="111">
        <f>G75*AO75</f>
      </c>
      <c r="BI75" s="111">
        <f>G75*AP75</f>
      </c>
      <c r="BJ75" s="111">
        <f>G75*H75</f>
      </c>
      <c r="BK75" s="111"/>
      <c r="BL75" s="111" t="n">
        <v>732</v>
      </c>
      <c r="BW75" s="111" t="n">
        <v>21</v>
      </c>
      <c r="BX75" s="14" t="s">
        <v>4005</v>
      </c>
    </row>
    <row r="76">
      <c r="A76" s="9" t="s">
        <v>444</v>
      </c>
      <c r="B76" s="10" t="s">
        <v>89</v>
      </c>
      <c r="C76" s="10" t="s">
        <v>4007</v>
      </c>
      <c r="D76" s="14" t="s">
        <v>4008</v>
      </c>
      <c r="E76" s="10"/>
      <c r="F76" s="10" t="s">
        <v>133</v>
      </c>
      <c r="G76" s="111">
        <f>'Stavební rozpočet'!G2601</f>
      </c>
      <c r="H76" s="111">
        <f>'Stavební rozpočet'!H2601</f>
      </c>
      <c r="I76" s="111">
        <f>G76*H76</f>
      </c>
      <c r="J76" s="153" t="s">
        <v>4</v>
      </c>
      <c r="K76" s="146"/>
      <c r="Z76" s="111">
        <f>IF(AQ76="5",BJ76,0)</f>
      </c>
      <c r="AB76" s="111">
        <f>IF(AQ76="1",BH76,0)</f>
      </c>
      <c r="AC76" s="111">
        <f>IF(AQ76="1",BI76,0)</f>
      </c>
      <c r="AD76" s="111">
        <f>IF(AQ76="7",BH76,0)</f>
      </c>
      <c r="AE76" s="111">
        <f>IF(AQ76="7",BI76,0)</f>
      </c>
      <c r="AF76" s="111">
        <f>IF(AQ76="2",BH76,0)</f>
      </c>
      <c r="AG76" s="111">
        <f>IF(AQ76="2",BI76,0)</f>
      </c>
      <c r="AH76" s="111">
        <f>IF(AQ76="0",BJ76,0)</f>
      </c>
      <c r="AI76" s="132" t="s">
        <v>89</v>
      </c>
      <c r="AJ76" s="111">
        <f>IF(AN76=0,I76,0)</f>
      </c>
      <c r="AK76" s="111">
        <f>IF(AN76=12,I76,0)</f>
      </c>
      <c r="AL76" s="111">
        <f>IF(AN76=21,I76,0)</f>
      </c>
      <c r="AN76" s="111" t="n">
        <v>21</v>
      </c>
      <c r="AO76" s="111">
        <f>H76*1</f>
      </c>
      <c r="AP76" s="111">
        <f>H76*(1-1)</f>
      </c>
      <c r="AQ76" s="153" t="s">
        <v>173</v>
      </c>
      <c r="AV76" s="111">
        <f>AW76+AX76</f>
      </c>
      <c r="AW76" s="111">
        <f>G76*AO76</f>
      </c>
      <c r="AX76" s="111">
        <f>G76*AP76</f>
      </c>
      <c r="AY76" s="153" t="s">
        <v>3728</v>
      </c>
      <c r="AZ76" s="153" t="s">
        <v>3905</v>
      </c>
      <c r="BA76" s="132" t="s">
        <v>3856</v>
      </c>
      <c r="BC76" s="111">
        <f>AW76+AX76</f>
      </c>
      <c r="BD76" s="111">
        <f>H76/(100-BE76)*100</f>
      </c>
      <c r="BE76" s="111" t="n">
        <v>0</v>
      </c>
      <c r="BF76" s="111">
        <f>76</f>
      </c>
      <c r="BH76" s="111">
        <f>G76*AO76</f>
      </c>
      <c r="BI76" s="111">
        <f>G76*AP76</f>
      </c>
      <c r="BJ76" s="111">
        <f>G76*H76</f>
      </c>
      <c r="BK76" s="111"/>
      <c r="BL76" s="111" t="n">
        <v>732</v>
      </c>
      <c r="BW76" s="111" t="n">
        <v>21</v>
      </c>
      <c r="BX76" s="14" t="s">
        <v>4008</v>
      </c>
    </row>
    <row r="77">
      <c r="A77" s="9" t="s">
        <v>450</v>
      </c>
      <c r="B77" s="10" t="s">
        <v>89</v>
      </c>
      <c r="C77" s="10" t="s">
        <v>4009</v>
      </c>
      <c r="D77" s="14" t="s">
        <v>4008</v>
      </c>
      <c r="E77" s="10"/>
      <c r="F77" s="10" t="s">
        <v>133</v>
      </c>
      <c r="G77" s="111">
        <f>'Stavební rozpočet'!G2602</f>
      </c>
      <c r="H77" s="111">
        <f>'Stavební rozpočet'!H2602</f>
      </c>
      <c r="I77" s="111">
        <f>G77*H77</f>
      </c>
      <c r="J77" s="153" t="s">
        <v>4</v>
      </c>
      <c r="K77" s="146"/>
      <c r="Z77" s="111">
        <f>IF(AQ77="5",BJ77,0)</f>
      </c>
      <c r="AB77" s="111">
        <f>IF(AQ77="1",BH77,0)</f>
      </c>
      <c r="AC77" s="111">
        <f>IF(AQ77="1",BI77,0)</f>
      </c>
      <c r="AD77" s="111">
        <f>IF(AQ77="7",BH77,0)</f>
      </c>
      <c r="AE77" s="111">
        <f>IF(AQ77="7",BI77,0)</f>
      </c>
      <c r="AF77" s="111">
        <f>IF(AQ77="2",BH77,0)</f>
      </c>
      <c r="AG77" s="111">
        <f>IF(AQ77="2",BI77,0)</f>
      </c>
      <c r="AH77" s="111">
        <f>IF(AQ77="0",BJ77,0)</f>
      </c>
      <c r="AI77" s="132" t="s">
        <v>89</v>
      </c>
      <c r="AJ77" s="111">
        <f>IF(AN77=0,I77,0)</f>
      </c>
      <c r="AK77" s="111">
        <f>IF(AN77=12,I77,0)</f>
      </c>
      <c r="AL77" s="111">
        <f>IF(AN77=21,I77,0)</f>
      </c>
      <c r="AN77" s="111" t="n">
        <v>21</v>
      </c>
      <c r="AO77" s="111">
        <f>H77*1</f>
      </c>
      <c r="AP77" s="111">
        <f>H77*(1-1)</f>
      </c>
      <c r="AQ77" s="153" t="s">
        <v>173</v>
      </c>
      <c r="AV77" s="111">
        <f>AW77+AX77</f>
      </c>
      <c r="AW77" s="111">
        <f>G77*AO77</f>
      </c>
      <c r="AX77" s="111">
        <f>G77*AP77</f>
      </c>
      <c r="AY77" s="153" t="s">
        <v>3728</v>
      </c>
      <c r="AZ77" s="153" t="s">
        <v>3905</v>
      </c>
      <c r="BA77" s="132" t="s">
        <v>3856</v>
      </c>
      <c r="BC77" s="111">
        <f>AW77+AX77</f>
      </c>
      <c r="BD77" s="111">
        <f>H77/(100-BE77)*100</f>
      </c>
      <c r="BE77" s="111" t="n">
        <v>0</v>
      </c>
      <c r="BF77" s="111">
        <f>77</f>
      </c>
      <c r="BH77" s="111">
        <f>G77*AO77</f>
      </c>
      <c r="BI77" s="111">
        <f>G77*AP77</f>
      </c>
      <c r="BJ77" s="111">
        <f>G77*H77</f>
      </c>
      <c r="BK77" s="111"/>
      <c r="BL77" s="111" t="n">
        <v>732</v>
      </c>
      <c r="BW77" s="111" t="n">
        <v>21</v>
      </c>
      <c r="BX77" s="14" t="s">
        <v>4008</v>
      </c>
    </row>
    <row r="78">
      <c r="A78" s="9" t="s">
        <v>455</v>
      </c>
      <c r="B78" s="10" t="s">
        <v>89</v>
      </c>
      <c r="C78" s="10" t="s">
        <v>4010</v>
      </c>
      <c r="D78" s="14" t="s">
        <v>4011</v>
      </c>
      <c r="E78" s="10"/>
      <c r="F78" s="10" t="s">
        <v>133</v>
      </c>
      <c r="G78" s="111">
        <f>'Stavební rozpočet'!G2603</f>
      </c>
      <c r="H78" s="111">
        <f>'Stavební rozpočet'!H2603</f>
      </c>
      <c r="I78" s="111">
        <f>G78*H78</f>
      </c>
      <c r="J78" s="153" t="s">
        <v>4</v>
      </c>
      <c r="K78" s="146"/>
      <c r="Z78" s="111">
        <f>IF(AQ78="5",BJ78,0)</f>
      </c>
      <c r="AB78" s="111">
        <f>IF(AQ78="1",BH78,0)</f>
      </c>
      <c r="AC78" s="111">
        <f>IF(AQ78="1",BI78,0)</f>
      </c>
      <c r="AD78" s="111">
        <f>IF(AQ78="7",BH78,0)</f>
      </c>
      <c r="AE78" s="111">
        <f>IF(AQ78="7",BI78,0)</f>
      </c>
      <c r="AF78" s="111">
        <f>IF(AQ78="2",BH78,0)</f>
      </c>
      <c r="AG78" s="111">
        <f>IF(AQ78="2",BI78,0)</f>
      </c>
      <c r="AH78" s="111">
        <f>IF(AQ78="0",BJ78,0)</f>
      </c>
      <c r="AI78" s="132" t="s">
        <v>89</v>
      </c>
      <c r="AJ78" s="111">
        <f>IF(AN78=0,I78,0)</f>
      </c>
      <c r="AK78" s="111">
        <f>IF(AN78=12,I78,0)</f>
      </c>
      <c r="AL78" s="111">
        <f>IF(AN78=21,I78,0)</f>
      </c>
      <c r="AN78" s="111" t="n">
        <v>21</v>
      </c>
      <c r="AO78" s="111">
        <f>H78*1</f>
      </c>
      <c r="AP78" s="111">
        <f>H78*(1-1)</f>
      </c>
      <c r="AQ78" s="153" t="s">
        <v>173</v>
      </c>
      <c r="AV78" s="111">
        <f>AW78+AX78</f>
      </c>
      <c r="AW78" s="111">
        <f>G78*AO78</f>
      </c>
      <c r="AX78" s="111">
        <f>G78*AP78</f>
      </c>
      <c r="AY78" s="153" t="s">
        <v>3728</v>
      </c>
      <c r="AZ78" s="153" t="s">
        <v>3905</v>
      </c>
      <c r="BA78" s="132" t="s">
        <v>3856</v>
      </c>
      <c r="BC78" s="111">
        <f>AW78+AX78</f>
      </c>
      <c r="BD78" s="111">
        <f>H78/(100-BE78)*100</f>
      </c>
      <c r="BE78" s="111" t="n">
        <v>0</v>
      </c>
      <c r="BF78" s="111">
        <f>78</f>
      </c>
      <c r="BH78" s="111">
        <f>G78*AO78</f>
      </c>
      <c r="BI78" s="111">
        <f>G78*AP78</f>
      </c>
      <c r="BJ78" s="111">
        <f>G78*H78</f>
      </c>
      <c r="BK78" s="111"/>
      <c r="BL78" s="111" t="n">
        <v>732</v>
      </c>
      <c r="BW78" s="111" t="n">
        <v>21</v>
      </c>
      <c r="BX78" s="14" t="s">
        <v>4011</v>
      </c>
    </row>
    <row r="79">
      <c r="A79" s="9" t="s">
        <v>460</v>
      </c>
      <c r="B79" s="10" t="s">
        <v>89</v>
      </c>
      <c r="C79" s="10" t="s">
        <v>4013</v>
      </c>
      <c r="D79" s="14" t="s">
        <v>4011</v>
      </c>
      <c r="E79" s="10"/>
      <c r="F79" s="10" t="s">
        <v>133</v>
      </c>
      <c r="G79" s="111">
        <f>'Stavební rozpočet'!G2604</f>
      </c>
      <c r="H79" s="111">
        <f>'Stavební rozpočet'!H2604</f>
      </c>
      <c r="I79" s="111">
        <f>G79*H79</f>
      </c>
      <c r="J79" s="153" t="s">
        <v>4</v>
      </c>
      <c r="K79" s="146"/>
      <c r="Z79" s="111">
        <f>IF(AQ79="5",BJ79,0)</f>
      </c>
      <c r="AB79" s="111">
        <f>IF(AQ79="1",BH79,0)</f>
      </c>
      <c r="AC79" s="111">
        <f>IF(AQ79="1",BI79,0)</f>
      </c>
      <c r="AD79" s="111">
        <f>IF(AQ79="7",BH79,0)</f>
      </c>
      <c r="AE79" s="111">
        <f>IF(AQ79="7",BI79,0)</f>
      </c>
      <c r="AF79" s="111">
        <f>IF(AQ79="2",BH79,0)</f>
      </c>
      <c r="AG79" s="111">
        <f>IF(AQ79="2",BI79,0)</f>
      </c>
      <c r="AH79" s="111">
        <f>IF(AQ79="0",BJ79,0)</f>
      </c>
      <c r="AI79" s="132" t="s">
        <v>89</v>
      </c>
      <c r="AJ79" s="111">
        <f>IF(AN79=0,I79,0)</f>
      </c>
      <c r="AK79" s="111">
        <f>IF(AN79=12,I79,0)</f>
      </c>
      <c r="AL79" s="111">
        <f>IF(AN79=21,I79,0)</f>
      </c>
      <c r="AN79" s="111" t="n">
        <v>21</v>
      </c>
      <c r="AO79" s="111">
        <f>H79*1</f>
      </c>
      <c r="AP79" s="111">
        <f>H79*(1-1)</f>
      </c>
      <c r="AQ79" s="153" t="s">
        <v>173</v>
      </c>
      <c r="AV79" s="111">
        <f>AW79+AX79</f>
      </c>
      <c r="AW79" s="111">
        <f>G79*AO79</f>
      </c>
      <c r="AX79" s="111">
        <f>G79*AP79</f>
      </c>
      <c r="AY79" s="153" t="s">
        <v>3728</v>
      </c>
      <c r="AZ79" s="153" t="s">
        <v>3905</v>
      </c>
      <c r="BA79" s="132" t="s">
        <v>3856</v>
      </c>
      <c r="BC79" s="111">
        <f>AW79+AX79</f>
      </c>
      <c r="BD79" s="111">
        <f>H79/(100-BE79)*100</f>
      </c>
      <c r="BE79" s="111" t="n">
        <v>0</v>
      </c>
      <c r="BF79" s="111">
        <f>79</f>
      </c>
      <c r="BH79" s="111">
        <f>G79*AO79</f>
      </c>
      <c r="BI79" s="111">
        <f>G79*AP79</f>
      </c>
      <c r="BJ79" s="111">
        <f>G79*H79</f>
      </c>
      <c r="BK79" s="111"/>
      <c r="BL79" s="111" t="n">
        <v>732</v>
      </c>
      <c r="BW79" s="111" t="n">
        <v>21</v>
      </c>
      <c r="BX79" s="14" t="s">
        <v>4011</v>
      </c>
    </row>
    <row r="80">
      <c r="A80" s="9" t="s">
        <v>466</v>
      </c>
      <c r="B80" s="10" t="s">
        <v>89</v>
      </c>
      <c r="C80" s="10" t="s">
        <v>4015</v>
      </c>
      <c r="D80" s="14" t="s">
        <v>4011</v>
      </c>
      <c r="E80" s="10"/>
      <c r="F80" s="10" t="s">
        <v>133</v>
      </c>
      <c r="G80" s="111">
        <f>'Stavební rozpočet'!G2605</f>
      </c>
      <c r="H80" s="111">
        <f>'Stavební rozpočet'!H2605</f>
      </c>
      <c r="I80" s="111">
        <f>G80*H80</f>
      </c>
      <c r="J80" s="153" t="s">
        <v>4</v>
      </c>
      <c r="K80" s="146"/>
      <c r="Z80" s="111">
        <f>IF(AQ80="5",BJ80,0)</f>
      </c>
      <c r="AB80" s="111">
        <f>IF(AQ80="1",BH80,0)</f>
      </c>
      <c r="AC80" s="111">
        <f>IF(AQ80="1",BI80,0)</f>
      </c>
      <c r="AD80" s="111">
        <f>IF(AQ80="7",BH80,0)</f>
      </c>
      <c r="AE80" s="111">
        <f>IF(AQ80="7",BI80,0)</f>
      </c>
      <c r="AF80" s="111">
        <f>IF(AQ80="2",BH80,0)</f>
      </c>
      <c r="AG80" s="111">
        <f>IF(AQ80="2",BI80,0)</f>
      </c>
      <c r="AH80" s="111">
        <f>IF(AQ80="0",BJ80,0)</f>
      </c>
      <c r="AI80" s="132" t="s">
        <v>89</v>
      </c>
      <c r="AJ80" s="111">
        <f>IF(AN80=0,I80,0)</f>
      </c>
      <c r="AK80" s="111">
        <f>IF(AN80=12,I80,0)</f>
      </c>
      <c r="AL80" s="111">
        <f>IF(AN80=21,I80,0)</f>
      </c>
      <c r="AN80" s="111" t="n">
        <v>21</v>
      </c>
      <c r="AO80" s="111">
        <f>H80*1</f>
      </c>
      <c r="AP80" s="111">
        <f>H80*(1-1)</f>
      </c>
      <c r="AQ80" s="153" t="s">
        <v>173</v>
      </c>
      <c r="AV80" s="111">
        <f>AW80+AX80</f>
      </c>
      <c r="AW80" s="111">
        <f>G80*AO80</f>
      </c>
      <c r="AX80" s="111">
        <f>G80*AP80</f>
      </c>
      <c r="AY80" s="153" t="s">
        <v>3728</v>
      </c>
      <c r="AZ80" s="153" t="s">
        <v>3905</v>
      </c>
      <c r="BA80" s="132" t="s">
        <v>3856</v>
      </c>
      <c r="BC80" s="111">
        <f>AW80+AX80</f>
      </c>
      <c r="BD80" s="111">
        <f>H80/(100-BE80)*100</f>
      </c>
      <c r="BE80" s="111" t="n">
        <v>0</v>
      </c>
      <c r="BF80" s="111">
        <f>80</f>
      </c>
      <c r="BH80" s="111">
        <f>G80*AO80</f>
      </c>
      <c r="BI80" s="111">
        <f>G80*AP80</f>
      </c>
      <c r="BJ80" s="111">
        <f>G80*H80</f>
      </c>
      <c r="BK80" s="111"/>
      <c r="BL80" s="111" t="n">
        <v>732</v>
      </c>
      <c r="BW80" s="111" t="n">
        <v>21</v>
      </c>
      <c r="BX80" s="14" t="s">
        <v>4011</v>
      </c>
    </row>
    <row r="81">
      <c r="A81" s="9" t="s">
        <v>472</v>
      </c>
      <c r="B81" s="10" t="s">
        <v>89</v>
      </c>
      <c r="C81" s="10" t="s">
        <v>4017</v>
      </c>
      <c r="D81" s="14" t="s">
        <v>4018</v>
      </c>
      <c r="E81" s="10"/>
      <c r="F81" s="10" t="s">
        <v>3860</v>
      </c>
      <c r="G81" s="111">
        <f>'Stavební rozpočet'!G2606</f>
      </c>
      <c r="H81" s="111">
        <f>'Stavební rozpočet'!H2606</f>
      </c>
      <c r="I81" s="111">
        <f>G81*H81</f>
      </c>
      <c r="J81" s="153" t="s">
        <v>4</v>
      </c>
      <c r="K81" s="146"/>
      <c r="Z81" s="111">
        <f>IF(AQ81="5",BJ81,0)</f>
      </c>
      <c r="AB81" s="111">
        <f>IF(AQ81="1",BH81,0)</f>
      </c>
      <c r="AC81" s="111">
        <f>IF(AQ81="1",BI81,0)</f>
      </c>
      <c r="AD81" s="111">
        <f>IF(AQ81="7",BH81,0)</f>
      </c>
      <c r="AE81" s="111">
        <f>IF(AQ81="7",BI81,0)</f>
      </c>
      <c r="AF81" s="111">
        <f>IF(AQ81="2",BH81,0)</f>
      </c>
      <c r="AG81" s="111">
        <f>IF(AQ81="2",BI81,0)</f>
      </c>
      <c r="AH81" s="111">
        <f>IF(AQ81="0",BJ81,0)</f>
      </c>
      <c r="AI81" s="132" t="s">
        <v>89</v>
      </c>
      <c r="AJ81" s="111">
        <f>IF(AN81=0,I81,0)</f>
      </c>
      <c r="AK81" s="111">
        <f>IF(AN81=12,I81,0)</f>
      </c>
      <c r="AL81" s="111">
        <f>IF(AN81=21,I81,0)</f>
      </c>
      <c r="AN81" s="111" t="n">
        <v>21</v>
      </c>
      <c r="AO81" s="111">
        <f>H81*1</f>
      </c>
      <c r="AP81" s="111">
        <f>H81*(1-1)</f>
      </c>
      <c r="AQ81" s="153" t="s">
        <v>173</v>
      </c>
      <c r="AV81" s="111">
        <f>AW81+AX81</f>
      </c>
      <c r="AW81" s="111">
        <f>G81*AO81</f>
      </c>
      <c r="AX81" s="111">
        <f>G81*AP81</f>
      </c>
      <c r="AY81" s="153" t="s">
        <v>3728</v>
      </c>
      <c r="AZ81" s="153" t="s">
        <v>3905</v>
      </c>
      <c r="BA81" s="132" t="s">
        <v>3856</v>
      </c>
      <c r="BC81" s="111">
        <f>AW81+AX81</f>
      </c>
      <c r="BD81" s="111">
        <f>H81/(100-BE81)*100</f>
      </c>
      <c r="BE81" s="111" t="n">
        <v>0</v>
      </c>
      <c r="BF81" s="111">
        <f>81</f>
      </c>
      <c r="BH81" s="111">
        <f>G81*AO81</f>
      </c>
      <c r="BI81" s="111">
        <f>G81*AP81</f>
      </c>
      <c r="BJ81" s="111">
        <f>G81*H81</f>
      </c>
      <c r="BK81" s="111"/>
      <c r="BL81" s="111" t="n">
        <v>732</v>
      </c>
      <c r="BW81" s="111" t="n">
        <v>21</v>
      </c>
      <c r="BX81" s="14" t="s">
        <v>4018</v>
      </c>
    </row>
    <row r="82">
      <c r="A82" s="9" t="s">
        <v>148</v>
      </c>
      <c r="B82" s="10" t="s">
        <v>89</v>
      </c>
      <c r="C82" s="10" t="s">
        <v>4019</v>
      </c>
      <c r="D82" s="14" t="s">
        <v>4020</v>
      </c>
      <c r="E82" s="10"/>
      <c r="F82" s="10" t="s">
        <v>133</v>
      </c>
      <c r="G82" s="111">
        <f>'Stavební rozpočet'!G2607</f>
      </c>
      <c r="H82" s="111">
        <f>'Stavební rozpočet'!H2607</f>
      </c>
      <c r="I82" s="111">
        <f>G82*H82</f>
      </c>
      <c r="J82" s="153" t="s">
        <v>4</v>
      </c>
      <c r="K82" s="146"/>
      <c r="Z82" s="111">
        <f>IF(AQ82="5",BJ82,0)</f>
      </c>
      <c r="AB82" s="111">
        <f>IF(AQ82="1",BH82,0)</f>
      </c>
      <c r="AC82" s="111">
        <f>IF(AQ82="1",BI82,0)</f>
      </c>
      <c r="AD82" s="111">
        <f>IF(AQ82="7",BH82,0)</f>
      </c>
      <c r="AE82" s="111">
        <f>IF(AQ82="7",BI82,0)</f>
      </c>
      <c r="AF82" s="111">
        <f>IF(AQ82="2",BH82,0)</f>
      </c>
      <c r="AG82" s="111">
        <f>IF(AQ82="2",BI82,0)</f>
      </c>
      <c r="AH82" s="111">
        <f>IF(AQ82="0",BJ82,0)</f>
      </c>
      <c r="AI82" s="132" t="s">
        <v>89</v>
      </c>
      <c r="AJ82" s="111">
        <f>IF(AN82=0,I82,0)</f>
      </c>
      <c r="AK82" s="111">
        <f>IF(AN82=12,I82,0)</f>
      </c>
      <c r="AL82" s="111">
        <f>IF(AN82=21,I82,0)</f>
      </c>
      <c r="AN82" s="111" t="n">
        <v>21</v>
      </c>
      <c r="AO82" s="111">
        <f>H82*1</f>
      </c>
      <c r="AP82" s="111">
        <f>H82*(1-1)</f>
      </c>
      <c r="AQ82" s="153" t="s">
        <v>173</v>
      </c>
      <c r="AV82" s="111">
        <f>AW82+AX82</f>
      </c>
      <c r="AW82" s="111">
        <f>G82*AO82</f>
      </c>
      <c r="AX82" s="111">
        <f>G82*AP82</f>
      </c>
      <c r="AY82" s="153" t="s">
        <v>3728</v>
      </c>
      <c r="AZ82" s="153" t="s">
        <v>3905</v>
      </c>
      <c r="BA82" s="132" t="s">
        <v>3856</v>
      </c>
      <c r="BC82" s="111">
        <f>AW82+AX82</f>
      </c>
      <c r="BD82" s="111">
        <f>H82/(100-BE82)*100</f>
      </c>
      <c r="BE82" s="111" t="n">
        <v>0</v>
      </c>
      <c r="BF82" s="111">
        <f>82</f>
      </c>
      <c r="BH82" s="111">
        <f>G82*AO82</f>
      </c>
      <c r="BI82" s="111">
        <f>G82*AP82</f>
      </c>
      <c r="BJ82" s="111">
        <f>G82*H82</f>
      </c>
      <c r="BK82" s="111"/>
      <c r="BL82" s="111" t="n">
        <v>732</v>
      </c>
      <c r="BW82" s="111" t="n">
        <v>21</v>
      </c>
      <c r="BX82" s="14" t="s">
        <v>4020</v>
      </c>
    </row>
    <row r="83">
      <c r="A83" s="9" t="s">
        <v>480</v>
      </c>
      <c r="B83" s="10" t="s">
        <v>89</v>
      </c>
      <c r="C83" s="10" t="s">
        <v>4022</v>
      </c>
      <c r="D83" s="14" t="s">
        <v>4023</v>
      </c>
      <c r="E83" s="10"/>
      <c r="F83" s="10" t="s">
        <v>2277</v>
      </c>
      <c r="G83" s="111">
        <f>'Stavební rozpočet'!G2608</f>
      </c>
      <c r="H83" s="111">
        <f>'Stavební rozpočet'!H2608</f>
      </c>
      <c r="I83" s="111">
        <f>G83*H83</f>
      </c>
      <c r="J83" s="153" t="s">
        <v>4</v>
      </c>
      <c r="K83" s="146"/>
      <c r="Z83" s="111">
        <f>IF(AQ83="5",BJ83,0)</f>
      </c>
      <c r="AB83" s="111">
        <f>IF(AQ83="1",BH83,0)</f>
      </c>
      <c r="AC83" s="111">
        <f>IF(AQ83="1",BI83,0)</f>
      </c>
      <c r="AD83" s="111">
        <f>IF(AQ83="7",BH83,0)</f>
      </c>
      <c r="AE83" s="111">
        <f>IF(AQ83="7",BI83,0)</f>
      </c>
      <c r="AF83" s="111">
        <f>IF(AQ83="2",BH83,0)</f>
      </c>
      <c r="AG83" s="111">
        <f>IF(AQ83="2",BI83,0)</f>
      </c>
      <c r="AH83" s="111">
        <f>IF(AQ83="0",BJ83,0)</f>
      </c>
      <c r="AI83" s="132" t="s">
        <v>89</v>
      </c>
      <c r="AJ83" s="111">
        <f>IF(AN83=0,I83,0)</f>
      </c>
      <c r="AK83" s="111">
        <f>IF(AN83=12,I83,0)</f>
      </c>
      <c r="AL83" s="111">
        <f>IF(AN83=21,I83,0)</f>
      </c>
      <c r="AN83" s="111" t="n">
        <v>21</v>
      </c>
      <c r="AO83" s="111">
        <f>H83*1</f>
      </c>
      <c r="AP83" s="111">
        <f>H83*(1-1)</f>
      </c>
      <c r="AQ83" s="153" t="s">
        <v>173</v>
      </c>
      <c r="AV83" s="111">
        <f>AW83+AX83</f>
      </c>
      <c r="AW83" s="111">
        <f>G83*AO83</f>
      </c>
      <c r="AX83" s="111">
        <f>G83*AP83</f>
      </c>
      <c r="AY83" s="153" t="s">
        <v>3728</v>
      </c>
      <c r="AZ83" s="153" t="s">
        <v>3905</v>
      </c>
      <c r="BA83" s="132" t="s">
        <v>3856</v>
      </c>
      <c r="BC83" s="111">
        <f>AW83+AX83</f>
      </c>
      <c r="BD83" s="111">
        <f>H83/(100-BE83)*100</f>
      </c>
      <c r="BE83" s="111" t="n">
        <v>0</v>
      </c>
      <c r="BF83" s="111">
        <f>83</f>
      </c>
      <c r="BH83" s="111">
        <f>G83*AO83</f>
      </c>
      <c r="BI83" s="111">
        <f>G83*AP83</f>
      </c>
      <c r="BJ83" s="111">
        <f>G83*H83</f>
      </c>
      <c r="BK83" s="111"/>
      <c r="BL83" s="111" t="n">
        <v>732</v>
      </c>
      <c r="BW83" s="111" t="n">
        <v>21</v>
      </c>
      <c r="BX83" s="14" t="s">
        <v>4023</v>
      </c>
    </row>
    <row r="84">
      <c r="A84" s="9" t="s">
        <v>484</v>
      </c>
      <c r="B84" s="10" t="s">
        <v>89</v>
      </c>
      <c r="C84" s="10" t="s">
        <v>4025</v>
      </c>
      <c r="D84" s="14" t="s">
        <v>4026</v>
      </c>
      <c r="E84" s="10"/>
      <c r="F84" s="10" t="s">
        <v>2277</v>
      </c>
      <c r="G84" s="111">
        <f>'Stavební rozpočet'!G2609</f>
      </c>
      <c r="H84" s="111">
        <f>'Stavební rozpočet'!H2609</f>
      </c>
      <c r="I84" s="111">
        <f>G84*H84</f>
      </c>
      <c r="J84" s="153" t="s">
        <v>4</v>
      </c>
      <c r="K84" s="146"/>
      <c r="Z84" s="111">
        <f>IF(AQ84="5",BJ84,0)</f>
      </c>
      <c r="AB84" s="111">
        <f>IF(AQ84="1",BH84,0)</f>
      </c>
      <c r="AC84" s="111">
        <f>IF(AQ84="1",BI84,0)</f>
      </c>
      <c r="AD84" s="111">
        <f>IF(AQ84="7",BH84,0)</f>
      </c>
      <c r="AE84" s="111">
        <f>IF(AQ84="7",BI84,0)</f>
      </c>
      <c r="AF84" s="111">
        <f>IF(AQ84="2",BH84,0)</f>
      </c>
      <c r="AG84" s="111">
        <f>IF(AQ84="2",BI84,0)</f>
      </c>
      <c r="AH84" s="111">
        <f>IF(AQ84="0",BJ84,0)</f>
      </c>
      <c r="AI84" s="132" t="s">
        <v>89</v>
      </c>
      <c r="AJ84" s="111">
        <f>IF(AN84=0,I84,0)</f>
      </c>
      <c r="AK84" s="111">
        <f>IF(AN84=12,I84,0)</f>
      </c>
      <c r="AL84" s="111">
        <f>IF(AN84=21,I84,0)</f>
      </c>
      <c r="AN84" s="111" t="n">
        <v>21</v>
      </c>
      <c r="AO84" s="111">
        <f>H84*1</f>
      </c>
      <c r="AP84" s="111">
        <f>H84*(1-1)</f>
      </c>
      <c r="AQ84" s="153" t="s">
        <v>173</v>
      </c>
      <c r="AV84" s="111">
        <f>AW84+AX84</f>
      </c>
      <c r="AW84" s="111">
        <f>G84*AO84</f>
      </c>
      <c r="AX84" s="111">
        <f>G84*AP84</f>
      </c>
      <c r="AY84" s="153" t="s">
        <v>3728</v>
      </c>
      <c r="AZ84" s="153" t="s">
        <v>3905</v>
      </c>
      <c r="BA84" s="132" t="s">
        <v>3856</v>
      </c>
      <c r="BC84" s="111">
        <f>AW84+AX84</f>
      </c>
      <c r="BD84" s="111">
        <f>H84/(100-BE84)*100</f>
      </c>
      <c r="BE84" s="111" t="n">
        <v>0</v>
      </c>
      <c r="BF84" s="111">
        <f>84</f>
      </c>
      <c r="BH84" s="111">
        <f>G84*AO84</f>
      </c>
      <c r="BI84" s="111">
        <f>G84*AP84</f>
      </c>
      <c r="BJ84" s="111">
        <f>G84*H84</f>
      </c>
      <c r="BK84" s="111"/>
      <c r="BL84" s="111" t="n">
        <v>732</v>
      </c>
      <c r="BW84" s="111" t="n">
        <v>21</v>
      </c>
      <c r="BX84" s="14" t="s">
        <v>4026</v>
      </c>
    </row>
    <row r="85">
      <c r="A85" s="9" t="s">
        <v>488</v>
      </c>
      <c r="B85" s="10" t="s">
        <v>89</v>
      </c>
      <c r="C85" s="10" t="s">
        <v>4028</v>
      </c>
      <c r="D85" s="14" t="s">
        <v>4029</v>
      </c>
      <c r="E85" s="10"/>
      <c r="F85" s="10" t="s">
        <v>2277</v>
      </c>
      <c r="G85" s="111">
        <f>'Stavební rozpočet'!G2610</f>
      </c>
      <c r="H85" s="111">
        <f>'Stavební rozpočet'!H2610</f>
      </c>
      <c r="I85" s="111">
        <f>G85*H85</f>
      </c>
      <c r="J85" s="153" t="s">
        <v>4</v>
      </c>
      <c r="K85" s="146"/>
      <c r="Z85" s="111">
        <f>IF(AQ85="5",BJ85,0)</f>
      </c>
      <c r="AB85" s="111">
        <f>IF(AQ85="1",BH85,0)</f>
      </c>
      <c r="AC85" s="111">
        <f>IF(AQ85="1",BI85,0)</f>
      </c>
      <c r="AD85" s="111">
        <f>IF(AQ85="7",BH85,0)</f>
      </c>
      <c r="AE85" s="111">
        <f>IF(AQ85="7",BI85,0)</f>
      </c>
      <c r="AF85" s="111">
        <f>IF(AQ85="2",BH85,0)</f>
      </c>
      <c r="AG85" s="111">
        <f>IF(AQ85="2",BI85,0)</f>
      </c>
      <c r="AH85" s="111">
        <f>IF(AQ85="0",BJ85,0)</f>
      </c>
      <c r="AI85" s="132" t="s">
        <v>89</v>
      </c>
      <c r="AJ85" s="111">
        <f>IF(AN85=0,I85,0)</f>
      </c>
      <c r="AK85" s="111">
        <f>IF(AN85=12,I85,0)</f>
      </c>
      <c r="AL85" s="111">
        <f>IF(AN85=21,I85,0)</f>
      </c>
      <c r="AN85" s="111" t="n">
        <v>21</v>
      </c>
      <c r="AO85" s="111">
        <f>H85*1</f>
      </c>
      <c r="AP85" s="111">
        <f>H85*(1-1)</f>
      </c>
      <c r="AQ85" s="153" t="s">
        <v>173</v>
      </c>
      <c r="AV85" s="111">
        <f>AW85+AX85</f>
      </c>
      <c r="AW85" s="111">
        <f>G85*AO85</f>
      </c>
      <c r="AX85" s="111">
        <f>G85*AP85</f>
      </c>
      <c r="AY85" s="153" t="s">
        <v>3728</v>
      </c>
      <c r="AZ85" s="153" t="s">
        <v>3905</v>
      </c>
      <c r="BA85" s="132" t="s">
        <v>3856</v>
      </c>
      <c r="BC85" s="111">
        <f>AW85+AX85</f>
      </c>
      <c r="BD85" s="111">
        <f>H85/(100-BE85)*100</f>
      </c>
      <c r="BE85" s="111" t="n">
        <v>0</v>
      </c>
      <c r="BF85" s="111">
        <f>85</f>
      </c>
      <c r="BH85" s="111">
        <f>G85*AO85</f>
      </c>
      <c r="BI85" s="111">
        <f>G85*AP85</f>
      </c>
      <c r="BJ85" s="111">
        <f>G85*H85</f>
      </c>
      <c r="BK85" s="111"/>
      <c r="BL85" s="111" t="n">
        <v>732</v>
      </c>
      <c r="BW85" s="111" t="n">
        <v>21</v>
      </c>
      <c r="BX85" s="14" t="s">
        <v>4029</v>
      </c>
    </row>
    <row r="86">
      <c r="A86" s="9" t="s">
        <v>494</v>
      </c>
      <c r="B86" s="10" t="s">
        <v>89</v>
      </c>
      <c r="C86" s="10" t="s">
        <v>4030</v>
      </c>
      <c r="D86" s="14" t="s">
        <v>4031</v>
      </c>
      <c r="E86" s="10"/>
      <c r="F86" s="10" t="s">
        <v>2277</v>
      </c>
      <c r="G86" s="111">
        <f>'Stavební rozpočet'!G2611</f>
      </c>
      <c r="H86" s="111">
        <f>'Stavební rozpočet'!H2611</f>
      </c>
      <c r="I86" s="111">
        <f>G86*H86</f>
      </c>
      <c r="J86" s="153" t="s">
        <v>4</v>
      </c>
      <c r="K86" s="146"/>
      <c r="Z86" s="111">
        <f>IF(AQ86="5",BJ86,0)</f>
      </c>
      <c r="AB86" s="111">
        <f>IF(AQ86="1",BH86,0)</f>
      </c>
      <c r="AC86" s="111">
        <f>IF(AQ86="1",BI86,0)</f>
      </c>
      <c r="AD86" s="111">
        <f>IF(AQ86="7",BH86,0)</f>
      </c>
      <c r="AE86" s="111">
        <f>IF(AQ86="7",BI86,0)</f>
      </c>
      <c r="AF86" s="111">
        <f>IF(AQ86="2",BH86,0)</f>
      </c>
      <c r="AG86" s="111">
        <f>IF(AQ86="2",BI86,0)</f>
      </c>
      <c r="AH86" s="111">
        <f>IF(AQ86="0",BJ86,0)</f>
      </c>
      <c r="AI86" s="132" t="s">
        <v>89</v>
      </c>
      <c r="AJ86" s="111">
        <f>IF(AN86=0,I86,0)</f>
      </c>
      <c r="AK86" s="111">
        <f>IF(AN86=12,I86,0)</f>
      </c>
      <c r="AL86" s="111">
        <f>IF(AN86=21,I86,0)</f>
      </c>
      <c r="AN86" s="111" t="n">
        <v>21</v>
      </c>
      <c r="AO86" s="111">
        <f>H86*1</f>
      </c>
      <c r="AP86" s="111">
        <f>H86*(1-1)</f>
      </c>
      <c r="AQ86" s="153" t="s">
        <v>173</v>
      </c>
      <c r="AV86" s="111">
        <f>AW86+AX86</f>
      </c>
      <c r="AW86" s="111">
        <f>G86*AO86</f>
      </c>
      <c r="AX86" s="111">
        <f>G86*AP86</f>
      </c>
      <c r="AY86" s="153" t="s">
        <v>3728</v>
      </c>
      <c r="AZ86" s="153" t="s">
        <v>3905</v>
      </c>
      <c r="BA86" s="132" t="s">
        <v>3856</v>
      </c>
      <c r="BC86" s="111">
        <f>AW86+AX86</f>
      </c>
      <c r="BD86" s="111">
        <f>H86/(100-BE86)*100</f>
      </c>
      <c r="BE86" s="111" t="n">
        <v>0</v>
      </c>
      <c r="BF86" s="111">
        <f>86</f>
      </c>
      <c r="BH86" s="111">
        <f>G86*AO86</f>
      </c>
      <c r="BI86" s="111">
        <f>G86*AP86</f>
      </c>
      <c r="BJ86" s="111">
        <f>G86*H86</f>
      </c>
      <c r="BK86" s="111"/>
      <c r="BL86" s="111" t="n">
        <v>732</v>
      </c>
      <c r="BW86" s="111" t="n">
        <v>21</v>
      </c>
      <c r="BX86" s="14" t="s">
        <v>4031</v>
      </c>
    </row>
    <row r="87">
      <c r="A87" s="9" t="s">
        <v>498</v>
      </c>
      <c r="B87" s="10" t="s">
        <v>89</v>
      </c>
      <c r="C87" s="10" t="s">
        <v>4032</v>
      </c>
      <c r="D87" s="14" t="s">
        <v>4033</v>
      </c>
      <c r="E87" s="10"/>
      <c r="F87" s="10" t="s">
        <v>2277</v>
      </c>
      <c r="G87" s="111">
        <f>'Stavební rozpočet'!G2612</f>
      </c>
      <c r="H87" s="111">
        <f>'Stavební rozpočet'!H2612</f>
      </c>
      <c r="I87" s="111">
        <f>G87*H87</f>
      </c>
      <c r="J87" s="153" t="s">
        <v>4</v>
      </c>
      <c r="K87" s="146"/>
      <c r="Z87" s="111">
        <f>IF(AQ87="5",BJ87,0)</f>
      </c>
      <c r="AB87" s="111">
        <f>IF(AQ87="1",BH87,0)</f>
      </c>
      <c r="AC87" s="111">
        <f>IF(AQ87="1",BI87,0)</f>
      </c>
      <c r="AD87" s="111">
        <f>IF(AQ87="7",BH87,0)</f>
      </c>
      <c r="AE87" s="111">
        <f>IF(AQ87="7",BI87,0)</f>
      </c>
      <c r="AF87" s="111">
        <f>IF(AQ87="2",BH87,0)</f>
      </c>
      <c r="AG87" s="111">
        <f>IF(AQ87="2",BI87,0)</f>
      </c>
      <c r="AH87" s="111">
        <f>IF(AQ87="0",BJ87,0)</f>
      </c>
      <c r="AI87" s="132" t="s">
        <v>89</v>
      </c>
      <c r="AJ87" s="111">
        <f>IF(AN87=0,I87,0)</f>
      </c>
      <c r="AK87" s="111">
        <f>IF(AN87=12,I87,0)</f>
      </c>
      <c r="AL87" s="111">
        <f>IF(AN87=21,I87,0)</f>
      </c>
      <c r="AN87" s="111" t="n">
        <v>21</v>
      </c>
      <c r="AO87" s="111">
        <f>H87*1</f>
      </c>
      <c r="AP87" s="111">
        <f>H87*(1-1)</f>
      </c>
      <c r="AQ87" s="153" t="s">
        <v>173</v>
      </c>
      <c r="AV87" s="111">
        <f>AW87+AX87</f>
      </c>
      <c r="AW87" s="111">
        <f>G87*AO87</f>
      </c>
      <c r="AX87" s="111">
        <f>G87*AP87</f>
      </c>
      <c r="AY87" s="153" t="s">
        <v>3728</v>
      </c>
      <c r="AZ87" s="153" t="s">
        <v>3905</v>
      </c>
      <c r="BA87" s="132" t="s">
        <v>3856</v>
      </c>
      <c r="BC87" s="111">
        <f>AW87+AX87</f>
      </c>
      <c r="BD87" s="111">
        <f>H87/(100-BE87)*100</f>
      </c>
      <c r="BE87" s="111" t="n">
        <v>0</v>
      </c>
      <c r="BF87" s="111">
        <f>87</f>
      </c>
      <c r="BH87" s="111">
        <f>G87*AO87</f>
      </c>
      <c r="BI87" s="111">
        <f>G87*AP87</f>
      </c>
      <c r="BJ87" s="111">
        <f>G87*H87</f>
      </c>
      <c r="BK87" s="111"/>
      <c r="BL87" s="111" t="n">
        <v>732</v>
      </c>
      <c r="BW87" s="111" t="n">
        <v>21</v>
      </c>
      <c r="BX87" s="14" t="s">
        <v>4033</v>
      </c>
    </row>
    <row r="88">
      <c r="A88" s="9" t="s">
        <v>504</v>
      </c>
      <c r="B88" s="10" t="s">
        <v>89</v>
      </c>
      <c r="C88" s="10" t="s">
        <v>4035</v>
      </c>
      <c r="D88" s="14" t="s">
        <v>4036</v>
      </c>
      <c r="E88" s="10"/>
      <c r="F88" s="10" t="s">
        <v>2277</v>
      </c>
      <c r="G88" s="111">
        <f>'Stavební rozpočet'!G2613</f>
      </c>
      <c r="H88" s="111">
        <f>'Stavební rozpočet'!H2613</f>
      </c>
      <c r="I88" s="111">
        <f>G88*H88</f>
      </c>
      <c r="J88" s="153" t="s">
        <v>4</v>
      </c>
      <c r="K88" s="146"/>
      <c r="Z88" s="111">
        <f>IF(AQ88="5",BJ88,0)</f>
      </c>
      <c r="AB88" s="111">
        <f>IF(AQ88="1",BH88,0)</f>
      </c>
      <c r="AC88" s="111">
        <f>IF(AQ88="1",BI88,0)</f>
      </c>
      <c r="AD88" s="111">
        <f>IF(AQ88="7",BH88,0)</f>
      </c>
      <c r="AE88" s="111">
        <f>IF(AQ88="7",BI88,0)</f>
      </c>
      <c r="AF88" s="111">
        <f>IF(AQ88="2",BH88,0)</f>
      </c>
      <c r="AG88" s="111">
        <f>IF(AQ88="2",BI88,0)</f>
      </c>
      <c r="AH88" s="111">
        <f>IF(AQ88="0",BJ88,0)</f>
      </c>
      <c r="AI88" s="132" t="s">
        <v>89</v>
      </c>
      <c r="AJ88" s="111">
        <f>IF(AN88=0,I88,0)</f>
      </c>
      <c r="AK88" s="111">
        <f>IF(AN88=12,I88,0)</f>
      </c>
      <c r="AL88" s="111">
        <f>IF(AN88=21,I88,0)</f>
      </c>
      <c r="AN88" s="111" t="n">
        <v>21</v>
      </c>
      <c r="AO88" s="111">
        <f>H88*1</f>
      </c>
      <c r="AP88" s="111">
        <f>H88*(1-1)</f>
      </c>
      <c r="AQ88" s="153" t="s">
        <v>173</v>
      </c>
      <c r="AV88" s="111">
        <f>AW88+AX88</f>
      </c>
      <c r="AW88" s="111">
        <f>G88*AO88</f>
      </c>
      <c r="AX88" s="111">
        <f>G88*AP88</f>
      </c>
      <c r="AY88" s="153" t="s">
        <v>3728</v>
      </c>
      <c r="AZ88" s="153" t="s">
        <v>3905</v>
      </c>
      <c r="BA88" s="132" t="s">
        <v>3856</v>
      </c>
      <c r="BC88" s="111">
        <f>AW88+AX88</f>
      </c>
      <c r="BD88" s="111">
        <f>H88/(100-BE88)*100</f>
      </c>
      <c r="BE88" s="111" t="n">
        <v>0</v>
      </c>
      <c r="BF88" s="111">
        <f>88</f>
      </c>
      <c r="BH88" s="111">
        <f>G88*AO88</f>
      </c>
      <c r="BI88" s="111">
        <f>G88*AP88</f>
      </c>
      <c r="BJ88" s="111">
        <f>G88*H88</f>
      </c>
      <c r="BK88" s="111"/>
      <c r="BL88" s="111" t="n">
        <v>732</v>
      </c>
      <c r="BW88" s="111" t="n">
        <v>21</v>
      </c>
      <c r="BX88" s="14" t="s">
        <v>4036</v>
      </c>
    </row>
    <row r="89" ht="24.75">
      <c r="A89" s="9" t="s">
        <v>509</v>
      </c>
      <c r="B89" s="10" t="s">
        <v>89</v>
      </c>
      <c r="C89" s="10" t="s">
        <v>4038</v>
      </c>
      <c r="D89" s="14" t="s">
        <v>4039</v>
      </c>
      <c r="E89" s="10"/>
      <c r="F89" s="10" t="s">
        <v>2277</v>
      </c>
      <c r="G89" s="111">
        <f>'Stavební rozpočet'!G2614</f>
      </c>
      <c r="H89" s="111">
        <f>'Stavební rozpočet'!H2614</f>
      </c>
      <c r="I89" s="111">
        <f>G89*H89</f>
      </c>
      <c r="J89" s="153" t="s">
        <v>4</v>
      </c>
      <c r="K89" s="146"/>
      <c r="Z89" s="111">
        <f>IF(AQ89="5",BJ89,0)</f>
      </c>
      <c r="AB89" s="111">
        <f>IF(AQ89="1",BH89,0)</f>
      </c>
      <c r="AC89" s="111">
        <f>IF(AQ89="1",BI89,0)</f>
      </c>
      <c r="AD89" s="111">
        <f>IF(AQ89="7",BH89,0)</f>
      </c>
      <c r="AE89" s="111">
        <f>IF(AQ89="7",BI89,0)</f>
      </c>
      <c r="AF89" s="111">
        <f>IF(AQ89="2",BH89,0)</f>
      </c>
      <c r="AG89" s="111">
        <f>IF(AQ89="2",BI89,0)</f>
      </c>
      <c r="AH89" s="111">
        <f>IF(AQ89="0",BJ89,0)</f>
      </c>
      <c r="AI89" s="132" t="s">
        <v>89</v>
      </c>
      <c r="AJ89" s="111">
        <f>IF(AN89=0,I89,0)</f>
      </c>
      <c r="AK89" s="111">
        <f>IF(AN89=12,I89,0)</f>
      </c>
      <c r="AL89" s="111">
        <f>IF(AN89=21,I89,0)</f>
      </c>
      <c r="AN89" s="111" t="n">
        <v>21</v>
      </c>
      <c r="AO89" s="111">
        <f>H89*1</f>
      </c>
      <c r="AP89" s="111">
        <f>H89*(1-1)</f>
      </c>
      <c r="AQ89" s="153" t="s">
        <v>173</v>
      </c>
      <c r="AV89" s="111">
        <f>AW89+AX89</f>
      </c>
      <c r="AW89" s="111">
        <f>G89*AO89</f>
      </c>
      <c r="AX89" s="111">
        <f>G89*AP89</f>
      </c>
      <c r="AY89" s="153" t="s">
        <v>3728</v>
      </c>
      <c r="AZ89" s="153" t="s">
        <v>3905</v>
      </c>
      <c r="BA89" s="132" t="s">
        <v>3856</v>
      </c>
      <c r="BC89" s="111">
        <f>AW89+AX89</f>
      </c>
      <c r="BD89" s="111">
        <f>H89/(100-BE89)*100</f>
      </c>
      <c r="BE89" s="111" t="n">
        <v>0</v>
      </c>
      <c r="BF89" s="111">
        <f>89</f>
      </c>
      <c r="BH89" s="111">
        <f>G89*AO89</f>
      </c>
      <c r="BI89" s="111">
        <f>G89*AP89</f>
      </c>
      <c r="BJ89" s="111">
        <f>G89*H89</f>
      </c>
      <c r="BK89" s="111"/>
      <c r="BL89" s="111" t="n">
        <v>732</v>
      </c>
      <c r="BW89" s="111" t="n">
        <v>21</v>
      </c>
      <c r="BX89" s="14" t="s">
        <v>4039</v>
      </c>
    </row>
    <row r="90" ht="24.75">
      <c r="A90" s="9" t="s">
        <v>515</v>
      </c>
      <c r="B90" s="10" t="s">
        <v>89</v>
      </c>
      <c r="C90" s="10" t="s">
        <v>4041</v>
      </c>
      <c r="D90" s="14" t="s">
        <v>4042</v>
      </c>
      <c r="E90" s="10"/>
      <c r="F90" s="10" t="s">
        <v>2277</v>
      </c>
      <c r="G90" s="111">
        <f>'Stavební rozpočet'!G2615</f>
      </c>
      <c r="H90" s="111">
        <f>'Stavební rozpočet'!H2615</f>
      </c>
      <c r="I90" s="111">
        <f>G90*H90</f>
      </c>
      <c r="J90" s="153" t="s">
        <v>4</v>
      </c>
      <c r="K90" s="146"/>
      <c r="Z90" s="111">
        <f>IF(AQ90="5",BJ90,0)</f>
      </c>
      <c r="AB90" s="111">
        <f>IF(AQ90="1",BH90,0)</f>
      </c>
      <c r="AC90" s="111">
        <f>IF(AQ90="1",BI90,0)</f>
      </c>
      <c r="AD90" s="111">
        <f>IF(AQ90="7",BH90,0)</f>
      </c>
      <c r="AE90" s="111">
        <f>IF(AQ90="7",BI90,0)</f>
      </c>
      <c r="AF90" s="111">
        <f>IF(AQ90="2",BH90,0)</f>
      </c>
      <c r="AG90" s="111">
        <f>IF(AQ90="2",BI90,0)</f>
      </c>
      <c r="AH90" s="111">
        <f>IF(AQ90="0",BJ90,0)</f>
      </c>
      <c r="AI90" s="132" t="s">
        <v>89</v>
      </c>
      <c r="AJ90" s="111">
        <f>IF(AN90=0,I90,0)</f>
      </c>
      <c r="AK90" s="111">
        <f>IF(AN90=12,I90,0)</f>
      </c>
      <c r="AL90" s="111">
        <f>IF(AN90=21,I90,0)</f>
      </c>
      <c r="AN90" s="111" t="n">
        <v>21</v>
      </c>
      <c r="AO90" s="111">
        <f>H90*1</f>
      </c>
      <c r="AP90" s="111">
        <f>H90*(1-1)</f>
      </c>
      <c r="AQ90" s="153" t="s">
        <v>173</v>
      </c>
      <c r="AV90" s="111">
        <f>AW90+AX90</f>
      </c>
      <c r="AW90" s="111">
        <f>G90*AO90</f>
      </c>
      <c r="AX90" s="111">
        <f>G90*AP90</f>
      </c>
      <c r="AY90" s="153" t="s">
        <v>3728</v>
      </c>
      <c r="AZ90" s="153" t="s">
        <v>3905</v>
      </c>
      <c r="BA90" s="132" t="s">
        <v>3856</v>
      </c>
      <c r="BC90" s="111">
        <f>AW90+AX90</f>
      </c>
      <c r="BD90" s="111">
        <f>H90/(100-BE90)*100</f>
      </c>
      <c r="BE90" s="111" t="n">
        <v>0</v>
      </c>
      <c r="BF90" s="111">
        <f>90</f>
      </c>
      <c r="BH90" s="111">
        <f>G90*AO90</f>
      </c>
      <c r="BI90" s="111">
        <f>G90*AP90</f>
      </c>
      <c r="BJ90" s="111">
        <f>G90*H90</f>
      </c>
      <c r="BK90" s="111"/>
      <c r="BL90" s="111" t="n">
        <v>732</v>
      </c>
      <c r="BW90" s="111" t="n">
        <v>21</v>
      </c>
      <c r="BX90" s="14" t="s">
        <v>4042</v>
      </c>
    </row>
    <row r="91" ht="24.75">
      <c r="A91" s="9" t="s">
        <v>525</v>
      </c>
      <c r="B91" s="10" t="s">
        <v>89</v>
      </c>
      <c r="C91" s="10" t="s">
        <v>4044</v>
      </c>
      <c r="D91" s="14" t="s">
        <v>4045</v>
      </c>
      <c r="E91" s="10"/>
      <c r="F91" s="10" t="s">
        <v>2277</v>
      </c>
      <c r="G91" s="111">
        <f>'Stavební rozpočet'!G2616</f>
      </c>
      <c r="H91" s="111">
        <f>'Stavební rozpočet'!H2616</f>
      </c>
      <c r="I91" s="111">
        <f>G91*H91</f>
      </c>
      <c r="J91" s="153" t="s">
        <v>4</v>
      </c>
      <c r="K91" s="146"/>
      <c r="Z91" s="111">
        <f>IF(AQ91="5",BJ91,0)</f>
      </c>
      <c r="AB91" s="111">
        <f>IF(AQ91="1",BH91,0)</f>
      </c>
      <c r="AC91" s="111">
        <f>IF(AQ91="1",BI91,0)</f>
      </c>
      <c r="AD91" s="111">
        <f>IF(AQ91="7",BH91,0)</f>
      </c>
      <c r="AE91" s="111">
        <f>IF(AQ91="7",BI91,0)</f>
      </c>
      <c r="AF91" s="111">
        <f>IF(AQ91="2",BH91,0)</f>
      </c>
      <c r="AG91" s="111">
        <f>IF(AQ91="2",BI91,0)</f>
      </c>
      <c r="AH91" s="111">
        <f>IF(AQ91="0",BJ91,0)</f>
      </c>
      <c r="AI91" s="132" t="s">
        <v>89</v>
      </c>
      <c r="AJ91" s="111">
        <f>IF(AN91=0,I91,0)</f>
      </c>
      <c r="AK91" s="111">
        <f>IF(AN91=12,I91,0)</f>
      </c>
      <c r="AL91" s="111">
        <f>IF(AN91=21,I91,0)</f>
      </c>
      <c r="AN91" s="111" t="n">
        <v>21</v>
      </c>
      <c r="AO91" s="111">
        <f>H91*1</f>
      </c>
      <c r="AP91" s="111">
        <f>H91*(1-1)</f>
      </c>
      <c r="AQ91" s="153" t="s">
        <v>173</v>
      </c>
      <c r="AV91" s="111">
        <f>AW91+AX91</f>
      </c>
      <c r="AW91" s="111">
        <f>G91*AO91</f>
      </c>
      <c r="AX91" s="111">
        <f>G91*AP91</f>
      </c>
      <c r="AY91" s="153" t="s">
        <v>3728</v>
      </c>
      <c r="AZ91" s="153" t="s">
        <v>3905</v>
      </c>
      <c r="BA91" s="132" t="s">
        <v>3856</v>
      </c>
      <c r="BC91" s="111">
        <f>AW91+AX91</f>
      </c>
      <c r="BD91" s="111">
        <f>H91/(100-BE91)*100</f>
      </c>
      <c r="BE91" s="111" t="n">
        <v>0</v>
      </c>
      <c r="BF91" s="111">
        <f>91</f>
      </c>
      <c r="BH91" s="111">
        <f>G91*AO91</f>
      </c>
      <c r="BI91" s="111">
        <f>G91*AP91</f>
      </c>
      <c r="BJ91" s="111">
        <f>G91*H91</f>
      </c>
      <c r="BK91" s="111"/>
      <c r="BL91" s="111" t="n">
        <v>732</v>
      </c>
      <c r="BW91" s="111" t="n">
        <v>21</v>
      </c>
      <c r="BX91" s="14" t="s">
        <v>4045</v>
      </c>
    </row>
    <row r="92">
      <c r="A92" s="9" t="s">
        <v>531</v>
      </c>
      <c r="B92" s="10" t="s">
        <v>89</v>
      </c>
      <c r="C92" s="10" t="s">
        <v>4046</v>
      </c>
      <c r="D92" s="14" t="s">
        <v>4047</v>
      </c>
      <c r="E92" s="10"/>
      <c r="F92" s="10" t="s">
        <v>3860</v>
      </c>
      <c r="G92" s="111">
        <f>'Stavební rozpočet'!G2617</f>
      </c>
      <c r="H92" s="111">
        <f>'Stavební rozpočet'!H2617</f>
      </c>
      <c r="I92" s="111">
        <f>G92*H92</f>
      </c>
      <c r="J92" s="153" t="s">
        <v>4</v>
      </c>
      <c r="K92" s="146"/>
      <c r="Z92" s="111">
        <f>IF(AQ92="5",BJ92,0)</f>
      </c>
      <c r="AB92" s="111">
        <f>IF(AQ92="1",BH92,0)</f>
      </c>
      <c r="AC92" s="111">
        <f>IF(AQ92="1",BI92,0)</f>
      </c>
      <c r="AD92" s="111">
        <f>IF(AQ92="7",BH92,0)</f>
      </c>
      <c r="AE92" s="111">
        <f>IF(AQ92="7",BI92,0)</f>
      </c>
      <c r="AF92" s="111">
        <f>IF(AQ92="2",BH92,0)</f>
      </c>
      <c r="AG92" s="111">
        <f>IF(AQ92="2",BI92,0)</f>
      </c>
      <c r="AH92" s="111">
        <f>IF(AQ92="0",BJ92,0)</f>
      </c>
      <c r="AI92" s="132" t="s">
        <v>89</v>
      </c>
      <c r="AJ92" s="111">
        <f>IF(AN92=0,I92,0)</f>
      </c>
      <c r="AK92" s="111">
        <f>IF(AN92=12,I92,0)</f>
      </c>
      <c r="AL92" s="111">
        <f>IF(AN92=21,I92,0)</f>
      </c>
      <c r="AN92" s="111" t="n">
        <v>21</v>
      </c>
      <c r="AO92" s="111">
        <f>H92*1</f>
      </c>
      <c r="AP92" s="111">
        <f>H92*(1-1)</f>
      </c>
      <c r="AQ92" s="153" t="s">
        <v>173</v>
      </c>
      <c r="AV92" s="111">
        <f>AW92+AX92</f>
      </c>
      <c r="AW92" s="111">
        <f>G92*AO92</f>
      </c>
      <c r="AX92" s="111">
        <f>G92*AP92</f>
      </c>
      <c r="AY92" s="153" t="s">
        <v>3728</v>
      </c>
      <c r="AZ92" s="153" t="s">
        <v>3905</v>
      </c>
      <c r="BA92" s="132" t="s">
        <v>3856</v>
      </c>
      <c r="BC92" s="111">
        <f>AW92+AX92</f>
      </c>
      <c r="BD92" s="111">
        <f>H92/(100-BE92)*100</f>
      </c>
      <c r="BE92" s="111" t="n">
        <v>0</v>
      </c>
      <c r="BF92" s="111">
        <f>92</f>
      </c>
      <c r="BH92" s="111">
        <f>G92*AO92</f>
      </c>
      <c r="BI92" s="111">
        <f>G92*AP92</f>
      </c>
      <c r="BJ92" s="111">
        <f>G92*H92</f>
      </c>
      <c r="BK92" s="111"/>
      <c r="BL92" s="111" t="n">
        <v>732</v>
      </c>
      <c r="BW92" s="111" t="n">
        <v>21</v>
      </c>
      <c r="BX92" s="14" t="s">
        <v>4047</v>
      </c>
    </row>
    <row r="93">
      <c r="A93" s="9" t="s">
        <v>534</v>
      </c>
      <c r="B93" s="10" t="s">
        <v>89</v>
      </c>
      <c r="C93" s="10" t="s">
        <v>4049</v>
      </c>
      <c r="D93" s="14" t="s">
        <v>4050</v>
      </c>
      <c r="E93" s="10"/>
      <c r="F93" s="10" t="s">
        <v>2277</v>
      </c>
      <c r="G93" s="111">
        <f>'Stavební rozpočet'!G2618</f>
      </c>
      <c r="H93" s="111">
        <f>'Stavební rozpočet'!H2618</f>
      </c>
      <c r="I93" s="111">
        <f>G93*H93</f>
      </c>
      <c r="J93" s="153" t="s">
        <v>4</v>
      </c>
      <c r="K93" s="146"/>
      <c r="Z93" s="111">
        <f>IF(AQ93="5",BJ93,0)</f>
      </c>
      <c r="AB93" s="111">
        <f>IF(AQ93="1",BH93,0)</f>
      </c>
      <c r="AC93" s="111">
        <f>IF(AQ93="1",BI93,0)</f>
      </c>
      <c r="AD93" s="111">
        <f>IF(AQ93="7",BH93,0)</f>
      </c>
      <c r="AE93" s="111">
        <f>IF(AQ93="7",BI93,0)</f>
      </c>
      <c r="AF93" s="111">
        <f>IF(AQ93="2",BH93,0)</f>
      </c>
      <c r="AG93" s="111">
        <f>IF(AQ93="2",BI93,0)</f>
      </c>
      <c r="AH93" s="111">
        <f>IF(AQ93="0",BJ93,0)</f>
      </c>
      <c r="AI93" s="132" t="s">
        <v>89</v>
      </c>
      <c r="AJ93" s="111">
        <f>IF(AN93=0,I93,0)</f>
      </c>
      <c r="AK93" s="111">
        <f>IF(AN93=12,I93,0)</f>
      </c>
      <c r="AL93" s="111">
        <f>IF(AN93=21,I93,0)</f>
      </c>
      <c r="AN93" s="111" t="n">
        <v>21</v>
      </c>
      <c r="AO93" s="111">
        <f>H93*1</f>
      </c>
      <c r="AP93" s="111">
        <f>H93*(1-1)</f>
      </c>
      <c r="AQ93" s="153" t="s">
        <v>173</v>
      </c>
      <c r="AV93" s="111">
        <f>AW93+AX93</f>
      </c>
      <c r="AW93" s="111">
        <f>G93*AO93</f>
      </c>
      <c r="AX93" s="111">
        <f>G93*AP93</f>
      </c>
      <c r="AY93" s="153" t="s">
        <v>3728</v>
      </c>
      <c r="AZ93" s="153" t="s">
        <v>3905</v>
      </c>
      <c r="BA93" s="132" t="s">
        <v>3856</v>
      </c>
      <c r="BC93" s="111">
        <f>AW93+AX93</f>
      </c>
      <c r="BD93" s="111">
        <f>H93/(100-BE93)*100</f>
      </c>
      <c r="BE93" s="111" t="n">
        <v>0</v>
      </c>
      <c r="BF93" s="111">
        <f>93</f>
      </c>
      <c r="BH93" s="111">
        <f>G93*AO93</f>
      </c>
      <c r="BI93" s="111">
        <f>G93*AP93</f>
      </c>
      <c r="BJ93" s="111">
        <f>G93*H93</f>
      </c>
      <c r="BK93" s="111"/>
      <c r="BL93" s="111" t="n">
        <v>732</v>
      </c>
      <c r="BW93" s="111" t="n">
        <v>21</v>
      </c>
      <c r="BX93" s="14" t="s">
        <v>4050</v>
      </c>
    </row>
    <row r="94">
      <c r="A94" s="9" t="s">
        <v>539</v>
      </c>
      <c r="B94" s="10" t="s">
        <v>89</v>
      </c>
      <c r="C94" s="10" t="s">
        <v>4051</v>
      </c>
      <c r="D94" s="14" t="s">
        <v>4052</v>
      </c>
      <c r="E94" s="10"/>
      <c r="F94" s="10" t="s">
        <v>2277</v>
      </c>
      <c r="G94" s="111">
        <f>'Stavební rozpočet'!G2619</f>
      </c>
      <c r="H94" s="111">
        <f>'Stavební rozpočet'!H2619</f>
      </c>
      <c r="I94" s="111">
        <f>G94*H94</f>
      </c>
      <c r="J94" s="153" t="s">
        <v>4</v>
      </c>
      <c r="K94" s="146"/>
      <c r="Z94" s="111">
        <f>IF(AQ94="5",BJ94,0)</f>
      </c>
      <c r="AB94" s="111">
        <f>IF(AQ94="1",BH94,0)</f>
      </c>
      <c r="AC94" s="111">
        <f>IF(AQ94="1",BI94,0)</f>
      </c>
      <c r="AD94" s="111">
        <f>IF(AQ94="7",BH94,0)</f>
      </c>
      <c r="AE94" s="111">
        <f>IF(AQ94="7",BI94,0)</f>
      </c>
      <c r="AF94" s="111">
        <f>IF(AQ94="2",BH94,0)</f>
      </c>
      <c r="AG94" s="111">
        <f>IF(AQ94="2",BI94,0)</f>
      </c>
      <c r="AH94" s="111">
        <f>IF(AQ94="0",BJ94,0)</f>
      </c>
      <c r="AI94" s="132" t="s">
        <v>89</v>
      </c>
      <c r="AJ94" s="111">
        <f>IF(AN94=0,I94,0)</f>
      </c>
      <c r="AK94" s="111">
        <f>IF(AN94=12,I94,0)</f>
      </c>
      <c r="AL94" s="111">
        <f>IF(AN94=21,I94,0)</f>
      </c>
      <c r="AN94" s="111" t="n">
        <v>21</v>
      </c>
      <c r="AO94" s="111">
        <f>H94*1</f>
      </c>
      <c r="AP94" s="111">
        <f>H94*(1-1)</f>
      </c>
      <c r="AQ94" s="153" t="s">
        <v>173</v>
      </c>
      <c r="AV94" s="111">
        <f>AW94+AX94</f>
      </c>
      <c r="AW94" s="111">
        <f>G94*AO94</f>
      </c>
      <c r="AX94" s="111">
        <f>G94*AP94</f>
      </c>
      <c r="AY94" s="153" t="s">
        <v>3728</v>
      </c>
      <c r="AZ94" s="153" t="s">
        <v>3905</v>
      </c>
      <c r="BA94" s="132" t="s">
        <v>3856</v>
      </c>
      <c r="BC94" s="111">
        <f>AW94+AX94</f>
      </c>
      <c r="BD94" s="111">
        <f>H94/(100-BE94)*100</f>
      </c>
      <c r="BE94" s="111" t="n">
        <v>0</v>
      </c>
      <c r="BF94" s="111">
        <f>94</f>
      </c>
      <c r="BH94" s="111">
        <f>G94*AO94</f>
      </c>
      <c r="BI94" s="111">
        <f>G94*AP94</f>
      </c>
      <c r="BJ94" s="111">
        <f>G94*H94</f>
      </c>
      <c r="BK94" s="111"/>
      <c r="BL94" s="111" t="n">
        <v>732</v>
      </c>
      <c r="BW94" s="111" t="n">
        <v>21</v>
      </c>
      <c r="BX94" s="14" t="s">
        <v>4052</v>
      </c>
    </row>
    <row r="95">
      <c r="A95" s="9" t="s">
        <v>543</v>
      </c>
      <c r="B95" s="10" t="s">
        <v>89</v>
      </c>
      <c r="C95" s="10" t="s">
        <v>4053</v>
      </c>
      <c r="D95" s="14" t="s">
        <v>4054</v>
      </c>
      <c r="E95" s="10"/>
      <c r="F95" s="10" t="s">
        <v>2277</v>
      </c>
      <c r="G95" s="111">
        <f>'Stavební rozpočet'!G2620</f>
      </c>
      <c r="H95" s="111">
        <f>'Stavební rozpočet'!H2620</f>
      </c>
      <c r="I95" s="111">
        <f>G95*H95</f>
      </c>
      <c r="J95" s="153" t="s">
        <v>4</v>
      </c>
      <c r="K95" s="146"/>
      <c r="Z95" s="111">
        <f>IF(AQ95="5",BJ95,0)</f>
      </c>
      <c r="AB95" s="111">
        <f>IF(AQ95="1",BH95,0)</f>
      </c>
      <c r="AC95" s="111">
        <f>IF(AQ95="1",BI95,0)</f>
      </c>
      <c r="AD95" s="111">
        <f>IF(AQ95="7",BH95,0)</f>
      </c>
      <c r="AE95" s="111">
        <f>IF(AQ95="7",BI95,0)</f>
      </c>
      <c r="AF95" s="111">
        <f>IF(AQ95="2",BH95,0)</f>
      </c>
      <c r="AG95" s="111">
        <f>IF(AQ95="2",BI95,0)</f>
      </c>
      <c r="AH95" s="111">
        <f>IF(AQ95="0",BJ95,0)</f>
      </c>
      <c r="AI95" s="132" t="s">
        <v>89</v>
      </c>
      <c r="AJ95" s="111">
        <f>IF(AN95=0,I95,0)</f>
      </c>
      <c r="AK95" s="111">
        <f>IF(AN95=12,I95,0)</f>
      </c>
      <c r="AL95" s="111">
        <f>IF(AN95=21,I95,0)</f>
      </c>
      <c r="AN95" s="111" t="n">
        <v>21</v>
      </c>
      <c r="AO95" s="111">
        <f>H95*1</f>
      </c>
      <c r="AP95" s="111">
        <f>H95*(1-1)</f>
      </c>
      <c r="AQ95" s="153" t="s">
        <v>173</v>
      </c>
      <c r="AV95" s="111">
        <f>AW95+AX95</f>
      </c>
      <c r="AW95" s="111">
        <f>G95*AO95</f>
      </c>
      <c r="AX95" s="111">
        <f>G95*AP95</f>
      </c>
      <c r="AY95" s="153" t="s">
        <v>3728</v>
      </c>
      <c r="AZ95" s="153" t="s">
        <v>3905</v>
      </c>
      <c r="BA95" s="132" t="s">
        <v>3856</v>
      </c>
      <c r="BC95" s="111">
        <f>AW95+AX95</f>
      </c>
      <c r="BD95" s="111">
        <f>H95/(100-BE95)*100</f>
      </c>
      <c r="BE95" s="111" t="n">
        <v>0</v>
      </c>
      <c r="BF95" s="111">
        <f>95</f>
      </c>
      <c r="BH95" s="111">
        <f>G95*AO95</f>
      </c>
      <c r="BI95" s="111">
        <f>G95*AP95</f>
      </c>
      <c r="BJ95" s="111">
        <f>G95*H95</f>
      </c>
      <c r="BK95" s="111"/>
      <c r="BL95" s="111" t="n">
        <v>732</v>
      </c>
      <c r="BW95" s="111" t="n">
        <v>21</v>
      </c>
      <c r="BX95" s="14" t="s">
        <v>4054</v>
      </c>
    </row>
    <row r="96" ht="24.75">
      <c r="A96" s="9" t="s">
        <v>546</v>
      </c>
      <c r="B96" s="10" t="s">
        <v>89</v>
      </c>
      <c r="C96" s="10" t="s">
        <v>4056</v>
      </c>
      <c r="D96" s="14" t="s">
        <v>4057</v>
      </c>
      <c r="E96" s="10"/>
      <c r="F96" s="10" t="s">
        <v>2277</v>
      </c>
      <c r="G96" s="111">
        <f>'Stavební rozpočet'!G2621</f>
      </c>
      <c r="H96" s="111">
        <f>'Stavební rozpočet'!H2621</f>
      </c>
      <c r="I96" s="111">
        <f>G96*H96</f>
      </c>
      <c r="J96" s="153" t="s">
        <v>4</v>
      </c>
      <c r="K96" s="146"/>
      <c r="Z96" s="111">
        <f>IF(AQ96="5",BJ96,0)</f>
      </c>
      <c r="AB96" s="111">
        <f>IF(AQ96="1",BH96,0)</f>
      </c>
      <c r="AC96" s="111">
        <f>IF(AQ96="1",BI96,0)</f>
      </c>
      <c r="AD96" s="111">
        <f>IF(AQ96="7",BH96,0)</f>
      </c>
      <c r="AE96" s="111">
        <f>IF(AQ96="7",BI96,0)</f>
      </c>
      <c r="AF96" s="111">
        <f>IF(AQ96="2",BH96,0)</f>
      </c>
      <c r="AG96" s="111">
        <f>IF(AQ96="2",BI96,0)</f>
      </c>
      <c r="AH96" s="111">
        <f>IF(AQ96="0",BJ96,0)</f>
      </c>
      <c r="AI96" s="132" t="s">
        <v>89</v>
      </c>
      <c r="AJ96" s="111">
        <f>IF(AN96=0,I96,0)</f>
      </c>
      <c r="AK96" s="111">
        <f>IF(AN96=12,I96,0)</f>
      </c>
      <c r="AL96" s="111">
        <f>IF(AN96=21,I96,0)</f>
      </c>
      <c r="AN96" s="111" t="n">
        <v>21</v>
      </c>
      <c r="AO96" s="111">
        <f>H96*1</f>
      </c>
      <c r="AP96" s="111">
        <f>H96*(1-1)</f>
      </c>
      <c r="AQ96" s="153" t="s">
        <v>173</v>
      </c>
      <c r="AV96" s="111">
        <f>AW96+AX96</f>
      </c>
      <c r="AW96" s="111">
        <f>G96*AO96</f>
      </c>
      <c r="AX96" s="111">
        <f>G96*AP96</f>
      </c>
      <c r="AY96" s="153" t="s">
        <v>3728</v>
      </c>
      <c r="AZ96" s="153" t="s">
        <v>3905</v>
      </c>
      <c r="BA96" s="132" t="s">
        <v>3856</v>
      </c>
      <c r="BC96" s="111">
        <f>AW96+AX96</f>
      </c>
      <c r="BD96" s="111">
        <f>H96/(100-BE96)*100</f>
      </c>
      <c r="BE96" s="111" t="n">
        <v>0</v>
      </c>
      <c r="BF96" s="111">
        <f>96</f>
      </c>
      <c r="BH96" s="111">
        <f>G96*AO96</f>
      </c>
      <c r="BI96" s="111">
        <f>G96*AP96</f>
      </c>
      <c r="BJ96" s="111">
        <f>G96*H96</f>
      </c>
      <c r="BK96" s="111"/>
      <c r="BL96" s="111" t="n">
        <v>732</v>
      </c>
      <c r="BW96" s="111" t="n">
        <v>21</v>
      </c>
      <c r="BX96" s="14" t="s">
        <v>4057</v>
      </c>
    </row>
    <row r="97">
      <c r="A97" s="9" t="s">
        <v>549</v>
      </c>
      <c r="B97" s="10" t="s">
        <v>89</v>
      </c>
      <c r="C97" s="10" t="s">
        <v>4059</v>
      </c>
      <c r="D97" s="14" t="s">
        <v>4060</v>
      </c>
      <c r="E97" s="10"/>
      <c r="F97" s="10" t="s">
        <v>2277</v>
      </c>
      <c r="G97" s="111">
        <f>'Stavební rozpočet'!G2622</f>
      </c>
      <c r="H97" s="111">
        <f>'Stavební rozpočet'!H2622</f>
      </c>
      <c r="I97" s="111">
        <f>G97*H97</f>
      </c>
      <c r="J97" s="153" t="s">
        <v>4</v>
      </c>
      <c r="K97" s="146"/>
      <c r="Z97" s="111">
        <f>IF(AQ97="5",BJ97,0)</f>
      </c>
      <c r="AB97" s="111">
        <f>IF(AQ97="1",BH97,0)</f>
      </c>
      <c r="AC97" s="111">
        <f>IF(AQ97="1",BI97,0)</f>
      </c>
      <c r="AD97" s="111">
        <f>IF(AQ97="7",BH97,0)</f>
      </c>
      <c r="AE97" s="111">
        <f>IF(AQ97="7",BI97,0)</f>
      </c>
      <c r="AF97" s="111">
        <f>IF(AQ97="2",BH97,0)</f>
      </c>
      <c r="AG97" s="111">
        <f>IF(AQ97="2",BI97,0)</f>
      </c>
      <c r="AH97" s="111">
        <f>IF(AQ97="0",BJ97,0)</f>
      </c>
      <c r="AI97" s="132" t="s">
        <v>89</v>
      </c>
      <c r="AJ97" s="111">
        <f>IF(AN97=0,I97,0)</f>
      </c>
      <c r="AK97" s="111">
        <f>IF(AN97=12,I97,0)</f>
      </c>
      <c r="AL97" s="111">
        <f>IF(AN97=21,I97,0)</f>
      </c>
      <c r="AN97" s="111" t="n">
        <v>21</v>
      </c>
      <c r="AO97" s="111">
        <f>H97*1</f>
      </c>
      <c r="AP97" s="111">
        <f>H97*(1-1)</f>
      </c>
      <c r="AQ97" s="153" t="s">
        <v>173</v>
      </c>
      <c r="AV97" s="111">
        <f>AW97+AX97</f>
      </c>
      <c r="AW97" s="111">
        <f>G97*AO97</f>
      </c>
      <c r="AX97" s="111">
        <f>G97*AP97</f>
      </c>
      <c r="AY97" s="153" t="s">
        <v>3728</v>
      </c>
      <c r="AZ97" s="153" t="s">
        <v>3905</v>
      </c>
      <c r="BA97" s="132" t="s">
        <v>3856</v>
      </c>
      <c r="BC97" s="111">
        <f>AW97+AX97</f>
      </c>
      <c r="BD97" s="111">
        <f>H97/(100-BE97)*100</f>
      </c>
      <c r="BE97" s="111" t="n">
        <v>0</v>
      </c>
      <c r="BF97" s="111">
        <f>97</f>
      </c>
      <c r="BH97" s="111">
        <f>G97*AO97</f>
      </c>
      <c r="BI97" s="111">
        <f>G97*AP97</f>
      </c>
      <c r="BJ97" s="111">
        <f>G97*H97</f>
      </c>
      <c r="BK97" s="111"/>
      <c r="BL97" s="111" t="n">
        <v>732</v>
      </c>
      <c r="BW97" s="111" t="n">
        <v>21</v>
      </c>
      <c r="BX97" s="14" t="s">
        <v>4060</v>
      </c>
    </row>
    <row r="98">
      <c r="A98" s="9" t="s">
        <v>556</v>
      </c>
      <c r="B98" s="10" t="s">
        <v>89</v>
      </c>
      <c r="C98" s="10" t="s">
        <v>4062</v>
      </c>
      <c r="D98" s="14" t="s">
        <v>4003</v>
      </c>
      <c r="E98" s="10"/>
      <c r="F98" s="10" t="s">
        <v>282</v>
      </c>
      <c r="G98" s="111">
        <f>'Stavební rozpočet'!G2623</f>
      </c>
      <c r="H98" s="111">
        <f>'Stavební rozpočet'!H2623</f>
      </c>
      <c r="I98" s="111">
        <f>G98*H98</f>
      </c>
      <c r="J98" s="153" t="s">
        <v>4</v>
      </c>
      <c r="K98" s="146"/>
      <c r="Z98" s="111">
        <f>IF(AQ98="5",BJ98,0)</f>
      </c>
      <c r="AB98" s="111">
        <f>IF(AQ98="1",BH98,0)</f>
      </c>
      <c r="AC98" s="111">
        <f>IF(AQ98="1",BI98,0)</f>
      </c>
      <c r="AD98" s="111">
        <f>IF(AQ98="7",BH98,0)</f>
      </c>
      <c r="AE98" s="111">
        <f>IF(AQ98="7",BI98,0)</f>
      </c>
      <c r="AF98" s="111">
        <f>IF(AQ98="2",BH98,0)</f>
      </c>
      <c r="AG98" s="111">
        <f>IF(AQ98="2",BI98,0)</f>
      </c>
      <c r="AH98" s="111">
        <f>IF(AQ98="0",BJ98,0)</f>
      </c>
      <c r="AI98" s="132" t="s">
        <v>89</v>
      </c>
      <c r="AJ98" s="111">
        <f>IF(AN98=0,I98,0)</f>
      </c>
      <c r="AK98" s="111">
        <f>IF(AN98=12,I98,0)</f>
      </c>
      <c r="AL98" s="111">
        <f>IF(AN98=21,I98,0)</f>
      </c>
      <c r="AN98" s="111" t="n">
        <v>21</v>
      </c>
      <c r="AO98" s="111">
        <f>H98*1</f>
      </c>
      <c r="AP98" s="111">
        <f>H98*(1-1)</f>
      </c>
      <c r="AQ98" s="153" t="s">
        <v>173</v>
      </c>
      <c r="AV98" s="111">
        <f>AW98+AX98</f>
      </c>
      <c r="AW98" s="111">
        <f>G98*AO98</f>
      </c>
      <c r="AX98" s="111">
        <f>G98*AP98</f>
      </c>
      <c r="AY98" s="153" t="s">
        <v>3728</v>
      </c>
      <c r="AZ98" s="153" t="s">
        <v>3905</v>
      </c>
      <c r="BA98" s="132" t="s">
        <v>3856</v>
      </c>
      <c r="BC98" s="111">
        <f>AW98+AX98</f>
      </c>
      <c r="BD98" s="111">
        <f>H98/(100-BE98)*100</f>
      </c>
      <c r="BE98" s="111" t="n">
        <v>0</v>
      </c>
      <c r="BF98" s="111">
        <f>98</f>
      </c>
      <c r="BH98" s="111">
        <f>G98*AO98</f>
      </c>
      <c r="BI98" s="111">
        <f>G98*AP98</f>
      </c>
      <c r="BJ98" s="111">
        <f>G98*H98</f>
      </c>
      <c r="BK98" s="111"/>
      <c r="BL98" s="111" t="n">
        <v>732</v>
      </c>
      <c r="BW98" s="111" t="n">
        <v>21</v>
      </c>
      <c r="BX98" s="14" t="s">
        <v>4003</v>
      </c>
    </row>
    <row r="99">
      <c r="A99" s="154"/>
      <c r="B99" s="155"/>
      <c r="C99" s="155"/>
      <c r="D99" s="156" t="s">
        <v>4063</v>
      </c>
      <c r="E99" s="156" t="s">
        <v>4</v>
      </c>
      <c r="F99" s="155"/>
      <c r="G99" s="157" t="n">
        <v>21</v>
      </c>
      <c r="H99" s="155"/>
      <c r="I99" s="155"/>
      <c r="J99" s="155"/>
      <c r="K99" s="146"/>
    </row>
    <row r="100">
      <c r="A100" s="154"/>
      <c r="B100" s="155"/>
      <c r="C100" s="155"/>
      <c r="D100" s="156" t="s">
        <v>4064</v>
      </c>
      <c r="E100" s="156" t="s">
        <v>4065</v>
      </c>
      <c r="F100" s="155"/>
      <c r="G100" s="157" t="n">
        <v>2.1</v>
      </c>
      <c r="H100" s="155"/>
      <c r="I100" s="155"/>
      <c r="J100" s="155"/>
      <c r="K100" s="146"/>
    </row>
    <row r="101">
      <c r="A101" s="9" t="s">
        <v>568</v>
      </c>
      <c r="B101" s="10" t="s">
        <v>89</v>
      </c>
      <c r="C101" s="10" t="s">
        <v>4067</v>
      </c>
      <c r="D101" s="14" t="s">
        <v>4003</v>
      </c>
      <c r="E101" s="10"/>
      <c r="F101" s="10" t="s">
        <v>282</v>
      </c>
      <c r="G101" s="111">
        <f>'Stavební rozpočet'!G2626</f>
      </c>
      <c r="H101" s="111">
        <f>'Stavební rozpočet'!H2626</f>
      </c>
      <c r="I101" s="111">
        <f>G101*H101</f>
      </c>
      <c r="J101" s="153" t="s">
        <v>4</v>
      </c>
      <c r="K101" s="146"/>
      <c r="Z101" s="111">
        <f>IF(AQ101="5",BJ101,0)</f>
      </c>
      <c r="AB101" s="111">
        <f>IF(AQ101="1",BH101,0)</f>
      </c>
      <c r="AC101" s="111">
        <f>IF(AQ101="1",BI101,0)</f>
      </c>
      <c r="AD101" s="111">
        <f>IF(AQ101="7",BH101,0)</f>
      </c>
      <c r="AE101" s="111">
        <f>IF(AQ101="7",BI101,0)</f>
      </c>
      <c r="AF101" s="111">
        <f>IF(AQ101="2",BH101,0)</f>
      </c>
      <c r="AG101" s="111">
        <f>IF(AQ101="2",BI101,0)</f>
      </c>
      <c r="AH101" s="111">
        <f>IF(AQ101="0",BJ101,0)</f>
      </c>
      <c r="AI101" s="132" t="s">
        <v>89</v>
      </c>
      <c r="AJ101" s="111">
        <f>IF(AN101=0,I101,0)</f>
      </c>
      <c r="AK101" s="111">
        <f>IF(AN101=12,I101,0)</f>
      </c>
      <c r="AL101" s="111">
        <f>IF(AN101=21,I101,0)</f>
      </c>
      <c r="AN101" s="111" t="n">
        <v>21</v>
      </c>
      <c r="AO101" s="111">
        <f>H101*1</f>
      </c>
      <c r="AP101" s="111">
        <f>H101*(1-1)</f>
      </c>
      <c r="AQ101" s="153" t="s">
        <v>173</v>
      </c>
      <c r="AV101" s="111">
        <f>AW101+AX101</f>
      </c>
      <c r="AW101" s="111">
        <f>G101*AO101</f>
      </c>
      <c r="AX101" s="111">
        <f>G101*AP101</f>
      </c>
      <c r="AY101" s="153" t="s">
        <v>3728</v>
      </c>
      <c r="AZ101" s="153" t="s">
        <v>3905</v>
      </c>
      <c r="BA101" s="132" t="s">
        <v>3856</v>
      </c>
      <c r="BC101" s="111">
        <f>AW101+AX101</f>
      </c>
      <c r="BD101" s="111">
        <f>H101/(100-BE101)*100</f>
      </c>
      <c r="BE101" s="111" t="n">
        <v>0</v>
      </c>
      <c r="BF101" s="111">
        <f>101</f>
      </c>
      <c r="BH101" s="111">
        <f>G101*AO101</f>
      </c>
      <c r="BI101" s="111">
        <f>G101*AP101</f>
      </c>
      <c r="BJ101" s="111">
        <f>G101*H101</f>
      </c>
      <c r="BK101" s="111"/>
      <c r="BL101" s="111" t="n">
        <v>732</v>
      </c>
      <c r="BW101" s="111" t="n">
        <v>21</v>
      </c>
      <c r="BX101" s="14" t="s">
        <v>4003</v>
      </c>
    </row>
    <row r="102">
      <c r="A102" s="9" t="s">
        <v>576</v>
      </c>
      <c r="B102" s="10" t="s">
        <v>89</v>
      </c>
      <c r="C102" s="10" t="s">
        <v>4069</v>
      </c>
      <c r="D102" s="14" t="s">
        <v>4070</v>
      </c>
      <c r="E102" s="10"/>
      <c r="F102" s="10" t="s">
        <v>282</v>
      </c>
      <c r="G102" s="111">
        <f>'Stavební rozpočet'!G2627</f>
      </c>
      <c r="H102" s="111">
        <f>'Stavební rozpočet'!H2627</f>
      </c>
      <c r="I102" s="111">
        <f>G102*H102</f>
      </c>
      <c r="J102" s="153" t="s">
        <v>4</v>
      </c>
      <c r="K102" s="146"/>
      <c r="Z102" s="111">
        <f>IF(AQ102="5",BJ102,0)</f>
      </c>
      <c r="AB102" s="111">
        <f>IF(AQ102="1",BH102,0)</f>
      </c>
      <c r="AC102" s="111">
        <f>IF(AQ102="1",BI102,0)</f>
      </c>
      <c r="AD102" s="111">
        <f>IF(AQ102="7",BH102,0)</f>
      </c>
      <c r="AE102" s="111">
        <f>IF(AQ102="7",BI102,0)</f>
      </c>
      <c r="AF102" s="111">
        <f>IF(AQ102="2",BH102,0)</f>
      </c>
      <c r="AG102" s="111">
        <f>IF(AQ102="2",BI102,0)</f>
      </c>
      <c r="AH102" s="111">
        <f>IF(AQ102="0",BJ102,0)</f>
      </c>
      <c r="AI102" s="132" t="s">
        <v>89</v>
      </c>
      <c r="AJ102" s="111">
        <f>IF(AN102=0,I102,0)</f>
      </c>
      <c r="AK102" s="111">
        <f>IF(AN102=12,I102,0)</f>
      </c>
      <c r="AL102" s="111">
        <f>IF(AN102=21,I102,0)</f>
      </c>
      <c r="AN102" s="111" t="n">
        <v>21</v>
      </c>
      <c r="AO102" s="111">
        <f>H102*1</f>
      </c>
      <c r="AP102" s="111">
        <f>H102*(1-1)</f>
      </c>
      <c r="AQ102" s="153" t="s">
        <v>173</v>
      </c>
      <c r="AV102" s="111">
        <f>AW102+AX102</f>
      </c>
      <c r="AW102" s="111">
        <f>G102*AO102</f>
      </c>
      <c r="AX102" s="111">
        <f>G102*AP102</f>
      </c>
      <c r="AY102" s="153" t="s">
        <v>3728</v>
      </c>
      <c r="AZ102" s="153" t="s">
        <v>3905</v>
      </c>
      <c r="BA102" s="132" t="s">
        <v>3856</v>
      </c>
      <c r="BC102" s="111">
        <f>AW102+AX102</f>
      </c>
      <c r="BD102" s="111">
        <f>H102/(100-BE102)*100</f>
      </c>
      <c r="BE102" s="111" t="n">
        <v>0</v>
      </c>
      <c r="BF102" s="111">
        <f>102</f>
      </c>
      <c r="BH102" s="111">
        <f>G102*AO102</f>
      </c>
      <c r="BI102" s="111">
        <f>G102*AP102</f>
      </c>
      <c r="BJ102" s="111">
        <f>G102*H102</f>
      </c>
      <c r="BK102" s="111"/>
      <c r="BL102" s="111" t="n">
        <v>732</v>
      </c>
      <c r="BW102" s="111" t="n">
        <v>21</v>
      </c>
      <c r="BX102" s="14" t="s">
        <v>4070</v>
      </c>
    </row>
    <row r="103">
      <c r="A103" s="9" t="s">
        <v>581</v>
      </c>
      <c r="B103" s="10" t="s">
        <v>89</v>
      </c>
      <c r="C103" s="10" t="s">
        <v>4017</v>
      </c>
      <c r="D103" s="14" t="s">
        <v>4018</v>
      </c>
      <c r="E103" s="10"/>
      <c r="F103" s="10" t="s">
        <v>3860</v>
      </c>
      <c r="G103" s="111">
        <f>'Stavební rozpočet'!G2628</f>
      </c>
      <c r="H103" s="111">
        <f>'Stavební rozpočet'!H2628</f>
      </c>
      <c r="I103" s="111">
        <f>G103*H103</f>
      </c>
      <c r="J103" s="153" t="s">
        <v>4</v>
      </c>
      <c r="K103" s="146"/>
      <c r="Z103" s="111">
        <f>IF(AQ103="5",BJ103,0)</f>
      </c>
      <c r="AB103" s="111">
        <f>IF(AQ103="1",BH103,0)</f>
      </c>
      <c r="AC103" s="111">
        <f>IF(AQ103="1",BI103,0)</f>
      </c>
      <c r="AD103" s="111">
        <f>IF(AQ103="7",BH103,0)</f>
      </c>
      <c r="AE103" s="111">
        <f>IF(AQ103="7",BI103,0)</f>
      </c>
      <c r="AF103" s="111">
        <f>IF(AQ103="2",BH103,0)</f>
      </c>
      <c r="AG103" s="111">
        <f>IF(AQ103="2",BI103,0)</f>
      </c>
      <c r="AH103" s="111">
        <f>IF(AQ103="0",BJ103,0)</f>
      </c>
      <c r="AI103" s="132" t="s">
        <v>89</v>
      </c>
      <c r="AJ103" s="111">
        <f>IF(AN103=0,I103,0)</f>
      </c>
      <c r="AK103" s="111">
        <f>IF(AN103=12,I103,0)</f>
      </c>
      <c r="AL103" s="111">
        <f>IF(AN103=21,I103,0)</f>
      </c>
      <c r="AN103" s="111" t="n">
        <v>21</v>
      </c>
      <c r="AO103" s="111">
        <f>H103*1</f>
      </c>
      <c r="AP103" s="111">
        <f>H103*(1-1)</f>
      </c>
      <c r="AQ103" s="153" t="s">
        <v>173</v>
      </c>
      <c r="AV103" s="111">
        <f>AW103+AX103</f>
      </c>
      <c r="AW103" s="111">
        <f>G103*AO103</f>
      </c>
      <c r="AX103" s="111">
        <f>G103*AP103</f>
      </c>
      <c r="AY103" s="153" t="s">
        <v>3728</v>
      </c>
      <c r="AZ103" s="153" t="s">
        <v>3905</v>
      </c>
      <c r="BA103" s="132" t="s">
        <v>3856</v>
      </c>
      <c r="BC103" s="111">
        <f>AW103+AX103</f>
      </c>
      <c r="BD103" s="111">
        <f>H103/(100-BE103)*100</f>
      </c>
      <c r="BE103" s="111" t="n">
        <v>0</v>
      </c>
      <c r="BF103" s="111">
        <f>103</f>
      </c>
      <c r="BH103" s="111">
        <f>G103*AO103</f>
      </c>
      <c r="BI103" s="111">
        <f>G103*AP103</f>
      </c>
      <c r="BJ103" s="111">
        <f>G103*H103</f>
      </c>
      <c r="BK103" s="111"/>
      <c r="BL103" s="111" t="n">
        <v>732</v>
      </c>
      <c r="BW103" s="111" t="n">
        <v>21</v>
      </c>
      <c r="BX103" s="14" t="s">
        <v>4018</v>
      </c>
    </row>
    <row r="104">
      <c r="A104" s="9" t="s">
        <v>589</v>
      </c>
      <c r="B104" s="10" t="s">
        <v>89</v>
      </c>
      <c r="C104" s="10" t="s">
        <v>4073</v>
      </c>
      <c r="D104" s="14" t="s">
        <v>4074</v>
      </c>
      <c r="E104" s="10"/>
      <c r="F104" s="10" t="s">
        <v>2277</v>
      </c>
      <c r="G104" s="111">
        <f>'Stavební rozpočet'!G2629</f>
      </c>
      <c r="H104" s="111">
        <f>'Stavební rozpočet'!H2629</f>
      </c>
      <c r="I104" s="111">
        <f>G104*H104</f>
      </c>
      <c r="J104" s="153" t="s">
        <v>4</v>
      </c>
      <c r="K104" s="146"/>
      <c r="Z104" s="111">
        <f>IF(AQ104="5",BJ104,0)</f>
      </c>
      <c r="AB104" s="111">
        <f>IF(AQ104="1",BH104,0)</f>
      </c>
      <c r="AC104" s="111">
        <f>IF(AQ104="1",BI104,0)</f>
      </c>
      <c r="AD104" s="111">
        <f>IF(AQ104="7",BH104,0)</f>
      </c>
      <c r="AE104" s="111">
        <f>IF(AQ104="7",BI104,0)</f>
      </c>
      <c r="AF104" s="111">
        <f>IF(AQ104="2",BH104,0)</f>
      </c>
      <c r="AG104" s="111">
        <f>IF(AQ104="2",BI104,0)</f>
      </c>
      <c r="AH104" s="111">
        <f>IF(AQ104="0",BJ104,0)</f>
      </c>
      <c r="AI104" s="132" t="s">
        <v>89</v>
      </c>
      <c r="AJ104" s="111">
        <f>IF(AN104=0,I104,0)</f>
      </c>
      <c r="AK104" s="111">
        <f>IF(AN104=12,I104,0)</f>
      </c>
      <c r="AL104" s="111">
        <f>IF(AN104=21,I104,0)</f>
      </c>
      <c r="AN104" s="111" t="n">
        <v>21</v>
      </c>
      <c r="AO104" s="111">
        <f>H104*1</f>
      </c>
      <c r="AP104" s="111">
        <f>H104*(1-1)</f>
      </c>
      <c r="AQ104" s="153" t="s">
        <v>173</v>
      </c>
      <c r="AV104" s="111">
        <f>AW104+AX104</f>
      </c>
      <c r="AW104" s="111">
        <f>G104*AO104</f>
      </c>
      <c r="AX104" s="111">
        <f>G104*AP104</f>
      </c>
      <c r="AY104" s="153" t="s">
        <v>3728</v>
      </c>
      <c r="AZ104" s="153" t="s">
        <v>3905</v>
      </c>
      <c r="BA104" s="132" t="s">
        <v>3856</v>
      </c>
      <c r="BC104" s="111">
        <f>AW104+AX104</f>
      </c>
      <c r="BD104" s="111">
        <f>H104/(100-BE104)*100</f>
      </c>
      <c r="BE104" s="111" t="n">
        <v>0</v>
      </c>
      <c r="BF104" s="111">
        <f>104</f>
      </c>
      <c r="BH104" s="111">
        <f>G104*AO104</f>
      </c>
      <c r="BI104" s="111">
        <f>G104*AP104</f>
      </c>
      <c r="BJ104" s="111">
        <f>G104*H104</f>
      </c>
      <c r="BK104" s="111"/>
      <c r="BL104" s="111" t="n">
        <v>732</v>
      </c>
      <c r="BW104" s="111" t="n">
        <v>21</v>
      </c>
      <c r="BX104" s="14" t="s">
        <v>4074</v>
      </c>
    </row>
    <row r="105">
      <c r="A105" s="9" t="s">
        <v>597</v>
      </c>
      <c r="B105" s="10" t="s">
        <v>89</v>
      </c>
      <c r="C105" s="10" t="s">
        <v>4076</v>
      </c>
      <c r="D105" s="14" t="s">
        <v>4077</v>
      </c>
      <c r="E105" s="10"/>
      <c r="F105" s="10" t="s">
        <v>2277</v>
      </c>
      <c r="G105" s="111">
        <f>'Stavební rozpočet'!G2630</f>
      </c>
      <c r="H105" s="111">
        <f>'Stavební rozpočet'!H2630</f>
      </c>
      <c r="I105" s="111">
        <f>G105*H105</f>
      </c>
      <c r="J105" s="153" t="s">
        <v>4</v>
      </c>
      <c r="K105" s="146"/>
      <c r="Z105" s="111">
        <f>IF(AQ105="5",BJ105,0)</f>
      </c>
      <c r="AB105" s="111">
        <f>IF(AQ105="1",BH105,0)</f>
      </c>
      <c r="AC105" s="111">
        <f>IF(AQ105="1",BI105,0)</f>
      </c>
      <c r="AD105" s="111">
        <f>IF(AQ105="7",BH105,0)</f>
      </c>
      <c r="AE105" s="111">
        <f>IF(AQ105="7",BI105,0)</f>
      </c>
      <c r="AF105" s="111">
        <f>IF(AQ105="2",BH105,0)</f>
      </c>
      <c r="AG105" s="111">
        <f>IF(AQ105="2",BI105,0)</f>
      </c>
      <c r="AH105" s="111">
        <f>IF(AQ105="0",BJ105,0)</f>
      </c>
      <c r="AI105" s="132" t="s">
        <v>89</v>
      </c>
      <c r="AJ105" s="111">
        <f>IF(AN105=0,I105,0)</f>
      </c>
      <c r="AK105" s="111">
        <f>IF(AN105=12,I105,0)</f>
      </c>
      <c r="AL105" s="111">
        <f>IF(AN105=21,I105,0)</f>
      </c>
      <c r="AN105" s="111" t="n">
        <v>21</v>
      </c>
      <c r="AO105" s="111">
        <f>H105*1</f>
      </c>
      <c r="AP105" s="111">
        <f>H105*(1-1)</f>
      </c>
      <c r="AQ105" s="153" t="s">
        <v>173</v>
      </c>
      <c r="AV105" s="111">
        <f>AW105+AX105</f>
      </c>
      <c r="AW105" s="111">
        <f>G105*AO105</f>
      </c>
      <c r="AX105" s="111">
        <f>G105*AP105</f>
      </c>
      <c r="AY105" s="153" t="s">
        <v>3728</v>
      </c>
      <c r="AZ105" s="153" t="s">
        <v>3905</v>
      </c>
      <c r="BA105" s="132" t="s">
        <v>3856</v>
      </c>
      <c r="BC105" s="111">
        <f>AW105+AX105</f>
      </c>
      <c r="BD105" s="111">
        <f>H105/(100-BE105)*100</f>
      </c>
      <c r="BE105" s="111" t="n">
        <v>0</v>
      </c>
      <c r="BF105" s="111">
        <f>105</f>
      </c>
      <c r="BH105" s="111">
        <f>G105*AO105</f>
      </c>
      <c r="BI105" s="111">
        <f>G105*AP105</f>
      </c>
      <c r="BJ105" s="111">
        <f>G105*H105</f>
      </c>
      <c r="BK105" s="111"/>
      <c r="BL105" s="111" t="n">
        <v>732</v>
      </c>
      <c r="BW105" s="111" t="n">
        <v>21</v>
      </c>
      <c r="BX105" s="14" t="s">
        <v>4077</v>
      </c>
    </row>
    <row r="106">
      <c r="A106" s="147" t="s">
        <v>4</v>
      </c>
      <c r="B106" s="148" t="s">
        <v>89</v>
      </c>
      <c r="C106" s="148" t="s">
        <v>3907</v>
      </c>
      <c r="D106" s="149" t="s">
        <v>4078</v>
      </c>
      <c r="E106" s="148"/>
      <c r="F106" s="150" t="s">
        <v>79</v>
      </c>
      <c r="G106" s="150" t="s">
        <v>79</v>
      </c>
      <c r="H106" s="150" t="s">
        <v>79</v>
      </c>
      <c r="I106" s="117">
        <f>SUM(I107:I109)</f>
      </c>
      <c r="J106" s="132" t="s">
        <v>4</v>
      </c>
      <c r="K106" s="146"/>
      <c r="AI106" s="132" t="s">
        <v>89</v>
      </c>
      <c r="AS106" s="117">
        <f>SUM(AJ107:AJ109)</f>
      </c>
      <c r="AT106" s="117">
        <f>SUM(AK107:AK109)</f>
      </c>
      <c r="AU106" s="117">
        <f>SUM(AL107:AL109)</f>
      </c>
    </row>
    <row r="107">
      <c r="A107" s="9" t="s">
        <v>607</v>
      </c>
      <c r="B107" s="10" t="s">
        <v>89</v>
      </c>
      <c r="C107" s="10" t="s">
        <v>4080</v>
      </c>
      <c r="D107" s="14" t="s">
        <v>4081</v>
      </c>
      <c r="E107" s="10"/>
      <c r="F107" s="10" t="s">
        <v>2426</v>
      </c>
      <c r="G107" s="111">
        <f>'Stavební rozpočet'!G2632</f>
      </c>
      <c r="H107" s="111">
        <f>'Stavební rozpočet'!H2632</f>
      </c>
      <c r="I107" s="111">
        <f>G107*H107</f>
      </c>
      <c r="J107" s="153" t="s">
        <v>4</v>
      </c>
      <c r="K107" s="146"/>
      <c r="Z107" s="111">
        <f>IF(AQ107="5",BJ107,0)</f>
      </c>
      <c r="AB107" s="111">
        <f>IF(AQ107="1",BH107,0)</f>
      </c>
      <c r="AC107" s="111">
        <f>IF(AQ107="1",BI107,0)</f>
      </c>
      <c r="AD107" s="111">
        <f>IF(AQ107="7",BH107,0)</f>
      </c>
      <c r="AE107" s="111">
        <f>IF(AQ107="7",BI107,0)</f>
      </c>
      <c r="AF107" s="111">
        <f>IF(AQ107="2",BH107,0)</f>
      </c>
      <c r="AG107" s="111">
        <f>IF(AQ107="2",BI107,0)</f>
      </c>
      <c r="AH107" s="111">
        <f>IF(AQ107="0",BJ107,0)</f>
      </c>
      <c r="AI107" s="132" t="s">
        <v>89</v>
      </c>
      <c r="AJ107" s="111">
        <f>IF(AN107=0,I107,0)</f>
      </c>
      <c r="AK107" s="111">
        <f>IF(AN107=12,I107,0)</f>
      </c>
      <c r="AL107" s="111">
        <f>IF(AN107=21,I107,0)</f>
      </c>
      <c r="AN107" s="111" t="n">
        <v>21</v>
      </c>
      <c r="AO107" s="111">
        <f>H107*0</f>
      </c>
      <c r="AP107" s="111">
        <f>H107*(1-0)</f>
      </c>
      <c r="AQ107" s="153" t="s">
        <v>173</v>
      </c>
      <c r="AV107" s="111">
        <f>AW107+AX107</f>
      </c>
      <c r="AW107" s="111">
        <f>G107*AO107</f>
      </c>
      <c r="AX107" s="111">
        <f>G107*AP107</f>
      </c>
      <c r="AY107" s="153" t="s">
        <v>4082</v>
      </c>
      <c r="AZ107" s="153" t="s">
        <v>3905</v>
      </c>
      <c r="BA107" s="132" t="s">
        <v>3856</v>
      </c>
      <c r="BC107" s="111">
        <f>AW107+AX107</f>
      </c>
      <c r="BD107" s="111">
        <f>H107/(100-BE107)*100</f>
      </c>
      <c r="BE107" s="111" t="n">
        <v>0</v>
      </c>
      <c r="BF107" s="111">
        <f>107</f>
      </c>
      <c r="BH107" s="111">
        <f>G107*AO107</f>
      </c>
      <c r="BI107" s="111">
        <f>G107*AP107</f>
      </c>
      <c r="BJ107" s="111">
        <f>G107*H107</f>
      </c>
      <c r="BK107" s="111"/>
      <c r="BL107" s="111" t="n">
        <v>733</v>
      </c>
      <c r="BW107" s="111" t="n">
        <v>21</v>
      </c>
      <c r="BX107" s="14" t="s">
        <v>4081</v>
      </c>
    </row>
    <row r="108">
      <c r="A108" s="9" t="s">
        <v>613</v>
      </c>
      <c r="B108" s="10" t="s">
        <v>89</v>
      </c>
      <c r="C108" s="10" t="s">
        <v>4084</v>
      </c>
      <c r="D108" s="14" t="s">
        <v>4085</v>
      </c>
      <c r="E108" s="10"/>
      <c r="F108" s="10" t="s">
        <v>61</v>
      </c>
      <c r="G108" s="111">
        <f>'Stavební rozpočet'!G2633</f>
      </c>
      <c r="H108" s="111">
        <f>'Stavební rozpočet'!H2633</f>
      </c>
      <c r="I108" s="111">
        <f>G108*H108</f>
      </c>
      <c r="J108" s="153" t="s">
        <v>4</v>
      </c>
      <c r="K108" s="146"/>
      <c r="Z108" s="111">
        <f>IF(AQ108="5",BJ108,0)</f>
      </c>
      <c r="AB108" s="111">
        <f>IF(AQ108="1",BH108,0)</f>
      </c>
      <c r="AC108" s="111">
        <f>IF(AQ108="1",BI108,0)</f>
      </c>
      <c r="AD108" s="111">
        <f>IF(AQ108="7",BH108,0)</f>
      </c>
      <c r="AE108" s="111">
        <f>IF(AQ108="7",BI108,0)</f>
      </c>
      <c r="AF108" s="111">
        <f>IF(AQ108="2",BH108,0)</f>
      </c>
      <c r="AG108" s="111">
        <f>IF(AQ108="2",BI108,0)</f>
      </c>
      <c r="AH108" s="111">
        <f>IF(AQ108="0",BJ108,0)</f>
      </c>
      <c r="AI108" s="132" t="s">
        <v>89</v>
      </c>
      <c r="AJ108" s="111">
        <f>IF(AN108=0,I108,0)</f>
      </c>
      <c r="AK108" s="111">
        <f>IF(AN108=12,I108,0)</f>
      </c>
      <c r="AL108" s="111">
        <f>IF(AN108=21,I108,0)</f>
      </c>
      <c r="AN108" s="111" t="n">
        <v>21</v>
      </c>
      <c r="AO108" s="111">
        <f>H108*0</f>
      </c>
      <c r="AP108" s="111">
        <f>H108*(1-0)</f>
      </c>
      <c r="AQ108" s="153" t="s">
        <v>173</v>
      </c>
      <c r="AV108" s="111">
        <f>AW108+AX108</f>
      </c>
      <c r="AW108" s="111">
        <f>G108*AO108</f>
      </c>
      <c r="AX108" s="111">
        <f>G108*AP108</f>
      </c>
      <c r="AY108" s="153" t="s">
        <v>4082</v>
      </c>
      <c r="AZ108" s="153" t="s">
        <v>3905</v>
      </c>
      <c r="BA108" s="132" t="s">
        <v>3856</v>
      </c>
      <c r="BC108" s="111">
        <f>AW108+AX108</f>
      </c>
      <c r="BD108" s="111">
        <f>H108/(100-BE108)*100</f>
      </c>
      <c r="BE108" s="111" t="n">
        <v>0</v>
      </c>
      <c r="BF108" s="111">
        <f>108</f>
      </c>
      <c r="BH108" s="111">
        <f>G108*AO108</f>
      </c>
      <c r="BI108" s="111">
        <f>G108*AP108</f>
      </c>
      <c r="BJ108" s="111">
        <f>G108*H108</f>
      </c>
      <c r="BK108" s="111"/>
      <c r="BL108" s="111" t="n">
        <v>733</v>
      </c>
      <c r="BW108" s="111" t="n">
        <v>21</v>
      </c>
      <c r="BX108" s="14" t="s">
        <v>4085</v>
      </c>
    </row>
    <row r="109">
      <c r="A109" s="9" t="s">
        <v>623</v>
      </c>
      <c r="B109" s="10" t="s">
        <v>89</v>
      </c>
      <c r="C109" s="10" t="s">
        <v>4087</v>
      </c>
      <c r="D109" s="14" t="s">
        <v>4088</v>
      </c>
      <c r="E109" s="10"/>
      <c r="F109" s="10" t="s">
        <v>2426</v>
      </c>
      <c r="G109" s="111">
        <f>'Stavební rozpočet'!G2634</f>
      </c>
      <c r="H109" s="111">
        <f>'Stavební rozpočet'!H2634</f>
      </c>
      <c r="I109" s="111">
        <f>G109*H109</f>
      </c>
      <c r="J109" s="153" t="s">
        <v>4</v>
      </c>
      <c r="K109" s="146"/>
      <c r="Z109" s="111">
        <f>IF(AQ109="5",BJ109,0)</f>
      </c>
      <c r="AB109" s="111">
        <f>IF(AQ109="1",BH109,0)</f>
      </c>
      <c r="AC109" s="111">
        <f>IF(AQ109="1",BI109,0)</f>
      </c>
      <c r="AD109" s="111">
        <f>IF(AQ109="7",BH109,0)</f>
      </c>
      <c r="AE109" s="111">
        <f>IF(AQ109="7",BI109,0)</f>
      </c>
      <c r="AF109" s="111">
        <f>IF(AQ109="2",BH109,0)</f>
      </c>
      <c r="AG109" s="111">
        <f>IF(AQ109="2",BI109,0)</f>
      </c>
      <c r="AH109" s="111">
        <f>IF(AQ109="0",BJ109,0)</f>
      </c>
      <c r="AI109" s="132" t="s">
        <v>89</v>
      </c>
      <c r="AJ109" s="111">
        <f>IF(AN109=0,I109,0)</f>
      </c>
      <c r="AK109" s="111">
        <f>IF(AN109=12,I109,0)</f>
      </c>
      <c r="AL109" s="111">
        <f>IF(AN109=21,I109,0)</f>
      </c>
      <c r="AN109" s="111" t="n">
        <v>21</v>
      </c>
      <c r="AO109" s="111">
        <f>H109*1</f>
      </c>
      <c r="AP109" s="111">
        <f>H109*(1-1)</f>
      </c>
      <c r="AQ109" s="153" t="s">
        <v>173</v>
      </c>
      <c r="AV109" s="111">
        <f>AW109+AX109</f>
      </c>
      <c r="AW109" s="111">
        <f>G109*AO109</f>
      </c>
      <c r="AX109" s="111">
        <f>G109*AP109</f>
      </c>
      <c r="AY109" s="153" t="s">
        <v>4082</v>
      </c>
      <c r="AZ109" s="153" t="s">
        <v>3905</v>
      </c>
      <c r="BA109" s="132" t="s">
        <v>3856</v>
      </c>
      <c r="BC109" s="111">
        <f>AW109+AX109</f>
      </c>
      <c r="BD109" s="111">
        <f>H109/(100-BE109)*100</f>
      </c>
      <c r="BE109" s="111" t="n">
        <v>0</v>
      </c>
      <c r="BF109" s="111">
        <f>109</f>
      </c>
      <c r="BH109" s="111">
        <f>G109*AO109</f>
      </c>
      <c r="BI109" s="111">
        <f>G109*AP109</f>
      </c>
      <c r="BJ109" s="111">
        <f>G109*H109</f>
      </c>
      <c r="BK109" s="111"/>
      <c r="BL109" s="111" t="n">
        <v>733</v>
      </c>
      <c r="BW109" s="111" t="n">
        <v>21</v>
      </c>
      <c r="BX109" s="14" t="s">
        <v>4088</v>
      </c>
    </row>
    <row r="110">
      <c r="A110" s="147" t="s">
        <v>4</v>
      </c>
      <c r="B110" s="148" t="s">
        <v>89</v>
      </c>
      <c r="C110" s="148" t="s">
        <v>3912</v>
      </c>
      <c r="D110" s="149" t="s">
        <v>4089</v>
      </c>
      <c r="E110" s="148"/>
      <c r="F110" s="150" t="s">
        <v>79</v>
      </c>
      <c r="G110" s="150" t="s">
        <v>79</v>
      </c>
      <c r="H110" s="150" t="s">
        <v>79</v>
      </c>
      <c r="I110" s="117">
        <f>SUM(I111:I112)</f>
      </c>
      <c r="J110" s="132" t="s">
        <v>4</v>
      </c>
      <c r="K110" s="146"/>
      <c r="AI110" s="132" t="s">
        <v>89</v>
      </c>
      <c r="AS110" s="117">
        <f>SUM(AJ111:AJ112)</f>
      </c>
      <c r="AT110" s="117">
        <f>SUM(AK111:AK112)</f>
      </c>
      <c r="AU110" s="117">
        <f>SUM(AL111:AL112)</f>
      </c>
    </row>
    <row r="111">
      <c r="A111" s="9" t="s">
        <v>633</v>
      </c>
      <c r="B111" s="10" t="s">
        <v>89</v>
      </c>
      <c r="C111" s="10" t="s">
        <v>4091</v>
      </c>
      <c r="D111" s="14" t="s">
        <v>1332</v>
      </c>
      <c r="E111" s="10"/>
      <c r="F111" s="10" t="s">
        <v>1324</v>
      </c>
      <c r="G111" s="111">
        <f>'Stavební rozpočet'!G2636</f>
      </c>
      <c r="H111" s="111">
        <f>'Stavební rozpočet'!H2636</f>
      </c>
      <c r="I111" s="111">
        <f>G111*H111</f>
      </c>
      <c r="J111" s="153" t="s">
        <v>4</v>
      </c>
      <c r="K111" s="146"/>
      <c r="Z111" s="111">
        <f>IF(AQ111="5",BJ111,0)</f>
      </c>
      <c r="AB111" s="111">
        <f>IF(AQ111="1",BH111,0)</f>
      </c>
      <c r="AC111" s="111">
        <f>IF(AQ111="1",BI111,0)</f>
      </c>
      <c r="AD111" s="111">
        <f>IF(AQ111="7",BH111,0)</f>
      </c>
      <c r="AE111" s="111">
        <f>IF(AQ111="7",BI111,0)</f>
      </c>
      <c r="AF111" s="111">
        <f>IF(AQ111="2",BH111,0)</f>
      </c>
      <c r="AG111" s="111">
        <f>IF(AQ111="2",BI111,0)</f>
      </c>
      <c r="AH111" s="111">
        <f>IF(AQ111="0",BJ111,0)</f>
      </c>
      <c r="AI111" s="132" t="s">
        <v>89</v>
      </c>
      <c r="AJ111" s="111">
        <f>IF(AN111=0,I111,0)</f>
      </c>
      <c r="AK111" s="111">
        <f>IF(AN111=12,I111,0)</f>
      </c>
      <c r="AL111" s="111">
        <f>IF(AN111=21,I111,0)</f>
      </c>
      <c r="AN111" s="111" t="n">
        <v>21</v>
      </c>
      <c r="AO111" s="111">
        <f>H111*0</f>
      </c>
      <c r="AP111" s="111">
        <f>H111*(1-0)</f>
      </c>
      <c r="AQ111" s="153" t="s">
        <v>173</v>
      </c>
      <c r="AV111" s="111">
        <f>AW111+AX111</f>
      </c>
      <c r="AW111" s="111">
        <f>G111*AO111</f>
      </c>
      <c r="AX111" s="111">
        <f>G111*AP111</f>
      </c>
      <c r="AY111" s="153" t="s">
        <v>4092</v>
      </c>
      <c r="AZ111" s="153" t="s">
        <v>3905</v>
      </c>
      <c r="BA111" s="132" t="s">
        <v>3856</v>
      </c>
      <c r="BC111" s="111">
        <f>AW111+AX111</f>
      </c>
      <c r="BD111" s="111">
        <f>H111/(100-BE111)*100</f>
      </c>
      <c r="BE111" s="111" t="n">
        <v>0</v>
      </c>
      <c r="BF111" s="111">
        <f>111</f>
      </c>
      <c r="BH111" s="111">
        <f>G111*AO111</f>
      </c>
      <c r="BI111" s="111">
        <f>G111*AP111</f>
      </c>
      <c r="BJ111" s="111">
        <f>G111*H111</f>
      </c>
      <c r="BK111" s="111"/>
      <c r="BL111" s="111" t="n">
        <v>734</v>
      </c>
      <c r="BW111" s="111" t="n">
        <v>21</v>
      </c>
      <c r="BX111" s="14" t="s">
        <v>1332</v>
      </c>
    </row>
    <row r="112">
      <c r="A112" s="9" t="s">
        <v>637</v>
      </c>
      <c r="B112" s="10" t="s">
        <v>89</v>
      </c>
      <c r="C112" s="10" t="s">
        <v>4094</v>
      </c>
      <c r="D112" s="14" t="s">
        <v>4095</v>
      </c>
      <c r="E112" s="10"/>
      <c r="F112" s="10" t="s">
        <v>3860</v>
      </c>
      <c r="G112" s="111">
        <f>'Stavební rozpočet'!G2637</f>
      </c>
      <c r="H112" s="111">
        <f>'Stavební rozpočet'!H2637</f>
      </c>
      <c r="I112" s="111">
        <f>G112*H112</f>
      </c>
      <c r="J112" s="153" t="s">
        <v>4</v>
      </c>
      <c r="K112" s="146"/>
      <c r="Z112" s="111">
        <f>IF(AQ112="5",BJ112,0)</f>
      </c>
      <c r="AB112" s="111">
        <f>IF(AQ112="1",BH112,0)</f>
      </c>
      <c r="AC112" s="111">
        <f>IF(AQ112="1",BI112,0)</f>
      </c>
      <c r="AD112" s="111">
        <f>IF(AQ112="7",BH112,0)</f>
      </c>
      <c r="AE112" s="111">
        <f>IF(AQ112="7",BI112,0)</f>
      </c>
      <c r="AF112" s="111">
        <f>IF(AQ112="2",BH112,0)</f>
      </c>
      <c r="AG112" s="111">
        <f>IF(AQ112="2",BI112,0)</f>
      </c>
      <c r="AH112" s="111">
        <f>IF(AQ112="0",BJ112,0)</f>
      </c>
      <c r="AI112" s="132" t="s">
        <v>89</v>
      </c>
      <c r="AJ112" s="111">
        <f>IF(AN112=0,I112,0)</f>
      </c>
      <c r="AK112" s="111">
        <f>IF(AN112=12,I112,0)</f>
      </c>
      <c r="AL112" s="111">
        <f>IF(AN112=21,I112,0)</f>
      </c>
      <c r="AN112" s="111" t="n">
        <v>21</v>
      </c>
      <c r="AO112" s="111">
        <f>H112*0</f>
      </c>
      <c r="AP112" s="111">
        <f>H112*(1-0)</f>
      </c>
      <c r="AQ112" s="153" t="s">
        <v>173</v>
      </c>
      <c r="AV112" s="111">
        <f>AW112+AX112</f>
      </c>
      <c r="AW112" s="111">
        <f>G112*AO112</f>
      </c>
      <c r="AX112" s="111">
        <f>G112*AP112</f>
      </c>
      <c r="AY112" s="153" t="s">
        <v>4092</v>
      </c>
      <c r="AZ112" s="153" t="s">
        <v>3905</v>
      </c>
      <c r="BA112" s="132" t="s">
        <v>3856</v>
      </c>
      <c r="BC112" s="111">
        <f>AW112+AX112</f>
      </c>
      <c r="BD112" s="111">
        <f>H112/(100-BE112)*100</f>
      </c>
      <c r="BE112" s="111" t="n">
        <v>0</v>
      </c>
      <c r="BF112" s="111">
        <f>112</f>
      </c>
      <c r="BH112" s="111">
        <f>G112*AO112</f>
      </c>
      <c r="BI112" s="111">
        <f>G112*AP112</f>
      </c>
      <c r="BJ112" s="111">
        <f>G112*H112</f>
      </c>
      <c r="BK112" s="111"/>
      <c r="BL112" s="111" t="n">
        <v>734</v>
      </c>
      <c r="BW112" s="111" t="n">
        <v>21</v>
      </c>
      <c r="BX112" s="14" t="s">
        <v>4095</v>
      </c>
    </row>
    <row r="113">
      <c r="A113" s="147" t="s">
        <v>4</v>
      </c>
      <c r="B113" s="148" t="s">
        <v>89</v>
      </c>
      <c r="C113" s="148" t="s">
        <v>1982</v>
      </c>
      <c r="D113" s="149" t="s">
        <v>1983</v>
      </c>
      <c r="E113" s="148"/>
      <c r="F113" s="150" t="s">
        <v>79</v>
      </c>
      <c r="G113" s="150" t="s">
        <v>79</v>
      </c>
      <c r="H113" s="150" t="s">
        <v>79</v>
      </c>
      <c r="I113" s="117">
        <f>SUM(I114:I115)</f>
      </c>
      <c r="J113" s="132" t="s">
        <v>4</v>
      </c>
      <c r="K113" s="146"/>
      <c r="AI113" s="132" t="s">
        <v>89</v>
      </c>
      <c r="AS113" s="117">
        <f>SUM(AJ114:AJ115)</f>
      </c>
      <c r="AT113" s="117">
        <f>SUM(AK114:AK115)</f>
      </c>
      <c r="AU113" s="117">
        <f>SUM(AL114:AL115)</f>
      </c>
    </row>
    <row r="114">
      <c r="A114" s="9" t="s">
        <v>642</v>
      </c>
      <c r="B114" s="10" t="s">
        <v>89</v>
      </c>
      <c r="C114" s="10" t="s">
        <v>4097</v>
      </c>
      <c r="D114" s="14" t="s">
        <v>4098</v>
      </c>
      <c r="E114" s="10"/>
      <c r="F114" s="10" t="s">
        <v>282</v>
      </c>
      <c r="G114" s="111">
        <f>'Stavební rozpočet'!G2639</f>
      </c>
      <c r="H114" s="111">
        <f>'Stavební rozpočet'!H2639</f>
      </c>
      <c r="I114" s="111">
        <f>G114*H114</f>
      </c>
      <c r="J114" s="153" t="s">
        <v>4</v>
      </c>
      <c r="K114" s="146"/>
      <c r="Z114" s="111">
        <f>IF(AQ114="5",BJ114,0)</f>
      </c>
      <c r="AB114" s="111">
        <f>IF(AQ114="1",BH114,0)</f>
      </c>
      <c r="AC114" s="111">
        <f>IF(AQ114="1",BI114,0)</f>
      </c>
      <c r="AD114" s="111">
        <f>IF(AQ114="7",BH114,0)</f>
      </c>
      <c r="AE114" s="111">
        <f>IF(AQ114="7",BI114,0)</f>
      </c>
      <c r="AF114" s="111">
        <f>IF(AQ114="2",BH114,0)</f>
      </c>
      <c r="AG114" s="111">
        <f>IF(AQ114="2",BI114,0)</f>
      </c>
      <c r="AH114" s="111">
        <f>IF(AQ114="0",BJ114,0)</f>
      </c>
      <c r="AI114" s="132" t="s">
        <v>89</v>
      </c>
      <c r="AJ114" s="111">
        <f>IF(AN114=0,I114,0)</f>
      </c>
      <c r="AK114" s="111">
        <f>IF(AN114=12,I114,0)</f>
      </c>
      <c r="AL114" s="111">
        <f>IF(AN114=21,I114,0)</f>
      </c>
      <c r="AN114" s="111" t="n">
        <v>21</v>
      </c>
      <c r="AO114" s="111">
        <f>H114*0</f>
      </c>
      <c r="AP114" s="111">
        <f>H114*(1-0)</f>
      </c>
      <c r="AQ114" s="153" t="s">
        <v>173</v>
      </c>
      <c r="AV114" s="111">
        <f>AW114+AX114</f>
      </c>
      <c r="AW114" s="111">
        <f>G114*AO114</f>
      </c>
      <c r="AX114" s="111">
        <f>G114*AP114</f>
      </c>
      <c r="AY114" s="153" t="s">
        <v>1987</v>
      </c>
      <c r="AZ114" s="153" t="s">
        <v>3905</v>
      </c>
      <c r="BA114" s="132" t="s">
        <v>3856</v>
      </c>
      <c r="BC114" s="111">
        <f>AW114+AX114</f>
      </c>
      <c r="BD114" s="111">
        <f>H114/(100-BE114)*100</f>
      </c>
      <c r="BE114" s="111" t="n">
        <v>0</v>
      </c>
      <c r="BF114" s="111">
        <f>114</f>
      </c>
      <c r="BH114" s="111">
        <f>G114*AO114</f>
      </c>
      <c r="BI114" s="111">
        <f>G114*AP114</f>
      </c>
      <c r="BJ114" s="111">
        <f>G114*H114</f>
      </c>
      <c r="BK114" s="111"/>
      <c r="BL114" s="111" t="n">
        <v>736</v>
      </c>
      <c r="BW114" s="111" t="n">
        <v>21</v>
      </c>
      <c r="BX114" s="14" t="s">
        <v>4098</v>
      </c>
    </row>
    <row r="115">
      <c r="A115" s="9" t="s">
        <v>646</v>
      </c>
      <c r="B115" s="10" t="s">
        <v>89</v>
      </c>
      <c r="C115" s="10" t="s">
        <v>4100</v>
      </c>
      <c r="D115" s="14" t="s">
        <v>4101</v>
      </c>
      <c r="E115" s="10"/>
      <c r="F115" s="10" t="s">
        <v>282</v>
      </c>
      <c r="G115" s="111">
        <f>'Stavební rozpočet'!G2640</f>
      </c>
      <c r="H115" s="111">
        <f>'Stavební rozpočet'!H2640</f>
      </c>
      <c r="I115" s="111">
        <f>G115*H115</f>
      </c>
      <c r="J115" s="153" t="s">
        <v>4</v>
      </c>
      <c r="K115" s="146"/>
      <c r="Z115" s="111">
        <f>IF(AQ115="5",BJ115,0)</f>
      </c>
      <c r="AB115" s="111">
        <f>IF(AQ115="1",BH115,0)</f>
      </c>
      <c r="AC115" s="111">
        <f>IF(AQ115="1",BI115,0)</f>
      </c>
      <c r="AD115" s="111">
        <f>IF(AQ115="7",BH115,0)</f>
      </c>
      <c r="AE115" s="111">
        <f>IF(AQ115="7",BI115,0)</f>
      </c>
      <c r="AF115" s="111">
        <f>IF(AQ115="2",BH115,0)</f>
      </c>
      <c r="AG115" s="111">
        <f>IF(AQ115="2",BI115,0)</f>
      </c>
      <c r="AH115" s="111">
        <f>IF(AQ115="0",BJ115,0)</f>
      </c>
      <c r="AI115" s="132" t="s">
        <v>89</v>
      </c>
      <c r="AJ115" s="111">
        <f>IF(AN115=0,I115,0)</f>
      </c>
      <c r="AK115" s="111">
        <f>IF(AN115=12,I115,0)</f>
      </c>
      <c r="AL115" s="111">
        <f>IF(AN115=21,I115,0)</f>
      </c>
      <c r="AN115" s="111" t="n">
        <v>21</v>
      </c>
      <c r="AO115" s="111">
        <f>H115*0</f>
      </c>
      <c r="AP115" s="111">
        <f>H115*(1-0)</f>
      </c>
      <c r="AQ115" s="153" t="s">
        <v>173</v>
      </c>
      <c r="AV115" s="111">
        <f>AW115+AX115</f>
      </c>
      <c r="AW115" s="111">
        <f>G115*AO115</f>
      </c>
      <c r="AX115" s="111">
        <f>G115*AP115</f>
      </c>
      <c r="AY115" s="153" t="s">
        <v>1987</v>
      </c>
      <c r="AZ115" s="153" t="s">
        <v>3905</v>
      </c>
      <c r="BA115" s="132" t="s">
        <v>3856</v>
      </c>
      <c r="BC115" s="111">
        <f>AW115+AX115</f>
      </c>
      <c r="BD115" s="111">
        <f>H115/(100-BE115)*100</f>
      </c>
      <c r="BE115" s="111" t="n">
        <v>0</v>
      </c>
      <c r="BF115" s="111">
        <f>115</f>
      </c>
      <c r="BH115" s="111">
        <f>G115*AO115</f>
      </c>
      <c r="BI115" s="111">
        <f>G115*AP115</f>
      </c>
      <c r="BJ115" s="111">
        <f>G115*H115</f>
      </c>
      <c r="BK115" s="111"/>
      <c r="BL115" s="111" t="n">
        <v>736</v>
      </c>
      <c r="BW115" s="111" t="n">
        <v>21</v>
      </c>
      <c r="BX115" s="14" t="s">
        <v>4101</v>
      </c>
    </row>
    <row r="116">
      <c r="A116" s="147" t="s">
        <v>4</v>
      </c>
      <c r="B116" s="148" t="s">
        <v>89</v>
      </c>
      <c r="C116" s="148" t="s">
        <v>2272</v>
      </c>
      <c r="D116" s="149" t="s">
        <v>4102</v>
      </c>
      <c r="E116" s="148"/>
      <c r="F116" s="150" t="s">
        <v>79</v>
      </c>
      <c r="G116" s="150" t="s">
        <v>79</v>
      </c>
      <c r="H116" s="150" t="s">
        <v>79</v>
      </c>
      <c r="I116" s="117">
        <f>SUM(I117:I117)</f>
      </c>
      <c r="J116" s="132" t="s">
        <v>4</v>
      </c>
      <c r="K116" s="146"/>
      <c r="AI116" s="132" t="s">
        <v>89</v>
      </c>
      <c r="AS116" s="117">
        <f>SUM(AJ117:AJ117)</f>
      </c>
      <c r="AT116" s="117">
        <f>SUM(AK117:AK117)</f>
      </c>
      <c r="AU116" s="117">
        <f>SUM(AL117:AL117)</f>
      </c>
    </row>
    <row r="117" ht="24.75">
      <c r="A117" s="9" t="s">
        <v>651</v>
      </c>
      <c r="B117" s="10" t="s">
        <v>89</v>
      </c>
      <c r="C117" s="10" t="s">
        <v>4104</v>
      </c>
      <c r="D117" s="14" t="s">
        <v>4105</v>
      </c>
      <c r="E117" s="10"/>
      <c r="F117" s="10" t="s">
        <v>3860</v>
      </c>
      <c r="G117" s="111">
        <f>'Stavební rozpočet'!G2642</f>
      </c>
      <c r="H117" s="111">
        <f>'Stavební rozpočet'!H2642</f>
      </c>
      <c r="I117" s="111">
        <f>G117*H117</f>
      </c>
      <c r="J117" s="153" t="s">
        <v>4</v>
      </c>
      <c r="K117" s="146"/>
      <c r="Z117" s="111">
        <f>IF(AQ117="5",BJ117,0)</f>
      </c>
      <c r="AB117" s="111">
        <f>IF(AQ117="1",BH117,0)</f>
      </c>
      <c r="AC117" s="111">
        <f>IF(AQ117="1",BI117,0)</f>
      </c>
      <c r="AD117" s="111">
        <f>IF(AQ117="7",BH117,0)</f>
      </c>
      <c r="AE117" s="111">
        <f>IF(AQ117="7",BI117,0)</f>
      </c>
      <c r="AF117" s="111">
        <f>IF(AQ117="2",BH117,0)</f>
      </c>
      <c r="AG117" s="111">
        <f>IF(AQ117="2",BI117,0)</f>
      </c>
      <c r="AH117" s="111">
        <f>IF(AQ117="0",BJ117,0)</f>
      </c>
      <c r="AI117" s="132" t="s">
        <v>89</v>
      </c>
      <c r="AJ117" s="111">
        <f>IF(AN117=0,I117,0)</f>
      </c>
      <c r="AK117" s="111">
        <f>IF(AN117=12,I117,0)</f>
      </c>
      <c r="AL117" s="111">
        <f>IF(AN117=21,I117,0)</f>
      </c>
      <c r="AN117" s="111" t="n">
        <v>21</v>
      </c>
      <c r="AO117" s="111">
        <f>H117*0</f>
      </c>
      <c r="AP117" s="111">
        <f>H117*(1-0)</f>
      </c>
      <c r="AQ117" s="153" t="s">
        <v>173</v>
      </c>
      <c r="AV117" s="111">
        <f>AW117+AX117</f>
      </c>
      <c r="AW117" s="111">
        <f>G117*AO117</f>
      </c>
      <c r="AX117" s="111">
        <f>G117*AP117</f>
      </c>
      <c r="AY117" s="153" t="s">
        <v>2278</v>
      </c>
      <c r="AZ117" s="153" t="s">
        <v>4106</v>
      </c>
      <c r="BA117" s="132" t="s">
        <v>3856</v>
      </c>
      <c r="BC117" s="111">
        <f>AW117+AX117</f>
      </c>
      <c r="BD117" s="111">
        <f>H117/(100-BE117)*100</f>
      </c>
      <c r="BE117" s="111" t="n">
        <v>0</v>
      </c>
      <c r="BF117" s="111">
        <f>117</f>
      </c>
      <c r="BH117" s="111">
        <f>G117*AO117</f>
      </c>
      <c r="BI117" s="111">
        <f>G117*AP117</f>
      </c>
      <c r="BJ117" s="111">
        <f>G117*H117</f>
      </c>
      <c r="BK117" s="111"/>
      <c r="BL117" s="111" t="n">
        <v>767</v>
      </c>
      <c r="BW117" s="111" t="n">
        <v>21</v>
      </c>
      <c r="BX117" s="14" t="s">
        <v>4105</v>
      </c>
    </row>
    <row r="118">
      <c r="A118" s="147" t="s">
        <v>4</v>
      </c>
      <c r="B118" s="148" t="s">
        <v>89</v>
      </c>
      <c r="C118" s="148" t="s">
        <v>4107</v>
      </c>
      <c r="D118" s="149" t="s">
        <v>4108</v>
      </c>
      <c r="E118" s="148"/>
      <c r="F118" s="150" t="s">
        <v>79</v>
      </c>
      <c r="G118" s="150" t="s">
        <v>79</v>
      </c>
      <c r="H118" s="150" t="s">
        <v>79</v>
      </c>
      <c r="I118" s="117">
        <f>SUM(I119:I126)</f>
      </c>
      <c r="J118" s="132" t="s">
        <v>4</v>
      </c>
      <c r="K118" s="146"/>
      <c r="AI118" s="132" t="s">
        <v>89</v>
      </c>
      <c r="AS118" s="117">
        <f>SUM(AJ119:AJ126)</f>
      </c>
      <c r="AT118" s="117">
        <f>SUM(AK119:AK126)</f>
      </c>
      <c r="AU118" s="117">
        <f>SUM(AL119:AL126)</f>
      </c>
    </row>
    <row r="119">
      <c r="A119" s="9" t="s">
        <v>658</v>
      </c>
      <c r="B119" s="10" t="s">
        <v>89</v>
      </c>
      <c r="C119" s="10" t="s">
        <v>4110</v>
      </c>
      <c r="D119" s="14" t="s">
        <v>4111</v>
      </c>
      <c r="E119" s="10"/>
      <c r="F119" s="10" t="s">
        <v>1324</v>
      </c>
      <c r="G119" s="111">
        <f>'Stavební rozpočet'!G2644</f>
      </c>
      <c r="H119" s="111">
        <f>'Stavební rozpočet'!H2644</f>
      </c>
      <c r="I119" s="111">
        <f>G119*H119</f>
      </c>
      <c r="J119" s="153" t="s">
        <v>4</v>
      </c>
      <c r="K119" s="146"/>
      <c r="Z119" s="111">
        <f>IF(AQ119="5",BJ119,0)</f>
      </c>
      <c r="AB119" s="111">
        <f>IF(AQ119="1",BH119,0)</f>
      </c>
      <c r="AC119" s="111">
        <f>IF(AQ119="1",BI119,0)</f>
      </c>
      <c r="AD119" s="111">
        <f>IF(AQ119="7",BH119,0)</f>
      </c>
      <c r="AE119" s="111">
        <f>IF(AQ119="7",BI119,0)</f>
      </c>
      <c r="AF119" s="111">
        <f>IF(AQ119="2",BH119,0)</f>
      </c>
      <c r="AG119" s="111">
        <f>IF(AQ119="2",BI119,0)</f>
      </c>
      <c r="AH119" s="111">
        <f>IF(AQ119="0",BJ119,0)</f>
      </c>
      <c r="AI119" s="132" t="s">
        <v>89</v>
      </c>
      <c r="AJ119" s="111">
        <f>IF(AN119=0,I119,0)</f>
      </c>
      <c r="AK119" s="111">
        <f>IF(AN119=12,I119,0)</f>
      </c>
      <c r="AL119" s="111">
        <f>IF(AN119=21,I119,0)</f>
      </c>
      <c r="AN119" s="111" t="n">
        <v>21</v>
      </c>
      <c r="AO119" s="111">
        <f>H119*0</f>
      </c>
      <c r="AP119" s="111">
        <f>H119*(1-0)</f>
      </c>
      <c r="AQ119" s="153" t="s">
        <v>130</v>
      </c>
      <c r="AV119" s="111">
        <f>AW119+AX119</f>
      </c>
      <c r="AW119" s="111">
        <f>G119*AO119</f>
      </c>
      <c r="AX119" s="111">
        <f>G119*AP119</f>
      </c>
      <c r="AY119" s="153" t="s">
        <v>4112</v>
      </c>
      <c r="AZ119" s="153" t="s">
        <v>3855</v>
      </c>
      <c r="BA119" s="132" t="s">
        <v>3856</v>
      </c>
      <c r="BC119" s="111">
        <f>AW119+AX119</f>
      </c>
      <c r="BD119" s="111">
        <f>H119/(100-BE119)*100</f>
      </c>
      <c r="BE119" s="111" t="n">
        <v>0</v>
      </c>
      <c r="BF119" s="111">
        <f>119</f>
      </c>
      <c r="BH119" s="111">
        <f>G119*AO119</f>
      </c>
      <c r="BI119" s="111">
        <f>G119*AP119</f>
      </c>
      <c r="BJ119" s="111">
        <f>G119*H119</f>
      </c>
      <c r="BK119" s="111"/>
      <c r="BL119" s="111"/>
      <c r="BW119" s="111" t="n">
        <v>21</v>
      </c>
      <c r="BX119" s="14" t="s">
        <v>4111</v>
      </c>
    </row>
    <row r="120">
      <c r="A120" s="9" t="s">
        <v>665</v>
      </c>
      <c r="B120" s="10" t="s">
        <v>89</v>
      </c>
      <c r="C120" s="10" t="s">
        <v>4114</v>
      </c>
      <c r="D120" s="14" t="s">
        <v>4115</v>
      </c>
      <c r="E120" s="10"/>
      <c r="F120" s="10" t="s">
        <v>1430</v>
      </c>
      <c r="G120" s="111">
        <f>'Stavební rozpočet'!G2645</f>
      </c>
      <c r="H120" s="111">
        <f>'Stavební rozpočet'!H2645</f>
      </c>
      <c r="I120" s="111">
        <f>G120*H120</f>
      </c>
      <c r="J120" s="153" t="s">
        <v>4</v>
      </c>
      <c r="K120" s="146"/>
      <c r="Z120" s="111">
        <f>IF(AQ120="5",BJ120,0)</f>
      </c>
      <c r="AB120" s="111">
        <f>IF(AQ120="1",BH120,0)</f>
      </c>
      <c r="AC120" s="111">
        <f>IF(AQ120="1",BI120,0)</f>
      </c>
      <c r="AD120" s="111">
        <f>IF(AQ120="7",BH120,0)</f>
      </c>
      <c r="AE120" s="111">
        <f>IF(AQ120="7",BI120,0)</f>
      </c>
      <c r="AF120" s="111">
        <f>IF(AQ120="2",BH120,0)</f>
      </c>
      <c r="AG120" s="111">
        <f>IF(AQ120="2",BI120,0)</f>
      </c>
      <c r="AH120" s="111">
        <f>IF(AQ120="0",BJ120,0)</f>
      </c>
      <c r="AI120" s="132" t="s">
        <v>89</v>
      </c>
      <c r="AJ120" s="111">
        <f>IF(AN120=0,I120,0)</f>
      </c>
      <c r="AK120" s="111">
        <f>IF(AN120=12,I120,0)</f>
      </c>
      <c r="AL120" s="111">
        <f>IF(AN120=21,I120,0)</f>
      </c>
      <c r="AN120" s="111" t="n">
        <v>21</v>
      </c>
      <c r="AO120" s="111">
        <f>H120*0</f>
      </c>
      <c r="AP120" s="111">
        <f>H120*(1-0)</f>
      </c>
      <c r="AQ120" s="153" t="s">
        <v>130</v>
      </c>
      <c r="AV120" s="111">
        <f>AW120+AX120</f>
      </c>
      <c r="AW120" s="111">
        <f>G120*AO120</f>
      </c>
      <c r="AX120" s="111">
        <f>G120*AP120</f>
      </c>
      <c r="AY120" s="153" t="s">
        <v>4112</v>
      </c>
      <c r="AZ120" s="153" t="s">
        <v>3855</v>
      </c>
      <c r="BA120" s="132" t="s">
        <v>3856</v>
      </c>
      <c r="BC120" s="111">
        <f>AW120+AX120</f>
      </c>
      <c r="BD120" s="111">
        <f>H120/(100-BE120)*100</f>
      </c>
      <c r="BE120" s="111" t="n">
        <v>0</v>
      </c>
      <c r="BF120" s="111">
        <f>120</f>
      </c>
      <c r="BH120" s="111">
        <f>G120*AO120</f>
      </c>
      <c r="BI120" s="111">
        <f>G120*AP120</f>
      </c>
      <c r="BJ120" s="111">
        <f>G120*H120</f>
      </c>
      <c r="BK120" s="111"/>
      <c r="BL120" s="111"/>
      <c r="BW120" s="111" t="n">
        <v>21</v>
      </c>
      <c r="BX120" s="14" t="s">
        <v>4115</v>
      </c>
    </row>
    <row r="121">
      <c r="A121" s="9" t="s">
        <v>669</v>
      </c>
      <c r="B121" s="10" t="s">
        <v>89</v>
      </c>
      <c r="C121" s="10" t="s">
        <v>4117</v>
      </c>
      <c r="D121" s="14" t="s">
        <v>4118</v>
      </c>
      <c r="E121" s="10"/>
      <c r="F121" s="10" t="s">
        <v>3860</v>
      </c>
      <c r="G121" s="111">
        <f>'Stavební rozpočet'!G2646</f>
      </c>
      <c r="H121" s="111">
        <f>'Stavební rozpočet'!H2646</f>
      </c>
      <c r="I121" s="111">
        <f>G121*H121</f>
      </c>
      <c r="J121" s="153" t="s">
        <v>4</v>
      </c>
      <c r="K121" s="146"/>
      <c r="Z121" s="111">
        <f>IF(AQ121="5",BJ121,0)</f>
      </c>
      <c r="AB121" s="111">
        <f>IF(AQ121="1",BH121,0)</f>
      </c>
      <c r="AC121" s="111">
        <f>IF(AQ121="1",BI121,0)</f>
      </c>
      <c r="AD121" s="111">
        <f>IF(AQ121="7",BH121,0)</f>
      </c>
      <c r="AE121" s="111">
        <f>IF(AQ121="7",BI121,0)</f>
      </c>
      <c r="AF121" s="111">
        <f>IF(AQ121="2",BH121,0)</f>
      </c>
      <c r="AG121" s="111">
        <f>IF(AQ121="2",BI121,0)</f>
      </c>
      <c r="AH121" s="111">
        <f>IF(AQ121="0",BJ121,0)</f>
      </c>
      <c r="AI121" s="132" t="s">
        <v>89</v>
      </c>
      <c r="AJ121" s="111">
        <f>IF(AN121=0,I121,0)</f>
      </c>
      <c r="AK121" s="111">
        <f>IF(AN121=12,I121,0)</f>
      </c>
      <c r="AL121" s="111">
        <f>IF(AN121=21,I121,0)</f>
      </c>
      <c r="AN121" s="111" t="n">
        <v>21</v>
      </c>
      <c r="AO121" s="111">
        <f>H121*0</f>
      </c>
      <c r="AP121" s="111">
        <f>H121*(1-0)</f>
      </c>
      <c r="AQ121" s="153" t="s">
        <v>130</v>
      </c>
      <c r="AV121" s="111">
        <f>AW121+AX121</f>
      </c>
      <c r="AW121" s="111">
        <f>G121*AO121</f>
      </c>
      <c r="AX121" s="111">
        <f>G121*AP121</f>
      </c>
      <c r="AY121" s="153" t="s">
        <v>4112</v>
      </c>
      <c r="AZ121" s="153" t="s">
        <v>3855</v>
      </c>
      <c r="BA121" s="132" t="s">
        <v>3856</v>
      </c>
      <c r="BC121" s="111">
        <f>AW121+AX121</f>
      </c>
      <c r="BD121" s="111">
        <f>H121/(100-BE121)*100</f>
      </c>
      <c r="BE121" s="111" t="n">
        <v>0</v>
      </c>
      <c r="BF121" s="111">
        <f>121</f>
      </c>
      <c r="BH121" s="111">
        <f>G121*AO121</f>
      </c>
      <c r="BI121" s="111">
        <f>G121*AP121</f>
      </c>
      <c r="BJ121" s="111">
        <f>G121*H121</f>
      </c>
      <c r="BK121" s="111"/>
      <c r="BL121" s="111"/>
      <c r="BW121" s="111" t="n">
        <v>21</v>
      </c>
      <c r="BX121" s="14" t="s">
        <v>4118</v>
      </c>
    </row>
    <row r="122">
      <c r="A122" s="9" t="s">
        <v>675</v>
      </c>
      <c r="B122" s="10" t="s">
        <v>89</v>
      </c>
      <c r="C122" s="10" t="s">
        <v>4120</v>
      </c>
      <c r="D122" s="14" t="s">
        <v>4121</v>
      </c>
      <c r="E122" s="10"/>
      <c r="F122" s="10" t="s">
        <v>3860</v>
      </c>
      <c r="G122" s="111">
        <f>'Stavební rozpočet'!G2647</f>
      </c>
      <c r="H122" s="111">
        <f>'Stavební rozpočet'!H2647</f>
      </c>
      <c r="I122" s="111">
        <f>G122*H122</f>
      </c>
      <c r="J122" s="153" t="s">
        <v>4</v>
      </c>
      <c r="K122" s="146"/>
      <c r="Z122" s="111">
        <f>IF(AQ122="5",BJ122,0)</f>
      </c>
      <c r="AB122" s="111">
        <f>IF(AQ122="1",BH122,0)</f>
      </c>
      <c r="AC122" s="111">
        <f>IF(AQ122="1",BI122,0)</f>
      </c>
      <c r="AD122" s="111">
        <f>IF(AQ122="7",BH122,0)</f>
      </c>
      <c r="AE122" s="111">
        <f>IF(AQ122="7",BI122,0)</f>
      </c>
      <c r="AF122" s="111">
        <f>IF(AQ122="2",BH122,0)</f>
      </c>
      <c r="AG122" s="111">
        <f>IF(AQ122="2",BI122,0)</f>
      </c>
      <c r="AH122" s="111">
        <f>IF(AQ122="0",BJ122,0)</f>
      </c>
      <c r="AI122" s="132" t="s">
        <v>89</v>
      </c>
      <c r="AJ122" s="111">
        <f>IF(AN122=0,I122,0)</f>
      </c>
      <c r="AK122" s="111">
        <f>IF(AN122=12,I122,0)</f>
      </c>
      <c r="AL122" s="111">
        <f>IF(AN122=21,I122,0)</f>
      </c>
      <c r="AN122" s="111" t="n">
        <v>21</v>
      </c>
      <c r="AO122" s="111">
        <f>H122*0</f>
      </c>
      <c r="AP122" s="111">
        <f>H122*(1-0)</f>
      </c>
      <c r="AQ122" s="153" t="s">
        <v>130</v>
      </c>
      <c r="AV122" s="111">
        <f>AW122+AX122</f>
      </c>
      <c r="AW122" s="111">
        <f>G122*AO122</f>
      </c>
      <c r="AX122" s="111">
        <f>G122*AP122</f>
      </c>
      <c r="AY122" s="153" t="s">
        <v>4112</v>
      </c>
      <c r="AZ122" s="153" t="s">
        <v>3855</v>
      </c>
      <c r="BA122" s="132" t="s">
        <v>3856</v>
      </c>
      <c r="BC122" s="111">
        <f>AW122+AX122</f>
      </c>
      <c r="BD122" s="111">
        <f>H122/(100-BE122)*100</f>
      </c>
      <c r="BE122" s="111" t="n">
        <v>0</v>
      </c>
      <c r="BF122" s="111">
        <f>122</f>
      </c>
      <c r="BH122" s="111">
        <f>G122*AO122</f>
      </c>
      <c r="BI122" s="111">
        <f>G122*AP122</f>
      </c>
      <c r="BJ122" s="111">
        <f>G122*H122</f>
      </c>
      <c r="BK122" s="111"/>
      <c r="BL122" s="111"/>
      <c r="BW122" s="111" t="n">
        <v>21</v>
      </c>
      <c r="BX122" s="14" t="s">
        <v>4121</v>
      </c>
    </row>
    <row r="123">
      <c r="A123" s="9" t="s">
        <v>688</v>
      </c>
      <c r="B123" s="10" t="s">
        <v>89</v>
      </c>
      <c r="C123" s="10" t="s">
        <v>4123</v>
      </c>
      <c r="D123" s="14" t="s">
        <v>4124</v>
      </c>
      <c r="E123" s="10"/>
      <c r="F123" s="10" t="s">
        <v>3854</v>
      </c>
      <c r="G123" s="111">
        <f>'Stavební rozpočet'!G2648</f>
      </c>
      <c r="H123" s="111">
        <f>'Stavební rozpočet'!H2648</f>
      </c>
      <c r="I123" s="111">
        <f>G123*H123</f>
      </c>
      <c r="J123" s="153" t="s">
        <v>4</v>
      </c>
      <c r="K123" s="146"/>
      <c r="Z123" s="111">
        <f>IF(AQ123="5",BJ123,0)</f>
      </c>
      <c r="AB123" s="111">
        <f>IF(AQ123="1",BH123,0)</f>
      </c>
      <c r="AC123" s="111">
        <f>IF(AQ123="1",BI123,0)</f>
      </c>
      <c r="AD123" s="111">
        <f>IF(AQ123="7",BH123,0)</f>
      </c>
      <c r="AE123" s="111">
        <f>IF(AQ123="7",BI123,0)</f>
      </c>
      <c r="AF123" s="111">
        <f>IF(AQ123="2",BH123,0)</f>
      </c>
      <c r="AG123" s="111">
        <f>IF(AQ123="2",BI123,0)</f>
      </c>
      <c r="AH123" s="111">
        <f>IF(AQ123="0",BJ123,0)</f>
      </c>
      <c r="AI123" s="132" t="s">
        <v>89</v>
      </c>
      <c r="AJ123" s="111">
        <f>IF(AN123=0,I123,0)</f>
      </c>
      <c r="AK123" s="111">
        <f>IF(AN123=12,I123,0)</f>
      </c>
      <c r="AL123" s="111">
        <f>IF(AN123=21,I123,0)</f>
      </c>
      <c r="AN123" s="111" t="n">
        <v>21</v>
      </c>
      <c r="AO123" s="111">
        <f>H123*0</f>
      </c>
      <c r="AP123" s="111">
        <f>H123*(1-0)</f>
      </c>
      <c r="AQ123" s="153" t="s">
        <v>130</v>
      </c>
      <c r="AV123" s="111">
        <f>AW123+AX123</f>
      </c>
      <c r="AW123" s="111">
        <f>G123*AO123</f>
      </c>
      <c r="AX123" s="111">
        <f>G123*AP123</f>
      </c>
      <c r="AY123" s="153" t="s">
        <v>4112</v>
      </c>
      <c r="AZ123" s="153" t="s">
        <v>3855</v>
      </c>
      <c r="BA123" s="132" t="s">
        <v>3856</v>
      </c>
      <c r="BC123" s="111">
        <f>AW123+AX123</f>
      </c>
      <c r="BD123" s="111">
        <f>H123/(100-BE123)*100</f>
      </c>
      <c r="BE123" s="111" t="n">
        <v>0</v>
      </c>
      <c r="BF123" s="111">
        <f>123</f>
      </c>
      <c r="BH123" s="111">
        <f>G123*AO123</f>
      </c>
      <c r="BI123" s="111">
        <f>G123*AP123</f>
      </c>
      <c r="BJ123" s="111">
        <f>G123*H123</f>
      </c>
      <c r="BK123" s="111"/>
      <c r="BL123" s="111"/>
      <c r="BW123" s="111" t="n">
        <v>21</v>
      </c>
      <c r="BX123" s="14" t="s">
        <v>4124</v>
      </c>
    </row>
    <row r="124">
      <c r="A124" s="9" t="s">
        <v>698</v>
      </c>
      <c r="B124" s="10" t="s">
        <v>89</v>
      </c>
      <c r="C124" s="10" t="s">
        <v>4126</v>
      </c>
      <c r="D124" s="14" t="s">
        <v>4127</v>
      </c>
      <c r="E124" s="10"/>
      <c r="F124" s="10" t="s">
        <v>3860</v>
      </c>
      <c r="G124" s="111">
        <f>'Stavební rozpočet'!G2649</f>
      </c>
      <c r="H124" s="111">
        <f>'Stavební rozpočet'!H2649</f>
      </c>
      <c r="I124" s="111">
        <f>G124*H124</f>
      </c>
      <c r="J124" s="153" t="s">
        <v>4</v>
      </c>
      <c r="K124" s="146"/>
      <c r="Z124" s="111">
        <f>IF(AQ124="5",BJ124,0)</f>
      </c>
      <c r="AB124" s="111">
        <f>IF(AQ124="1",BH124,0)</f>
      </c>
      <c r="AC124" s="111">
        <f>IF(AQ124="1",BI124,0)</f>
      </c>
      <c r="AD124" s="111">
        <f>IF(AQ124="7",BH124,0)</f>
      </c>
      <c r="AE124" s="111">
        <f>IF(AQ124="7",BI124,0)</f>
      </c>
      <c r="AF124" s="111">
        <f>IF(AQ124="2",BH124,0)</f>
      </c>
      <c r="AG124" s="111">
        <f>IF(AQ124="2",BI124,0)</f>
      </c>
      <c r="AH124" s="111">
        <f>IF(AQ124="0",BJ124,0)</f>
      </c>
      <c r="AI124" s="132" t="s">
        <v>89</v>
      </c>
      <c r="AJ124" s="111">
        <f>IF(AN124=0,I124,0)</f>
      </c>
      <c r="AK124" s="111">
        <f>IF(AN124=12,I124,0)</f>
      </c>
      <c r="AL124" s="111">
        <f>IF(AN124=21,I124,0)</f>
      </c>
      <c r="AN124" s="111" t="n">
        <v>21</v>
      </c>
      <c r="AO124" s="111">
        <f>H124*0</f>
      </c>
      <c r="AP124" s="111">
        <f>H124*(1-0)</f>
      </c>
      <c r="AQ124" s="153" t="s">
        <v>130</v>
      </c>
      <c r="AV124" s="111">
        <f>AW124+AX124</f>
      </c>
      <c r="AW124" s="111">
        <f>G124*AO124</f>
      </c>
      <c r="AX124" s="111">
        <f>G124*AP124</f>
      </c>
      <c r="AY124" s="153" t="s">
        <v>4112</v>
      </c>
      <c r="AZ124" s="153" t="s">
        <v>3855</v>
      </c>
      <c r="BA124" s="132" t="s">
        <v>3856</v>
      </c>
      <c r="BC124" s="111">
        <f>AW124+AX124</f>
      </c>
      <c r="BD124" s="111">
        <f>H124/(100-BE124)*100</f>
      </c>
      <c r="BE124" s="111" t="n">
        <v>0</v>
      </c>
      <c r="BF124" s="111">
        <f>124</f>
      </c>
      <c r="BH124" s="111">
        <f>G124*AO124</f>
      </c>
      <c r="BI124" s="111">
        <f>G124*AP124</f>
      </c>
      <c r="BJ124" s="111">
        <f>G124*H124</f>
      </c>
      <c r="BK124" s="111"/>
      <c r="BL124" s="111"/>
      <c r="BW124" s="111" t="n">
        <v>21</v>
      </c>
      <c r="BX124" s="14" t="s">
        <v>4127</v>
      </c>
    </row>
    <row r="125">
      <c r="A125" s="9" t="s">
        <v>704</v>
      </c>
      <c r="B125" s="10" t="s">
        <v>89</v>
      </c>
      <c r="C125" s="10" t="s">
        <v>4129</v>
      </c>
      <c r="D125" s="14" t="s">
        <v>4130</v>
      </c>
      <c r="E125" s="10"/>
      <c r="F125" s="10" t="s">
        <v>2935</v>
      </c>
      <c r="G125" s="111">
        <f>'Stavební rozpočet'!G2650</f>
      </c>
      <c r="H125" s="111">
        <f>'Stavební rozpočet'!H2650</f>
      </c>
      <c r="I125" s="111">
        <f>G125*H125</f>
      </c>
      <c r="J125" s="153" t="s">
        <v>4</v>
      </c>
      <c r="K125" s="146"/>
      <c r="Z125" s="111">
        <f>IF(AQ125="5",BJ125,0)</f>
      </c>
      <c r="AB125" s="111">
        <f>IF(AQ125="1",BH125,0)</f>
      </c>
      <c r="AC125" s="111">
        <f>IF(AQ125="1",BI125,0)</f>
      </c>
      <c r="AD125" s="111">
        <f>IF(AQ125="7",BH125,0)</f>
      </c>
      <c r="AE125" s="111">
        <f>IF(AQ125="7",BI125,0)</f>
      </c>
      <c r="AF125" s="111">
        <f>IF(AQ125="2",BH125,0)</f>
      </c>
      <c r="AG125" s="111">
        <f>IF(AQ125="2",BI125,0)</f>
      </c>
      <c r="AH125" s="111">
        <f>IF(AQ125="0",BJ125,0)</f>
      </c>
      <c r="AI125" s="132" t="s">
        <v>89</v>
      </c>
      <c r="AJ125" s="111">
        <f>IF(AN125=0,I125,0)</f>
      </c>
      <c r="AK125" s="111">
        <f>IF(AN125=12,I125,0)</f>
      </c>
      <c r="AL125" s="111">
        <f>IF(AN125=21,I125,0)</f>
      </c>
      <c r="AN125" s="111" t="n">
        <v>21</v>
      </c>
      <c r="AO125" s="111">
        <f>H125*0</f>
      </c>
      <c r="AP125" s="111">
        <f>H125*(1-0)</f>
      </c>
      <c r="AQ125" s="153" t="s">
        <v>130</v>
      </c>
      <c r="AV125" s="111">
        <f>AW125+AX125</f>
      </c>
      <c r="AW125" s="111">
        <f>G125*AO125</f>
      </c>
      <c r="AX125" s="111">
        <f>G125*AP125</f>
      </c>
      <c r="AY125" s="153" t="s">
        <v>4112</v>
      </c>
      <c r="AZ125" s="153" t="s">
        <v>3855</v>
      </c>
      <c r="BA125" s="132" t="s">
        <v>3856</v>
      </c>
      <c r="BC125" s="111">
        <f>AW125+AX125</f>
      </c>
      <c r="BD125" s="111">
        <f>H125/(100-BE125)*100</f>
      </c>
      <c r="BE125" s="111" t="n">
        <v>0</v>
      </c>
      <c r="BF125" s="111">
        <f>125</f>
      </c>
      <c r="BH125" s="111">
        <f>G125*AO125</f>
      </c>
      <c r="BI125" s="111">
        <f>G125*AP125</f>
      </c>
      <c r="BJ125" s="111">
        <f>G125*H125</f>
      </c>
      <c r="BK125" s="111"/>
      <c r="BL125" s="111"/>
      <c r="BW125" s="111" t="n">
        <v>21</v>
      </c>
      <c r="BX125" s="14" t="s">
        <v>4130</v>
      </c>
    </row>
    <row r="126">
      <c r="A126" s="17" t="s">
        <v>710</v>
      </c>
      <c r="B126" s="18" t="s">
        <v>89</v>
      </c>
      <c r="C126" s="18" t="s">
        <v>4132</v>
      </c>
      <c r="D126" s="164" t="s">
        <v>4133</v>
      </c>
      <c r="E126" s="18"/>
      <c r="F126" s="18" t="s">
        <v>2277</v>
      </c>
      <c r="G126" s="165">
        <f>'Stavební rozpočet'!G2651</f>
      </c>
      <c r="H126" s="165">
        <f>'Stavební rozpočet'!H2651</f>
      </c>
      <c r="I126" s="165">
        <f>G126*H126</f>
      </c>
      <c r="J126" s="167" t="s">
        <v>4</v>
      </c>
      <c r="K126" s="168"/>
      <c r="Z126" s="111">
        <f>IF(AQ126="5",BJ126,0)</f>
      </c>
      <c r="AB126" s="111">
        <f>IF(AQ126="1",BH126,0)</f>
      </c>
      <c r="AC126" s="111">
        <f>IF(AQ126="1",BI126,0)</f>
      </c>
      <c r="AD126" s="111">
        <f>IF(AQ126="7",BH126,0)</f>
      </c>
      <c r="AE126" s="111">
        <f>IF(AQ126="7",BI126,0)</f>
      </c>
      <c r="AF126" s="111">
        <f>IF(AQ126="2",BH126,0)</f>
      </c>
      <c r="AG126" s="111">
        <f>IF(AQ126="2",BI126,0)</f>
      </c>
      <c r="AH126" s="111">
        <f>IF(AQ126="0",BJ126,0)</f>
      </c>
      <c r="AI126" s="132" t="s">
        <v>89</v>
      </c>
      <c r="AJ126" s="111">
        <f>IF(AN126=0,I126,0)</f>
      </c>
      <c r="AK126" s="111">
        <f>IF(AN126=12,I126,0)</f>
      </c>
      <c r="AL126" s="111">
        <f>IF(AN126=21,I126,0)</f>
      </c>
      <c r="AN126" s="111" t="n">
        <v>21</v>
      </c>
      <c r="AO126" s="111">
        <f>H126*0</f>
      </c>
      <c r="AP126" s="111">
        <f>H126*(1-0)</f>
      </c>
      <c r="AQ126" s="153" t="s">
        <v>130</v>
      </c>
      <c r="AV126" s="111">
        <f>AW126+AX126</f>
      </c>
      <c r="AW126" s="111">
        <f>G126*AO126</f>
      </c>
      <c r="AX126" s="111">
        <f>G126*AP126</f>
      </c>
      <c r="AY126" s="153" t="s">
        <v>4112</v>
      </c>
      <c r="AZ126" s="153" t="s">
        <v>3855</v>
      </c>
      <c r="BA126" s="132" t="s">
        <v>3856</v>
      </c>
      <c r="BC126" s="111">
        <f>AW126+AX126</f>
      </c>
      <c r="BD126" s="111">
        <f>H126/(100-BE126)*100</f>
      </c>
      <c r="BE126" s="111" t="n">
        <v>0</v>
      </c>
      <c r="BF126" s="111">
        <f>126</f>
      </c>
      <c r="BH126" s="111">
        <f>G126*AO126</f>
      </c>
      <c r="BI126" s="111">
        <f>G126*AP126</f>
      </c>
      <c r="BJ126" s="111">
        <f>G126*H126</f>
      </c>
      <c r="BK126" s="111"/>
      <c r="BL126" s="111"/>
      <c r="BW126" s="111" t="n">
        <v>21</v>
      </c>
      <c r="BX126" s="14" t="s">
        <v>4133</v>
      </c>
    </row>
    <row r="127">
      <c r="I127" s="115">
        <f>I13+I16+I38+I106+I110+I113+I116+I118</f>
      </c>
    </row>
    <row r="128">
      <c r="A128" s="116" t="s">
        <v>56</v>
      </c>
    </row>
    <row r="129" customHeight="true" ht="12.75">
      <c r="A129" s="14" t="s">
        <v>4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H8:H9"/>
    <mergeCell ref="J2:K3"/>
    <mergeCell ref="J4:K5"/>
    <mergeCell ref="J6:K7"/>
    <mergeCell ref="J8:K9"/>
    <mergeCell ref="D10:E10"/>
    <mergeCell ref="D11:E11"/>
    <mergeCell ref="D12:E12"/>
    <mergeCell ref="D13:E13"/>
    <mergeCell ref="D14:E14"/>
    <mergeCell ref="D15:E15"/>
    <mergeCell ref="D16:E16"/>
    <mergeCell ref="D17:E17"/>
    <mergeCell ref="D23:E23"/>
    <mergeCell ref="D25:E25"/>
    <mergeCell ref="D26:E26"/>
    <mergeCell ref="D28:E28"/>
    <mergeCell ref="D29:E29"/>
    <mergeCell ref="D32:E32"/>
    <mergeCell ref="D35:E35"/>
    <mergeCell ref="D38:E38"/>
    <mergeCell ref="D39:E39"/>
    <mergeCell ref="D41:E41"/>
    <mergeCell ref="D43:E43"/>
    <mergeCell ref="D45:E45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A129:K129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213"/>
  <sheetViews>
    <sheetView workbookViewId="0" showZeros="true" showFormulas="false" showGridLines="true" showRowColHeaders="true">
      <pane topLeftCell="A12" state="frozen" activePane="bottomLeft" ySplit="11"/>
      <selection pane="bottomLeft" sqref="A213:K213" activeCell="A213"/>
    </sheetView>
  </sheetViews>
  <sheetFormatPr defaultColWidth="12.140625" customHeight="true" defaultRowHeight="15"/>
  <cols>
    <col max="1" min="1" style="0" width="3.140625" customWidth="true"/>
    <col max="2" min="2" style="0" width="7.5703125" customWidth="true"/>
    <col max="3" min="3" style="0" width="17.85546875" customWidth="true"/>
    <col max="4" min="4" style="0" width="42.85546875" customWidth="true"/>
    <col max="5" min="5" style="0" width="35.7109375" customWidth="true"/>
    <col max="6" min="6" style="0" width="7.42578125" customWidth="true"/>
    <col max="7" min="7" style="0" width="12.85546875" customWidth="true"/>
    <col max="8" min="8" style="0" width="12" customWidth="true"/>
    <col max="9" min="9" style="0" width="15.7109375" customWidth="true"/>
    <col max="10" min="10" style="0" width="13.42578125" customWidth="true"/>
    <col max="11" min="11" style="0" width="12.140625"/>
    <col max="75" min="25" style="0" width="12.140625" hidden="true"/>
    <col max="76" min="76" style="0" width="78.5703125" customWidth="true" hidden="true"/>
    <col max="78" min="77" style="0" width="12.140625" hidden="true"/>
  </cols>
  <sheetData>
    <row r="1" customHeight="true" ht="54.75">
      <c r="A1" s="2" t="s">
        <v>5091</v>
      </c>
      <c r="B1" s="2"/>
      <c r="C1" s="2"/>
      <c r="D1" s="2"/>
      <c r="E1" s="2"/>
      <c r="F1" s="2"/>
      <c r="G1" s="2"/>
      <c r="H1" s="2"/>
      <c r="I1" s="2"/>
      <c r="J1" s="2"/>
      <c r="K1" s="2"/>
      <c r="AS1" s="117">
        <f>SUM(AJ1:AJ2)</f>
      </c>
      <c r="AT1" s="117">
        <f>SUM(AK1:AK2)</f>
      </c>
      <c r="AU1" s="117">
        <f>SUM(AL1:AL2)</f>
      </c>
    </row>
    <row r="2">
      <c r="A2" s="3" t="s">
        <v>1</v>
      </c>
      <c r="B2" s="4"/>
      <c r="C2" s="4"/>
      <c r="D2" s="5">
        <f>'Stavební rozpočet'!D2</f>
      </c>
      <c r="E2" s="6"/>
      <c r="F2" s="4" t="s">
        <v>77</v>
      </c>
      <c r="G2" s="4"/>
      <c r="H2" s="7">
        <f>'Stavební rozpočet'!H2</f>
      </c>
      <c r="I2" s="7" t="s">
        <v>2</v>
      </c>
      <c r="J2" s="7">
        <f>'Stavební rozpočet'!J2</f>
      </c>
      <c r="K2" s="8"/>
    </row>
    <row r="3">
      <c r="A3" s="9"/>
      <c r="B3" s="10"/>
      <c r="C3" s="10"/>
      <c r="D3" s="11"/>
      <c r="E3" s="11"/>
      <c r="F3" s="10"/>
      <c r="G3" s="10"/>
      <c r="H3" s="10"/>
      <c r="I3" s="10"/>
      <c r="J3" s="10"/>
      <c r="K3" s="12"/>
    </row>
    <row r="4">
      <c r="A4" s="13" t="s">
        <v>5</v>
      </c>
      <c r="B4" s="10"/>
      <c r="C4" s="10"/>
      <c r="D4" s="14">
        <f>'Stavební rozpočet'!D4</f>
      </c>
      <c r="E4" s="10"/>
      <c r="F4" s="10" t="s">
        <v>9</v>
      </c>
      <c r="G4" s="10"/>
      <c r="H4" s="14">
        <f>'Stavební rozpočet'!H4</f>
      </c>
      <c r="I4" s="14" t="s">
        <v>6</v>
      </c>
      <c r="J4" s="14">
        <f>'Stavební rozpočet'!J4</f>
      </c>
      <c r="K4" s="12"/>
    </row>
    <row r="5">
      <c r="A5" s="9"/>
      <c r="B5" s="10"/>
      <c r="C5" s="10"/>
      <c r="D5" s="10"/>
      <c r="E5" s="10"/>
      <c r="F5" s="10"/>
      <c r="G5" s="10"/>
      <c r="H5" s="10"/>
      <c r="I5" s="10"/>
      <c r="J5" s="10"/>
      <c r="K5" s="12"/>
    </row>
    <row r="6">
      <c r="A6" s="13" t="s">
        <v>7</v>
      </c>
      <c r="B6" s="10"/>
      <c r="C6" s="10"/>
      <c r="D6" s="14">
        <f>'Stavební rozpočet'!D6</f>
      </c>
      <c r="E6" s="10"/>
      <c r="F6" s="10" t="s">
        <v>10</v>
      </c>
      <c r="G6" s="10"/>
      <c r="H6" s="14">
        <f>'Stavební rozpočet'!H6</f>
      </c>
      <c r="I6" s="14" t="s">
        <v>8</v>
      </c>
      <c r="J6" s="14">
        <f>'Stavební rozpočet'!J6</f>
      </c>
      <c r="K6" s="12"/>
    </row>
    <row r="7">
      <c r="A7" s="9"/>
      <c r="B7" s="10"/>
      <c r="C7" s="10"/>
      <c r="D7" s="10"/>
      <c r="E7" s="10"/>
      <c r="F7" s="10"/>
      <c r="G7" s="10"/>
      <c r="H7" s="10"/>
      <c r="I7" s="10"/>
      <c r="J7" s="10"/>
      <c r="K7" s="12"/>
    </row>
    <row r="8">
      <c r="A8" s="13" t="s">
        <v>12</v>
      </c>
      <c r="B8" s="10"/>
      <c r="C8" s="10"/>
      <c r="D8" s="14">
        <f>'Stavební rozpočet'!D8</f>
      </c>
      <c r="E8" s="10"/>
      <c r="F8" s="10" t="s">
        <v>78</v>
      </c>
      <c r="G8" s="10"/>
      <c r="H8" s="14">
        <f>'Stavební rozpočet'!H8</f>
      </c>
      <c r="I8" s="14" t="s">
        <v>13</v>
      </c>
      <c r="J8" s="14">
        <f>'Stavební rozpočet'!J8</f>
      </c>
      <c r="K8" s="12"/>
    </row>
    <row r="9">
      <c r="A9" s="94"/>
      <c r="B9" s="95"/>
      <c r="C9" s="95"/>
      <c r="D9" s="95"/>
      <c r="E9" s="95"/>
      <c r="F9" s="95"/>
      <c r="G9" s="95"/>
      <c r="H9" s="95"/>
      <c r="I9" s="95"/>
      <c r="J9" s="95"/>
      <c r="K9" s="19"/>
    </row>
    <row r="10">
      <c r="A10" s="124" t="s">
        <v>103</v>
      </c>
      <c r="B10" s="125" t="s">
        <v>81</v>
      </c>
      <c r="C10" s="125" t="s">
        <v>104</v>
      </c>
      <c r="D10" s="126" t="s">
        <v>105</v>
      </c>
      <c r="E10" s="127"/>
      <c r="F10" s="125" t="s">
        <v>106</v>
      </c>
      <c r="G10" s="128" t="s">
        <v>107</v>
      </c>
      <c r="H10" s="169" t="s">
        <v>108</v>
      </c>
      <c r="I10" s="101" t="s">
        <v>80</v>
      </c>
      <c r="J10" s="130" t="s">
        <v>109</v>
      </c>
      <c r="K10" s="131"/>
      <c r="BK10" s="132" t="s">
        <v>110</v>
      </c>
      <c r="BL10" s="133" t="s">
        <v>111</v>
      </c>
      <c r="BW10" s="133" t="s">
        <v>112</v>
      </c>
    </row>
    <row r="11">
      <c r="A11" s="134" t="s">
        <v>79</v>
      </c>
      <c r="B11" s="135" t="s">
        <v>79</v>
      </c>
      <c r="C11" s="135" t="s">
        <v>79</v>
      </c>
      <c r="D11" s="103" t="s">
        <v>113</v>
      </c>
      <c r="E11" s="105"/>
      <c r="F11" s="135" t="s">
        <v>79</v>
      </c>
      <c r="G11" s="135" t="s">
        <v>79</v>
      </c>
      <c r="H11" s="170" t="s">
        <v>114</v>
      </c>
      <c r="I11" s="106" t="s">
        <v>83</v>
      </c>
      <c r="J11" s="137" t="s">
        <v>115</v>
      </c>
      <c r="K11" s="138"/>
      <c r="Z11" s="132" t="s">
        <v>116</v>
      </c>
      <c r="AA11" s="132" t="s">
        <v>117</v>
      </c>
      <c r="AB11" s="132" t="s">
        <v>118</v>
      </c>
      <c r="AC11" s="132" t="s">
        <v>119</v>
      </c>
      <c r="AD11" s="132" t="s">
        <v>120</v>
      </c>
      <c r="AE11" s="132" t="s">
        <v>121</v>
      </c>
      <c r="AF11" s="132" t="s">
        <v>122</v>
      </c>
      <c r="AG11" s="132" t="s">
        <v>123</v>
      </c>
      <c r="AH11" s="132" t="s">
        <v>124</v>
      </c>
      <c r="BH11" s="132" t="s">
        <v>125</v>
      </c>
      <c r="BI11" s="132" t="s">
        <v>126</v>
      </c>
      <c r="BJ11" s="132" t="s">
        <v>127</v>
      </c>
    </row>
    <row r="12">
      <c r="A12" s="139" t="s">
        <v>4</v>
      </c>
      <c r="B12" s="140" t="s">
        <v>91</v>
      </c>
      <c r="C12" s="140" t="s">
        <v>4</v>
      </c>
      <c r="D12" s="141" t="s">
        <v>92</v>
      </c>
      <c r="E12" s="140"/>
      <c r="F12" s="142" t="s">
        <v>79</v>
      </c>
      <c r="G12" s="142" t="s">
        <v>79</v>
      </c>
      <c r="H12" s="142" t="s">
        <v>79</v>
      </c>
      <c r="I12" s="144">
        <f>I13+I16+I24+I51+I88+I107+I139+I190+I197+I207</f>
      </c>
      <c r="J12" s="145" t="s">
        <v>4</v>
      </c>
      <c r="K12" s="146"/>
    </row>
    <row r="13">
      <c r="A13" s="147" t="s">
        <v>4</v>
      </c>
      <c r="B13" s="148" t="s">
        <v>91</v>
      </c>
      <c r="C13" s="148" t="s">
        <v>765</v>
      </c>
      <c r="D13" s="149" t="s">
        <v>3851</v>
      </c>
      <c r="E13" s="148"/>
      <c r="F13" s="150" t="s">
        <v>79</v>
      </c>
      <c r="G13" s="150" t="s">
        <v>79</v>
      </c>
      <c r="H13" s="150" t="s">
        <v>79</v>
      </c>
      <c r="I13" s="117">
        <f>SUM(I14:I14)</f>
      </c>
      <c r="J13" s="132" t="s">
        <v>4</v>
      </c>
      <c r="K13" s="146"/>
      <c r="AI13" s="132" t="s">
        <v>91</v>
      </c>
      <c r="AS13" s="117">
        <f>SUM(AJ14:AJ14)</f>
      </c>
      <c r="AT13" s="117">
        <f>SUM(AK14:AK14)</f>
      </c>
      <c r="AU13" s="117">
        <f>SUM(AL14:AL14)</f>
      </c>
    </row>
    <row r="14">
      <c r="A14" s="9" t="s">
        <v>130</v>
      </c>
      <c r="B14" s="10" t="s">
        <v>91</v>
      </c>
      <c r="C14" s="10" t="s">
        <v>4135</v>
      </c>
      <c r="D14" s="14" t="s">
        <v>4136</v>
      </c>
      <c r="E14" s="10"/>
      <c r="F14" s="10" t="s">
        <v>1324</v>
      </c>
      <c r="G14" s="111">
        <f>'Stavební rozpočet'!G2654</f>
      </c>
      <c r="H14" s="111">
        <f>'Stavební rozpočet'!H2654</f>
      </c>
      <c r="I14" s="111">
        <f>G14*H14</f>
      </c>
      <c r="J14" s="153" t="s">
        <v>4</v>
      </c>
      <c r="K14" s="146"/>
      <c r="Z14" s="111">
        <f>IF(AQ14="5",BJ14,0)</f>
      </c>
      <c r="AB14" s="111">
        <f>IF(AQ14="1",BH14,0)</f>
      </c>
      <c r="AC14" s="111">
        <f>IF(AQ14="1",BI14,0)</f>
      </c>
      <c r="AD14" s="111">
        <f>IF(AQ14="7",BH14,0)</f>
      </c>
      <c r="AE14" s="111">
        <f>IF(AQ14="7",BI14,0)</f>
      </c>
      <c r="AF14" s="111">
        <f>IF(AQ14="2",BH14,0)</f>
      </c>
      <c r="AG14" s="111">
        <f>IF(AQ14="2",BI14,0)</f>
      </c>
      <c r="AH14" s="111">
        <f>IF(AQ14="0",BJ14,0)</f>
      </c>
      <c r="AI14" s="132" t="s">
        <v>91</v>
      </c>
      <c r="AJ14" s="111">
        <f>IF(AN14=0,I14,0)</f>
      </c>
      <c r="AK14" s="111">
        <f>IF(AN14=12,I14,0)</f>
      </c>
      <c r="AL14" s="111">
        <f>IF(AN14=21,I14,0)</f>
      </c>
      <c r="AN14" s="111" t="n">
        <v>21</v>
      </c>
      <c r="AO14" s="111">
        <f>H14*0</f>
      </c>
      <c r="AP14" s="111">
        <f>H14*(1-0)</f>
      </c>
      <c r="AQ14" s="153" t="s">
        <v>130</v>
      </c>
      <c r="AV14" s="111">
        <f>AW14+AX14</f>
      </c>
      <c r="AW14" s="111">
        <f>G14*AO14</f>
      </c>
      <c r="AX14" s="111">
        <f>G14*AP14</f>
      </c>
      <c r="AY14" s="153" t="s">
        <v>1436</v>
      </c>
      <c r="AZ14" s="153" t="s">
        <v>4137</v>
      </c>
      <c r="BA14" s="132" t="s">
        <v>4138</v>
      </c>
      <c r="BC14" s="111">
        <f>AW14+AX14</f>
      </c>
      <c r="BD14" s="111">
        <f>H14/(100-BE14)*100</f>
      </c>
      <c r="BE14" s="111" t="n">
        <v>0</v>
      </c>
      <c r="BF14" s="111">
        <f>14</f>
      </c>
      <c r="BH14" s="111">
        <f>G14*AO14</f>
      </c>
      <c r="BI14" s="111">
        <f>G14*AP14</f>
      </c>
      <c r="BJ14" s="111">
        <f>G14*H14</f>
      </c>
      <c r="BK14" s="111"/>
      <c r="BL14" s="111" t="n">
        <v>95</v>
      </c>
      <c r="BW14" s="111" t="n">
        <v>21</v>
      </c>
      <c r="BX14" s="14" t="s">
        <v>4136</v>
      </c>
    </row>
    <row r="15">
      <c r="A15" s="154"/>
      <c r="B15" s="155"/>
      <c r="C15" s="155"/>
      <c r="D15" s="156" t="s">
        <v>4139</v>
      </c>
      <c r="E15" s="156" t="s">
        <v>4140</v>
      </c>
      <c r="F15" s="155"/>
      <c r="G15" s="157" t="n">
        <v>16</v>
      </c>
      <c r="H15" s="155"/>
      <c r="I15" s="155"/>
      <c r="J15" s="155"/>
      <c r="K15" s="146"/>
    </row>
    <row r="16">
      <c r="A16" s="147" t="s">
        <v>4</v>
      </c>
      <c r="B16" s="148" t="s">
        <v>91</v>
      </c>
      <c r="C16" s="148" t="s">
        <v>4141</v>
      </c>
      <c r="D16" s="149" t="s">
        <v>4142</v>
      </c>
      <c r="E16" s="148"/>
      <c r="F16" s="150" t="s">
        <v>79</v>
      </c>
      <c r="G16" s="150" t="s">
        <v>79</v>
      </c>
      <c r="H16" s="150" t="s">
        <v>79</v>
      </c>
      <c r="I16" s="117">
        <f>SUM(I17:I23)</f>
      </c>
      <c r="J16" s="132" t="s">
        <v>4</v>
      </c>
      <c r="K16" s="146"/>
      <c r="AI16" s="132" t="s">
        <v>91</v>
      </c>
      <c r="AS16" s="117">
        <f>SUM(AJ17:AJ23)</f>
      </c>
      <c r="AT16" s="117">
        <f>SUM(AK17:AK23)</f>
      </c>
      <c r="AU16" s="117">
        <f>SUM(AL17:AL23)</f>
      </c>
    </row>
    <row r="17">
      <c r="A17" s="9" t="s">
        <v>140</v>
      </c>
      <c r="B17" s="10" t="s">
        <v>91</v>
      </c>
      <c r="C17" s="10" t="s">
        <v>4110</v>
      </c>
      <c r="D17" s="14" t="s">
        <v>4144</v>
      </c>
      <c r="E17" s="10"/>
      <c r="F17" s="10" t="s">
        <v>1324</v>
      </c>
      <c r="G17" s="111">
        <f>'Stavební rozpočet'!G2657</f>
      </c>
      <c r="H17" s="111">
        <f>'Stavební rozpočet'!H2657</f>
      </c>
      <c r="I17" s="111">
        <f>G17*H17</f>
      </c>
      <c r="J17" s="153" t="s">
        <v>4</v>
      </c>
      <c r="K17" s="146"/>
      <c r="Z17" s="111">
        <f>IF(AQ17="5",BJ17,0)</f>
      </c>
      <c r="AB17" s="111">
        <f>IF(AQ17="1",BH17,0)</f>
      </c>
      <c r="AC17" s="111">
        <f>IF(AQ17="1",BI17,0)</f>
      </c>
      <c r="AD17" s="111">
        <f>IF(AQ17="7",BH17,0)</f>
      </c>
      <c r="AE17" s="111">
        <f>IF(AQ17="7",BI17,0)</f>
      </c>
      <c r="AF17" s="111">
        <f>IF(AQ17="2",BH17,0)</f>
      </c>
      <c r="AG17" s="111">
        <f>IF(AQ17="2",BI17,0)</f>
      </c>
      <c r="AH17" s="111">
        <f>IF(AQ17="0",BJ17,0)</f>
      </c>
      <c r="AI17" s="132" t="s">
        <v>91</v>
      </c>
      <c r="AJ17" s="111">
        <f>IF(AN17=0,I17,0)</f>
      </c>
      <c r="AK17" s="111">
        <f>IF(AN17=12,I17,0)</f>
      </c>
      <c r="AL17" s="111">
        <f>IF(AN17=21,I17,0)</f>
      </c>
      <c r="AN17" s="111" t="n">
        <v>21</v>
      </c>
      <c r="AO17" s="111">
        <f>H17*0</f>
      </c>
      <c r="AP17" s="111">
        <f>H17*(1-0)</f>
      </c>
      <c r="AQ17" s="153" t="s">
        <v>130</v>
      </c>
      <c r="AV17" s="111">
        <f>AW17+AX17</f>
      </c>
      <c r="AW17" s="111">
        <f>G17*AO17</f>
      </c>
      <c r="AX17" s="111">
        <f>G17*AP17</f>
      </c>
      <c r="AY17" s="153" t="s">
        <v>4145</v>
      </c>
      <c r="AZ17" s="153" t="s">
        <v>4137</v>
      </c>
      <c r="BA17" s="132" t="s">
        <v>4138</v>
      </c>
      <c r="BC17" s="111">
        <f>AW17+AX17</f>
      </c>
      <c r="BD17" s="111">
        <f>H17/(100-BE17)*100</f>
      </c>
      <c r="BE17" s="111" t="n">
        <v>0</v>
      </c>
      <c r="BF17" s="111">
        <f>17</f>
      </c>
      <c r="BH17" s="111">
        <f>G17*AO17</f>
      </c>
      <c r="BI17" s="111">
        <f>G17*AP17</f>
      </c>
      <c r="BJ17" s="111">
        <f>G17*H17</f>
      </c>
      <c r="BK17" s="111"/>
      <c r="BL17" s="111"/>
      <c r="BW17" s="111" t="n">
        <v>21</v>
      </c>
      <c r="BX17" s="14" t="s">
        <v>4144</v>
      </c>
    </row>
    <row r="18">
      <c r="A18" s="9" t="s">
        <v>138</v>
      </c>
      <c r="B18" s="10" t="s">
        <v>91</v>
      </c>
      <c r="C18" s="10" t="s">
        <v>4147</v>
      </c>
      <c r="D18" s="14" t="s">
        <v>4148</v>
      </c>
      <c r="E18" s="10"/>
      <c r="F18" s="10" t="s">
        <v>1324</v>
      </c>
      <c r="G18" s="111">
        <f>'Stavební rozpočet'!G2658</f>
      </c>
      <c r="H18" s="111">
        <f>'Stavební rozpočet'!H2658</f>
      </c>
      <c r="I18" s="111">
        <f>G18*H18</f>
      </c>
      <c r="J18" s="153" t="s">
        <v>4</v>
      </c>
      <c r="K18" s="146"/>
      <c r="Z18" s="111">
        <f>IF(AQ18="5",BJ18,0)</f>
      </c>
      <c r="AB18" s="111">
        <f>IF(AQ18="1",BH18,0)</f>
      </c>
      <c r="AC18" s="111">
        <f>IF(AQ18="1",BI18,0)</f>
      </c>
      <c r="AD18" s="111">
        <f>IF(AQ18="7",BH18,0)</f>
      </c>
      <c r="AE18" s="111">
        <f>IF(AQ18="7",BI18,0)</f>
      </c>
      <c r="AF18" s="111">
        <f>IF(AQ18="2",BH18,0)</f>
      </c>
      <c r="AG18" s="111">
        <f>IF(AQ18="2",BI18,0)</f>
      </c>
      <c r="AH18" s="111">
        <f>IF(AQ18="0",BJ18,0)</f>
      </c>
      <c r="AI18" s="132" t="s">
        <v>91</v>
      </c>
      <c r="AJ18" s="111">
        <f>IF(AN18=0,I18,0)</f>
      </c>
      <c r="AK18" s="111">
        <f>IF(AN18=12,I18,0)</f>
      </c>
      <c r="AL18" s="111">
        <f>IF(AN18=21,I18,0)</f>
      </c>
      <c r="AN18" s="111" t="n">
        <v>21</v>
      </c>
      <c r="AO18" s="111">
        <f>H18*0</f>
      </c>
      <c r="AP18" s="111">
        <f>H18*(1-0)</f>
      </c>
      <c r="AQ18" s="153" t="s">
        <v>130</v>
      </c>
      <c r="AV18" s="111">
        <f>AW18+AX18</f>
      </c>
      <c r="AW18" s="111">
        <f>G18*AO18</f>
      </c>
      <c r="AX18" s="111">
        <f>G18*AP18</f>
      </c>
      <c r="AY18" s="153" t="s">
        <v>4145</v>
      </c>
      <c r="AZ18" s="153" t="s">
        <v>4137</v>
      </c>
      <c r="BA18" s="132" t="s">
        <v>4138</v>
      </c>
      <c r="BC18" s="111">
        <f>AW18+AX18</f>
      </c>
      <c r="BD18" s="111">
        <f>H18/(100-BE18)*100</f>
      </c>
      <c r="BE18" s="111" t="n">
        <v>0</v>
      </c>
      <c r="BF18" s="111">
        <f>18</f>
      </c>
      <c r="BH18" s="111">
        <f>G18*AO18</f>
      </c>
      <c r="BI18" s="111">
        <f>G18*AP18</f>
      </c>
      <c r="BJ18" s="111">
        <f>G18*H18</f>
      </c>
      <c r="BK18" s="111"/>
      <c r="BL18" s="111"/>
      <c r="BW18" s="111" t="n">
        <v>21</v>
      </c>
      <c r="BX18" s="14" t="s">
        <v>4148</v>
      </c>
    </row>
    <row r="19">
      <c r="A19" s="9" t="s">
        <v>149</v>
      </c>
      <c r="B19" s="10" t="s">
        <v>91</v>
      </c>
      <c r="C19" s="10" t="s">
        <v>4150</v>
      </c>
      <c r="D19" s="14" t="s">
        <v>4151</v>
      </c>
      <c r="E19" s="10"/>
      <c r="F19" s="10" t="s">
        <v>1962</v>
      </c>
      <c r="G19" s="111">
        <f>'Stavební rozpočet'!G2659</f>
      </c>
      <c r="H19" s="111">
        <f>'Stavební rozpočet'!H2659</f>
      </c>
      <c r="I19" s="111">
        <f>G19*H19</f>
      </c>
      <c r="J19" s="153" t="s">
        <v>4</v>
      </c>
      <c r="K19" s="146"/>
      <c r="Z19" s="111">
        <f>IF(AQ19="5",BJ19,0)</f>
      </c>
      <c r="AB19" s="111">
        <f>IF(AQ19="1",BH19,0)</f>
      </c>
      <c r="AC19" s="111">
        <f>IF(AQ19="1",BI19,0)</f>
      </c>
      <c r="AD19" s="111">
        <f>IF(AQ19="7",BH19,0)</f>
      </c>
      <c r="AE19" s="111">
        <f>IF(AQ19="7",BI19,0)</f>
      </c>
      <c r="AF19" s="111">
        <f>IF(AQ19="2",BH19,0)</f>
      </c>
      <c r="AG19" s="111">
        <f>IF(AQ19="2",BI19,0)</f>
      </c>
      <c r="AH19" s="111">
        <f>IF(AQ19="0",BJ19,0)</f>
      </c>
      <c r="AI19" s="132" t="s">
        <v>91</v>
      </c>
      <c r="AJ19" s="111">
        <f>IF(AN19=0,I19,0)</f>
      </c>
      <c r="AK19" s="111">
        <f>IF(AN19=12,I19,0)</f>
      </c>
      <c r="AL19" s="111">
        <f>IF(AN19=21,I19,0)</f>
      </c>
      <c r="AN19" s="111" t="n">
        <v>21</v>
      </c>
      <c r="AO19" s="111">
        <f>H19*0</f>
      </c>
      <c r="AP19" s="111">
        <f>H19*(1-0)</f>
      </c>
      <c r="AQ19" s="153" t="s">
        <v>130</v>
      </c>
      <c r="AV19" s="111">
        <f>AW19+AX19</f>
      </c>
      <c r="AW19" s="111">
        <f>G19*AO19</f>
      </c>
      <c r="AX19" s="111">
        <f>G19*AP19</f>
      </c>
      <c r="AY19" s="153" t="s">
        <v>4145</v>
      </c>
      <c r="AZ19" s="153" t="s">
        <v>4137</v>
      </c>
      <c r="BA19" s="132" t="s">
        <v>4138</v>
      </c>
      <c r="BC19" s="111">
        <f>AW19+AX19</f>
      </c>
      <c r="BD19" s="111">
        <f>H19/(100-BE19)*100</f>
      </c>
      <c r="BE19" s="111" t="n">
        <v>0</v>
      </c>
      <c r="BF19" s="111">
        <f>19</f>
      </c>
      <c r="BH19" s="111">
        <f>G19*AO19</f>
      </c>
      <c r="BI19" s="111">
        <f>G19*AP19</f>
      </c>
      <c r="BJ19" s="111">
        <f>G19*H19</f>
      </c>
      <c r="BK19" s="111"/>
      <c r="BL19" s="111"/>
      <c r="BW19" s="111" t="n">
        <v>21</v>
      </c>
      <c r="BX19" s="14" t="s">
        <v>4151</v>
      </c>
    </row>
    <row r="20">
      <c r="A20" s="9" t="s">
        <v>156</v>
      </c>
      <c r="B20" s="10" t="s">
        <v>91</v>
      </c>
      <c r="C20" s="10" t="s">
        <v>4114</v>
      </c>
      <c r="D20" s="14" t="s">
        <v>4153</v>
      </c>
      <c r="E20" s="10"/>
      <c r="F20" s="10" t="s">
        <v>3860</v>
      </c>
      <c r="G20" s="111">
        <f>'Stavební rozpočet'!G2660</f>
      </c>
      <c r="H20" s="111">
        <f>'Stavební rozpočet'!H2660</f>
      </c>
      <c r="I20" s="111">
        <f>G20*H20</f>
      </c>
      <c r="J20" s="153" t="s">
        <v>4</v>
      </c>
      <c r="K20" s="146"/>
      <c r="Z20" s="111">
        <f>IF(AQ20="5",BJ20,0)</f>
      </c>
      <c r="AB20" s="111">
        <f>IF(AQ20="1",BH20,0)</f>
      </c>
      <c r="AC20" s="111">
        <f>IF(AQ20="1",BI20,0)</f>
      </c>
      <c r="AD20" s="111">
        <f>IF(AQ20="7",BH20,0)</f>
      </c>
      <c r="AE20" s="111">
        <f>IF(AQ20="7",BI20,0)</f>
      </c>
      <c r="AF20" s="111">
        <f>IF(AQ20="2",BH20,0)</f>
      </c>
      <c r="AG20" s="111">
        <f>IF(AQ20="2",BI20,0)</f>
      </c>
      <c r="AH20" s="111">
        <f>IF(AQ20="0",BJ20,0)</f>
      </c>
      <c r="AI20" s="132" t="s">
        <v>91</v>
      </c>
      <c r="AJ20" s="111">
        <f>IF(AN20=0,I20,0)</f>
      </c>
      <c r="AK20" s="111">
        <f>IF(AN20=12,I20,0)</f>
      </c>
      <c r="AL20" s="111">
        <f>IF(AN20=21,I20,0)</f>
      </c>
      <c r="AN20" s="111" t="n">
        <v>21</v>
      </c>
      <c r="AO20" s="111">
        <f>H20*0</f>
      </c>
      <c r="AP20" s="111">
        <f>H20*(1-0)</f>
      </c>
      <c r="AQ20" s="153" t="s">
        <v>130</v>
      </c>
      <c r="AV20" s="111">
        <f>AW20+AX20</f>
      </c>
      <c r="AW20" s="111">
        <f>G20*AO20</f>
      </c>
      <c r="AX20" s="111">
        <f>G20*AP20</f>
      </c>
      <c r="AY20" s="153" t="s">
        <v>4145</v>
      </c>
      <c r="AZ20" s="153" t="s">
        <v>4137</v>
      </c>
      <c r="BA20" s="132" t="s">
        <v>4138</v>
      </c>
      <c r="BC20" s="111">
        <f>AW20+AX20</f>
      </c>
      <c r="BD20" s="111">
        <f>H20/(100-BE20)*100</f>
      </c>
      <c r="BE20" s="111" t="n">
        <v>0</v>
      </c>
      <c r="BF20" s="111">
        <f>20</f>
      </c>
      <c r="BH20" s="111">
        <f>G20*AO20</f>
      </c>
      <c r="BI20" s="111">
        <f>G20*AP20</f>
      </c>
      <c r="BJ20" s="111">
        <f>G20*H20</f>
      </c>
      <c r="BK20" s="111"/>
      <c r="BL20" s="111"/>
      <c r="BW20" s="111" t="n">
        <v>21</v>
      </c>
      <c r="BX20" s="14" t="s">
        <v>4153</v>
      </c>
    </row>
    <row r="21">
      <c r="A21" s="9" t="s">
        <v>165</v>
      </c>
      <c r="B21" s="10" t="s">
        <v>91</v>
      </c>
      <c r="C21" s="10" t="s">
        <v>4129</v>
      </c>
      <c r="D21" s="14" t="s">
        <v>4155</v>
      </c>
      <c r="E21" s="10"/>
      <c r="F21" s="10" t="s">
        <v>2935</v>
      </c>
      <c r="G21" s="111">
        <f>'Stavební rozpočet'!G2661</f>
      </c>
      <c r="H21" s="111">
        <f>'Stavební rozpočet'!H2661</f>
      </c>
      <c r="I21" s="111">
        <f>G21*H21</f>
      </c>
      <c r="J21" s="153" t="s">
        <v>4</v>
      </c>
      <c r="K21" s="146"/>
      <c r="Z21" s="111">
        <f>IF(AQ21="5",BJ21,0)</f>
      </c>
      <c r="AB21" s="111">
        <f>IF(AQ21="1",BH21,0)</f>
      </c>
      <c r="AC21" s="111">
        <f>IF(AQ21="1",BI21,0)</f>
      </c>
      <c r="AD21" s="111">
        <f>IF(AQ21="7",BH21,0)</f>
      </c>
      <c r="AE21" s="111">
        <f>IF(AQ21="7",BI21,0)</f>
      </c>
      <c r="AF21" s="111">
        <f>IF(AQ21="2",BH21,0)</f>
      </c>
      <c r="AG21" s="111">
        <f>IF(AQ21="2",BI21,0)</f>
      </c>
      <c r="AH21" s="111">
        <f>IF(AQ21="0",BJ21,0)</f>
      </c>
      <c r="AI21" s="132" t="s">
        <v>91</v>
      </c>
      <c r="AJ21" s="111">
        <f>IF(AN21=0,I21,0)</f>
      </c>
      <c r="AK21" s="111">
        <f>IF(AN21=12,I21,0)</f>
      </c>
      <c r="AL21" s="111">
        <f>IF(AN21=21,I21,0)</f>
      </c>
      <c r="AN21" s="111" t="n">
        <v>21</v>
      </c>
      <c r="AO21" s="111">
        <f>H21*0</f>
      </c>
      <c r="AP21" s="111">
        <f>H21*(1-0)</f>
      </c>
      <c r="AQ21" s="153" t="s">
        <v>130</v>
      </c>
      <c r="AV21" s="111">
        <f>AW21+AX21</f>
      </c>
      <c r="AW21" s="111">
        <f>G21*AO21</f>
      </c>
      <c r="AX21" s="111">
        <f>G21*AP21</f>
      </c>
      <c r="AY21" s="153" t="s">
        <v>4145</v>
      </c>
      <c r="AZ21" s="153" t="s">
        <v>4137</v>
      </c>
      <c r="BA21" s="132" t="s">
        <v>4138</v>
      </c>
      <c r="BC21" s="111">
        <f>AW21+AX21</f>
      </c>
      <c r="BD21" s="111">
        <f>H21/(100-BE21)*100</f>
      </c>
      <c r="BE21" s="111" t="n">
        <v>0</v>
      </c>
      <c r="BF21" s="111">
        <f>21</f>
      </c>
      <c r="BH21" s="111">
        <f>G21*AO21</f>
      </c>
      <c r="BI21" s="111">
        <f>G21*AP21</f>
      </c>
      <c r="BJ21" s="111">
        <f>G21*H21</f>
      </c>
      <c r="BK21" s="111"/>
      <c r="BL21" s="111"/>
      <c r="BW21" s="111" t="n">
        <v>21</v>
      </c>
      <c r="BX21" s="14" t="s">
        <v>4155</v>
      </c>
    </row>
    <row r="22">
      <c r="A22" s="9" t="s">
        <v>173</v>
      </c>
      <c r="B22" s="10" t="s">
        <v>91</v>
      </c>
      <c r="C22" s="10" t="s">
        <v>4132</v>
      </c>
      <c r="D22" s="14" t="s">
        <v>4157</v>
      </c>
      <c r="E22" s="10"/>
      <c r="F22" s="10" t="s">
        <v>2277</v>
      </c>
      <c r="G22" s="111">
        <f>'Stavební rozpočet'!G2662</f>
      </c>
      <c r="H22" s="111">
        <f>'Stavební rozpočet'!H2662</f>
      </c>
      <c r="I22" s="111">
        <f>G22*H22</f>
      </c>
      <c r="J22" s="153" t="s">
        <v>4</v>
      </c>
      <c r="K22" s="146"/>
      <c r="Z22" s="111">
        <f>IF(AQ22="5",BJ22,0)</f>
      </c>
      <c r="AB22" s="111">
        <f>IF(AQ22="1",BH22,0)</f>
      </c>
      <c r="AC22" s="111">
        <f>IF(AQ22="1",BI22,0)</f>
      </c>
      <c r="AD22" s="111">
        <f>IF(AQ22="7",BH22,0)</f>
      </c>
      <c r="AE22" s="111">
        <f>IF(AQ22="7",BI22,0)</f>
      </c>
      <c r="AF22" s="111">
        <f>IF(AQ22="2",BH22,0)</f>
      </c>
      <c r="AG22" s="111">
        <f>IF(AQ22="2",BI22,0)</f>
      </c>
      <c r="AH22" s="111">
        <f>IF(AQ22="0",BJ22,0)</f>
      </c>
      <c r="AI22" s="132" t="s">
        <v>91</v>
      </c>
      <c r="AJ22" s="111">
        <f>IF(AN22=0,I22,0)</f>
      </c>
      <c r="AK22" s="111">
        <f>IF(AN22=12,I22,0)</f>
      </c>
      <c r="AL22" s="111">
        <f>IF(AN22=21,I22,0)</f>
      </c>
      <c r="AN22" s="111" t="n">
        <v>21</v>
      </c>
      <c r="AO22" s="111">
        <f>H22*0</f>
      </c>
      <c r="AP22" s="111">
        <f>H22*(1-0)</f>
      </c>
      <c r="AQ22" s="153" t="s">
        <v>130</v>
      </c>
      <c r="AV22" s="111">
        <f>AW22+AX22</f>
      </c>
      <c r="AW22" s="111">
        <f>G22*AO22</f>
      </c>
      <c r="AX22" s="111">
        <f>G22*AP22</f>
      </c>
      <c r="AY22" s="153" t="s">
        <v>4145</v>
      </c>
      <c r="AZ22" s="153" t="s">
        <v>4137</v>
      </c>
      <c r="BA22" s="132" t="s">
        <v>4138</v>
      </c>
      <c r="BC22" s="111">
        <f>AW22+AX22</f>
      </c>
      <c r="BD22" s="111">
        <f>H22/(100-BE22)*100</f>
      </c>
      <c r="BE22" s="111" t="n">
        <v>0</v>
      </c>
      <c r="BF22" s="111">
        <f>22</f>
      </c>
      <c r="BH22" s="111">
        <f>G22*AO22</f>
      </c>
      <c r="BI22" s="111">
        <f>G22*AP22</f>
      </c>
      <c r="BJ22" s="111">
        <f>G22*H22</f>
      </c>
      <c r="BK22" s="111"/>
      <c r="BL22" s="111"/>
      <c r="BW22" s="111" t="n">
        <v>21</v>
      </c>
      <c r="BX22" s="14" t="s">
        <v>4157</v>
      </c>
    </row>
    <row r="23">
      <c r="A23" s="9" t="s">
        <v>176</v>
      </c>
      <c r="B23" s="10" t="s">
        <v>91</v>
      </c>
      <c r="C23" s="10" t="s">
        <v>4159</v>
      </c>
      <c r="D23" s="14" t="s">
        <v>4160</v>
      </c>
      <c r="E23" s="10"/>
      <c r="F23" s="10" t="s">
        <v>2935</v>
      </c>
      <c r="G23" s="111">
        <f>'Stavební rozpočet'!G2663</f>
      </c>
      <c r="H23" s="111">
        <f>'Stavební rozpočet'!H2663</f>
      </c>
      <c r="I23" s="111">
        <f>G23*H23</f>
      </c>
      <c r="J23" s="153" t="s">
        <v>4</v>
      </c>
      <c r="K23" s="146"/>
      <c r="Z23" s="111">
        <f>IF(AQ23="5",BJ23,0)</f>
      </c>
      <c r="AB23" s="111">
        <f>IF(AQ23="1",BH23,0)</f>
      </c>
      <c r="AC23" s="111">
        <f>IF(AQ23="1",BI23,0)</f>
      </c>
      <c r="AD23" s="111">
        <f>IF(AQ23="7",BH23,0)</f>
      </c>
      <c r="AE23" s="111">
        <f>IF(AQ23="7",BI23,0)</f>
      </c>
      <c r="AF23" s="111">
        <f>IF(AQ23="2",BH23,0)</f>
      </c>
      <c r="AG23" s="111">
        <f>IF(AQ23="2",BI23,0)</f>
      </c>
      <c r="AH23" s="111">
        <f>IF(AQ23="0",BJ23,0)</f>
      </c>
      <c r="AI23" s="132" t="s">
        <v>91</v>
      </c>
      <c r="AJ23" s="111">
        <f>IF(AN23=0,I23,0)</f>
      </c>
      <c r="AK23" s="111">
        <f>IF(AN23=12,I23,0)</f>
      </c>
      <c r="AL23" s="111">
        <f>IF(AN23=21,I23,0)</f>
      </c>
      <c r="AN23" s="111" t="n">
        <v>21</v>
      </c>
      <c r="AO23" s="111">
        <f>H23*0</f>
      </c>
      <c r="AP23" s="111">
        <f>H23*(1-0)</f>
      </c>
      <c r="AQ23" s="153" t="s">
        <v>130</v>
      </c>
      <c r="AV23" s="111">
        <f>AW23+AX23</f>
      </c>
      <c r="AW23" s="111">
        <f>G23*AO23</f>
      </c>
      <c r="AX23" s="111">
        <f>G23*AP23</f>
      </c>
      <c r="AY23" s="153" t="s">
        <v>4145</v>
      </c>
      <c r="AZ23" s="153" t="s">
        <v>4137</v>
      </c>
      <c r="BA23" s="132" t="s">
        <v>4138</v>
      </c>
      <c r="BC23" s="111">
        <f>AW23+AX23</f>
      </c>
      <c r="BD23" s="111">
        <f>H23/(100-BE23)*100</f>
      </c>
      <c r="BE23" s="111" t="n">
        <v>0</v>
      </c>
      <c r="BF23" s="111">
        <f>23</f>
      </c>
      <c r="BH23" s="111">
        <f>G23*AO23</f>
      </c>
      <c r="BI23" s="111">
        <f>G23*AP23</f>
      </c>
      <c r="BJ23" s="111">
        <f>G23*H23</f>
      </c>
      <c r="BK23" s="111"/>
      <c r="BL23" s="111"/>
      <c r="BW23" s="111" t="n">
        <v>21</v>
      </c>
      <c r="BX23" s="14" t="s">
        <v>4160</v>
      </c>
    </row>
    <row r="24">
      <c r="A24" s="147" t="s">
        <v>4</v>
      </c>
      <c r="B24" s="148" t="s">
        <v>91</v>
      </c>
      <c r="C24" s="148" t="s">
        <v>1850</v>
      </c>
      <c r="D24" s="149" t="s">
        <v>1851</v>
      </c>
      <c r="E24" s="148"/>
      <c r="F24" s="150" t="s">
        <v>79</v>
      </c>
      <c r="G24" s="150" t="s">
        <v>79</v>
      </c>
      <c r="H24" s="150" t="s">
        <v>79</v>
      </c>
      <c r="I24" s="117">
        <f>SUM(I25:I48)</f>
      </c>
      <c r="J24" s="132" t="s">
        <v>4</v>
      </c>
      <c r="K24" s="146"/>
      <c r="AI24" s="132" t="s">
        <v>91</v>
      </c>
      <c r="AS24" s="117">
        <f>SUM(AJ25:AJ48)</f>
      </c>
      <c r="AT24" s="117">
        <f>SUM(AK25:AK48)</f>
      </c>
      <c r="AU24" s="117">
        <f>SUM(AL25:AL48)</f>
      </c>
    </row>
    <row r="25" ht="24.75">
      <c r="A25" s="9" t="s">
        <v>183</v>
      </c>
      <c r="B25" s="10" t="s">
        <v>91</v>
      </c>
      <c r="C25" s="10" t="s">
        <v>4162</v>
      </c>
      <c r="D25" s="14" t="s">
        <v>4163</v>
      </c>
      <c r="E25" s="10"/>
      <c r="F25" s="10" t="s">
        <v>145</v>
      </c>
      <c r="G25" s="111">
        <f>'Stavební rozpočet'!G2665</f>
      </c>
      <c r="H25" s="111">
        <f>'Stavební rozpočet'!H2665</f>
      </c>
      <c r="I25" s="111">
        <f>G25*H25</f>
      </c>
      <c r="J25" s="153" t="s">
        <v>4</v>
      </c>
      <c r="K25" s="146"/>
      <c r="Z25" s="111">
        <f>IF(AQ25="5",BJ25,0)</f>
      </c>
      <c r="AB25" s="111">
        <f>IF(AQ25="1",BH25,0)</f>
      </c>
      <c r="AC25" s="111">
        <f>IF(AQ25="1",BI25,0)</f>
      </c>
      <c r="AD25" s="111">
        <f>IF(AQ25="7",BH25,0)</f>
      </c>
      <c r="AE25" s="111">
        <f>IF(AQ25="7",BI25,0)</f>
      </c>
      <c r="AF25" s="111">
        <f>IF(AQ25="2",BH25,0)</f>
      </c>
      <c r="AG25" s="111">
        <f>IF(AQ25="2",BI25,0)</f>
      </c>
      <c r="AH25" s="111">
        <f>IF(AQ25="0",BJ25,0)</f>
      </c>
      <c r="AI25" s="132" t="s">
        <v>91</v>
      </c>
      <c r="AJ25" s="111">
        <f>IF(AN25=0,I25,0)</f>
      </c>
      <c r="AK25" s="111">
        <f>IF(AN25=12,I25,0)</f>
      </c>
      <c r="AL25" s="111">
        <f>IF(AN25=21,I25,0)</f>
      </c>
      <c r="AN25" s="111" t="n">
        <v>21</v>
      </c>
      <c r="AO25" s="111">
        <f>H25*0</f>
      </c>
      <c r="AP25" s="111">
        <f>H25*(1-0)</f>
      </c>
      <c r="AQ25" s="153" t="s">
        <v>173</v>
      </c>
      <c r="AV25" s="111">
        <f>AW25+AX25</f>
      </c>
      <c r="AW25" s="111">
        <f>G25*AO25</f>
      </c>
      <c r="AX25" s="111">
        <f>G25*AP25</f>
      </c>
      <c r="AY25" s="153" t="s">
        <v>1855</v>
      </c>
      <c r="AZ25" s="153" t="s">
        <v>4164</v>
      </c>
      <c r="BA25" s="132" t="s">
        <v>4138</v>
      </c>
      <c r="BC25" s="111">
        <f>AW25+AX25</f>
      </c>
      <c r="BD25" s="111">
        <f>H25/(100-BE25)*100</f>
      </c>
      <c r="BE25" s="111" t="n">
        <v>0</v>
      </c>
      <c r="BF25" s="111">
        <f>25</f>
      </c>
      <c r="BH25" s="111">
        <f>G25*AO25</f>
      </c>
      <c r="BI25" s="111">
        <f>G25*AP25</f>
      </c>
      <c r="BJ25" s="111">
        <f>G25*H25</f>
      </c>
      <c r="BK25" s="111"/>
      <c r="BL25" s="111" t="n">
        <v>713</v>
      </c>
      <c r="BW25" s="111" t="n">
        <v>21</v>
      </c>
      <c r="BX25" s="14" t="s">
        <v>4163</v>
      </c>
    </row>
    <row r="26">
      <c r="A26" s="154"/>
      <c r="B26" s="155"/>
      <c r="C26" s="155"/>
      <c r="D26" s="156" t="s">
        <v>4165</v>
      </c>
      <c r="E26" s="156" t="s">
        <v>4166</v>
      </c>
      <c r="F26" s="155"/>
      <c r="G26" s="157" t="n">
        <v>1.74</v>
      </c>
      <c r="H26" s="155"/>
      <c r="I26" s="155"/>
      <c r="J26" s="155"/>
      <c r="K26" s="146"/>
    </row>
    <row r="27" ht="24.75">
      <c r="A27" s="9" t="s">
        <v>186</v>
      </c>
      <c r="B27" s="10" t="s">
        <v>91</v>
      </c>
      <c r="C27" s="10" t="s">
        <v>4168</v>
      </c>
      <c r="D27" s="14" t="s">
        <v>4169</v>
      </c>
      <c r="E27" s="10"/>
      <c r="F27" s="10" t="s">
        <v>145</v>
      </c>
      <c r="G27" s="111">
        <f>'Stavební rozpočet'!G2667</f>
      </c>
      <c r="H27" s="111">
        <f>'Stavební rozpočet'!H2667</f>
      </c>
      <c r="I27" s="111">
        <f>G27*H27</f>
      </c>
      <c r="J27" s="153" t="s">
        <v>4</v>
      </c>
      <c r="K27" s="146"/>
      <c r="Z27" s="111">
        <f>IF(AQ27="5",BJ27,0)</f>
      </c>
      <c r="AB27" s="111">
        <f>IF(AQ27="1",BH27,0)</f>
      </c>
      <c r="AC27" s="111">
        <f>IF(AQ27="1",BI27,0)</f>
      </c>
      <c r="AD27" s="111">
        <f>IF(AQ27="7",BH27,0)</f>
      </c>
      <c r="AE27" s="111">
        <f>IF(AQ27="7",BI27,0)</f>
      </c>
      <c r="AF27" s="111">
        <f>IF(AQ27="2",BH27,0)</f>
      </c>
      <c r="AG27" s="111">
        <f>IF(AQ27="2",BI27,0)</f>
      </c>
      <c r="AH27" s="111">
        <f>IF(AQ27="0",BJ27,0)</f>
      </c>
      <c r="AI27" s="132" t="s">
        <v>91</v>
      </c>
      <c r="AJ27" s="111">
        <f>IF(AN27=0,I27,0)</f>
      </c>
      <c r="AK27" s="111">
        <f>IF(AN27=12,I27,0)</f>
      </c>
      <c r="AL27" s="111">
        <f>IF(AN27=21,I27,0)</f>
      </c>
      <c r="AN27" s="111" t="n">
        <v>21</v>
      </c>
      <c r="AO27" s="111">
        <f>H27*0</f>
      </c>
      <c r="AP27" s="111">
        <f>H27*(1-0)</f>
      </c>
      <c r="AQ27" s="153" t="s">
        <v>173</v>
      </c>
      <c r="AV27" s="111">
        <f>AW27+AX27</f>
      </c>
      <c r="AW27" s="111">
        <f>G27*AO27</f>
      </c>
      <c r="AX27" s="111">
        <f>G27*AP27</f>
      </c>
      <c r="AY27" s="153" t="s">
        <v>1855</v>
      </c>
      <c r="AZ27" s="153" t="s">
        <v>4164</v>
      </c>
      <c r="BA27" s="132" t="s">
        <v>4138</v>
      </c>
      <c r="BC27" s="111">
        <f>AW27+AX27</f>
      </c>
      <c r="BD27" s="111">
        <f>H27/(100-BE27)*100</f>
      </c>
      <c r="BE27" s="111" t="n">
        <v>0</v>
      </c>
      <c r="BF27" s="111">
        <f>27</f>
      </c>
      <c r="BH27" s="111">
        <f>G27*AO27</f>
      </c>
      <c r="BI27" s="111">
        <f>G27*AP27</f>
      </c>
      <c r="BJ27" s="111">
        <f>G27*H27</f>
      </c>
      <c r="BK27" s="111"/>
      <c r="BL27" s="111" t="n">
        <v>713</v>
      </c>
      <c r="BW27" s="111" t="n">
        <v>21</v>
      </c>
      <c r="BX27" s="14" t="s">
        <v>4169</v>
      </c>
    </row>
    <row r="28">
      <c r="A28" s="154"/>
      <c r="B28" s="155"/>
      <c r="C28" s="155"/>
      <c r="D28" s="156" t="s">
        <v>4170</v>
      </c>
      <c r="E28" s="156" t="s">
        <v>4171</v>
      </c>
      <c r="F28" s="155"/>
      <c r="G28" s="157" t="n">
        <v>3.05363</v>
      </c>
      <c r="H28" s="155"/>
      <c r="I28" s="155"/>
      <c r="J28" s="155"/>
      <c r="K28" s="146"/>
    </row>
    <row r="29">
      <c r="A29" s="154"/>
      <c r="B29" s="155"/>
      <c r="C29" s="155"/>
      <c r="D29" s="156" t="s">
        <v>4172</v>
      </c>
      <c r="E29" s="156" t="s">
        <v>4173</v>
      </c>
      <c r="F29" s="155"/>
      <c r="G29" s="157" t="n">
        <v>0.69115</v>
      </c>
      <c r="H29" s="155"/>
      <c r="I29" s="155"/>
      <c r="J29" s="155"/>
      <c r="K29" s="146"/>
    </row>
    <row r="30">
      <c r="A30" s="154"/>
      <c r="B30" s="155"/>
      <c r="C30" s="155"/>
      <c r="D30" s="156" t="s">
        <v>4174</v>
      </c>
      <c r="E30" s="156" t="s">
        <v>4175</v>
      </c>
      <c r="F30" s="155"/>
      <c r="G30" s="157" t="n">
        <v>5.80566</v>
      </c>
      <c r="H30" s="155"/>
      <c r="I30" s="155"/>
      <c r="J30" s="155"/>
      <c r="K30" s="146"/>
    </row>
    <row r="31">
      <c r="A31" s="154"/>
      <c r="B31" s="155"/>
      <c r="C31" s="155"/>
      <c r="D31" s="156" t="s">
        <v>4176</v>
      </c>
      <c r="E31" s="156" t="s">
        <v>4177</v>
      </c>
      <c r="F31" s="155"/>
      <c r="G31" s="157" t="n">
        <v>13.4146</v>
      </c>
      <c r="H31" s="155"/>
      <c r="I31" s="155"/>
      <c r="J31" s="155"/>
      <c r="K31" s="146"/>
    </row>
    <row r="32">
      <c r="A32" s="9" t="s">
        <v>128</v>
      </c>
      <c r="B32" s="10" t="s">
        <v>91</v>
      </c>
      <c r="C32" s="10" t="s">
        <v>4179</v>
      </c>
      <c r="D32" s="14" t="s">
        <v>1336</v>
      </c>
      <c r="E32" s="10"/>
      <c r="F32" s="10" t="s">
        <v>1324</v>
      </c>
      <c r="G32" s="111">
        <f>'Stavební rozpočet'!G2672</f>
      </c>
      <c r="H32" s="111">
        <f>'Stavební rozpočet'!H2672</f>
      </c>
      <c r="I32" s="111">
        <f>G32*H32</f>
      </c>
      <c r="J32" s="153" t="s">
        <v>4</v>
      </c>
      <c r="K32" s="146"/>
      <c r="Z32" s="111">
        <f>IF(AQ32="5",BJ32,0)</f>
      </c>
      <c r="AB32" s="111">
        <f>IF(AQ32="1",BH32,0)</f>
      </c>
      <c r="AC32" s="111">
        <f>IF(AQ32="1",BI32,0)</f>
      </c>
      <c r="AD32" s="111">
        <f>IF(AQ32="7",BH32,0)</f>
      </c>
      <c r="AE32" s="111">
        <f>IF(AQ32="7",BI32,0)</f>
      </c>
      <c r="AF32" s="111">
        <f>IF(AQ32="2",BH32,0)</f>
      </c>
      <c r="AG32" s="111">
        <f>IF(AQ32="2",BI32,0)</f>
      </c>
      <c r="AH32" s="111">
        <f>IF(AQ32="0",BJ32,0)</f>
      </c>
      <c r="AI32" s="132" t="s">
        <v>91</v>
      </c>
      <c r="AJ32" s="111">
        <f>IF(AN32=0,I32,0)</f>
      </c>
      <c r="AK32" s="111">
        <f>IF(AN32=12,I32,0)</f>
      </c>
      <c r="AL32" s="111">
        <f>IF(AN32=21,I32,0)</f>
      </c>
      <c r="AN32" s="111" t="n">
        <v>21</v>
      </c>
      <c r="AO32" s="111">
        <f>H32*0</f>
      </c>
      <c r="AP32" s="111">
        <f>H32*(1-0)</f>
      </c>
      <c r="AQ32" s="153" t="s">
        <v>173</v>
      </c>
      <c r="AV32" s="111">
        <f>AW32+AX32</f>
      </c>
      <c r="AW32" s="111">
        <f>G32*AO32</f>
      </c>
      <c r="AX32" s="111">
        <f>G32*AP32</f>
      </c>
      <c r="AY32" s="153" t="s">
        <v>1855</v>
      </c>
      <c r="AZ32" s="153" t="s">
        <v>4164</v>
      </c>
      <c r="BA32" s="132" t="s">
        <v>4138</v>
      </c>
      <c r="BC32" s="111">
        <f>AW32+AX32</f>
      </c>
      <c r="BD32" s="111">
        <f>H32/(100-BE32)*100</f>
      </c>
      <c r="BE32" s="111" t="n">
        <v>0</v>
      </c>
      <c r="BF32" s="111">
        <f>32</f>
      </c>
      <c r="BH32" s="111">
        <f>G32*AO32</f>
      </c>
      <c r="BI32" s="111">
        <f>G32*AP32</f>
      </c>
      <c r="BJ32" s="111">
        <f>G32*H32</f>
      </c>
      <c r="BK32" s="111"/>
      <c r="BL32" s="111" t="n">
        <v>713</v>
      </c>
      <c r="BW32" s="111" t="n">
        <v>21</v>
      </c>
      <c r="BX32" s="14" t="s">
        <v>1336</v>
      </c>
    </row>
    <row r="33">
      <c r="A33" s="9" t="s">
        <v>154</v>
      </c>
      <c r="B33" s="10" t="s">
        <v>91</v>
      </c>
      <c r="C33" s="10" t="s">
        <v>4181</v>
      </c>
      <c r="D33" s="14" t="s">
        <v>4182</v>
      </c>
      <c r="E33" s="10"/>
      <c r="F33" s="10" t="s">
        <v>61</v>
      </c>
      <c r="G33" s="111">
        <f>'Stavební rozpočet'!G2673</f>
      </c>
      <c r="H33" s="111">
        <f>'Stavební rozpočet'!H2673</f>
      </c>
      <c r="I33" s="111">
        <f>G33*H33</f>
      </c>
      <c r="J33" s="153" t="s">
        <v>4</v>
      </c>
      <c r="K33" s="146"/>
      <c r="Z33" s="111">
        <f>IF(AQ33="5",BJ33,0)</f>
      </c>
      <c r="AB33" s="111">
        <f>IF(AQ33="1",BH33,0)</f>
      </c>
      <c r="AC33" s="111">
        <f>IF(AQ33="1",BI33,0)</f>
      </c>
      <c r="AD33" s="111">
        <f>IF(AQ33="7",BH33,0)</f>
      </c>
      <c r="AE33" s="111">
        <f>IF(AQ33="7",BI33,0)</f>
      </c>
      <c r="AF33" s="111">
        <f>IF(AQ33="2",BH33,0)</f>
      </c>
      <c r="AG33" s="111">
        <f>IF(AQ33="2",BI33,0)</f>
      </c>
      <c r="AH33" s="111">
        <f>IF(AQ33="0",BJ33,0)</f>
      </c>
      <c r="AI33" s="132" t="s">
        <v>91</v>
      </c>
      <c r="AJ33" s="111">
        <f>IF(AN33=0,I33,0)</f>
      </c>
      <c r="AK33" s="111">
        <f>IF(AN33=12,I33,0)</f>
      </c>
      <c r="AL33" s="111">
        <f>IF(AN33=21,I33,0)</f>
      </c>
      <c r="AN33" s="111" t="n">
        <v>21</v>
      </c>
      <c r="AO33" s="111">
        <f>H33*0</f>
      </c>
      <c r="AP33" s="111">
        <f>H33*(1-0)</f>
      </c>
      <c r="AQ33" s="153" t="s">
        <v>173</v>
      </c>
      <c r="AV33" s="111">
        <f>AW33+AX33</f>
      </c>
      <c r="AW33" s="111">
        <f>G33*AO33</f>
      </c>
      <c r="AX33" s="111">
        <f>G33*AP33</f>
      </c>
      <c r="AY33" s="153" t="s">
        <v>1855</v>
      </c>
      <c r="AZ33" s="153" t="s">
        <v>4164</v>
      </c>
      <c r="BA33" s="132" t="s">
        <v>4138</v>
      </c>
      <c r="BC33" s="111">
        <f>AW33+AX33</f>
      </c>
      <c r="BD33" s="111">
        <f>H33/(100-BE33)*100</f>
      </c>
      <c r="BE33" s="111" t="n">
        <v>0</v>
      </c>
      <c r="BF33" s="111">
        <f>33</f>
      </c>
      <c r="BH33" s="111">
        <f>G33*AO33</f>
      </c>
      <c r="BI33" s="111">
        <f>G33*AP33</f>
      </c>
      <c r="BJ33" s="111">
        <f>G33*H33</f>
      </c>
      <c r="BK33" s="111"/>
      <c r="BL33" s="111" t="n">
        <v>713</v>
      </c>
      <c r="BW33" s="111" t="n">
        <v>21</v>
      </c>
      <c r="BX33" s="14" t="s">
        <v>4182</v>
      </c>
    </row>
    <row r="34">
      <c r="A34" s="9" t="s">
        <v>163</v>
      </c>
      <c r="B34" s="10" t="s">
        <v>91</v>
      </c>
      <c r="C34" s="10" t="s">
        <v>4184</v>
      </c>
      <c r="D34" s="14" t="s">
        <v>4185</v>
      </c>
      <c r="E34" s="10"/>
      <c r="F34" s="10" t="s">
        <v>145</v>
      </c>
      <c r="G34" s="111">
        <f>'Stavební rozpočet'!G2674</f>
      </c>
      <c r="H34" s="111">
        <f>'Stavební rozpočet'!H2674</f>
      </c>
      <c r="I34" s="111">
        <f>G34*H34</f>
      </c>
      <c r="J34" s="153" t="s">
        <v>4</v>
      </c>
      <c r="K34" s="146"/>
      <c r="Z34" s="111">
        <f>IF(AQ34="5",BJ34,0)</f>
      </c>
      <c r="AB34" s="111">
        <f>IF(AQ34="1",BH34,0)</f>
      </c>
      <c r="AC34" s="111">
        <f>IF(AQ34="1",BI34,0)</f>
      </c>
      <c r="AD34" s="111">
        <f>IF(AQ34="7",BH34,0)</f>
      </c>
      <c r="AE34" s="111">
        <f>IF(AQ34="7",BI34,0)</f>
      </c>
      <c r="AF34" s="111">
        <f>IF(AQ34="2",BH34,0)</f>
      </c>
      <c r="AG34" s="111">
        <f>IF(AQ34="2",BI34,0)</f>
      </c>
      <c r="AH34" s="111">
        <f>IF(AQ34="0",BJ34,0)</f>
      </c>
      <c r="AI34" s="132" t="s">
        <v>91</v>
      </c>
      <c r="AJ34" s="111">
        <f>IF(AN34=0,I34,0)</f>
      </c>
      <c r="AK34" s="111">
        <f>IF(AN34=12,I34,0)</f>
      </c>
      <c r="AL34" s="111">
        <f>IF(AN34=21,I34,0)</f>
      </c>
      <c r="AN34" s="111" t="n">
        <v>21</v>
      </c>
      <c r="AO34" s="111">
        <f>H34*1</f>
      </c>
      <c r="AP34" s="111">
        <f>H34*(1-1)</f>
      </c>
      <c r="AQ34" s="153" t="s">
        <v>173</v>
      </c>
      <c r="AV34" s="111">
        <f>AW34+AX34</f>
      </c>
      <c r="AW34" s="111">
        <f>G34*AO34</f>
      </c>
      <c r="AX34" s="111">
        <f>G34*AP34</f>
      </c>
      <c r="AY34" s="153" t="s">
        <v>1855</v>
      </c>
      <c r="AZ34" s="153" t="s">
        <v>4164</v>
      </c>
      <c r="BA34" s="132" t="s">
        <v>4138</v>
      </c>
      <c r="BC34" s="111">
        <f>AW34+AX34</f>
      </c>
      <c r="BD34" s="111">
        <f>H34/(100-BE34)*100</f>
      </c>
      <c r="BE34" s="111" t="n">
        <v>0</v>
      </c>
      <c r="BF34" s="111">
        <f>34</f>
      </c>
      <c r="BH34" s="111">
        <f>G34*AO34</f>
      </c>
      <c r="BI34" s="111">
        <f>G34*AP34</f>
      </c>
      <c r="BJ34" s="111">
        <f>G34*H34</f>
      </c>
      <c r="BK34" s="111"/>
      <c r="BL34" s="111" t="n">
        <v>713</v>
      </c>
      <c r="BW34" s="111" t="n">
        <v>21</v>
      </c>
      <c r="BX34" s="14" t="s">
        <v>4185</v>
      </c>
    </row>
    <row r="35">
      <c r="A35" s="9" t="s">
        <v>212</v>
      </c>
      <c r="B35" s="10" t="s">
        <v>91</v>
      </c>
      <c r="C35" s="10" t="s">
        <v>4187</v>
      </c>
      <c r="D35" s="14" t="s">
        <v>4188</v>
      </c>
      <c r="E35" s="10"/>
      <c r="F35" s="10" t="s">
        <v>282</v>
      </c>
      <c r="G35" s="111">
        <f>'Stavební rozpočet'!G2675</f>
      </c>
      <c r="H35" s="111">
        <f>'Stavební rozpočet'!H2675</f>
      </c>
      <c r="I35" s="111">
        <f>G35*H35</f>
      </c>
      <c r="J35" s="153" t="s">
        <v>4</v>
      </c>
      <c r="K35" s="146"/>
      <c r="Z35" s="111">
        <f>IF(AQ35="5",BJ35,0)</f>
      </c>
      <c r="AB35" s="111">
        <f>IF(AQ35="1",BH35,0)</f>
      </c>
      <c r="AC35" s="111">
        <f>IF(AQ35="1",BI35,0)</f>
      </c>
      <c r="AD35" s="111">
        <f>IF(AQ35="7",BH35,0)</f>
      </c>
      <c r="AE35" s="111">
        <f>IF(AQ35="7",BI35,0)</f>
      </c>
      <c r="AF35" s="111">
        <f>IF(AQ35="2",BH35,0)</f>
      </c>
      <c r="AG35" s="111">
        <f>IF(AQ35="2",BI35,0)</f>
      </c>
      <c r="AH35" s="111">
        <f>IF(AQ35="0",BJ35,0)</f>
      </c>
      <c r="AI35" s="132" t="s">
        <v>91</v>
      </c>
      <c r="AJ35" s="111">
        <f>IF(AN35=0,I35,0)</f>
      </c>
      <c r="AK35" s="111">
        <f>IF(AN35=12,I35,0)</f>
      </c>
      <c r="AL35" s="111">
        <f>IF(AN35=21,I35,0)</f>
      </c>
      <c r="AN35" s="111" t="n">
        <v>21</v>
      </c>
      <c r="AO35" s="111">
        <f>H35*1</f>
      </c>
      <c r="AP35" s="111">
        <f>H35*(1-1)</f>
      </c>
      <c r="AQ35" s="153" t="s">
        <v>173</v>
      </c>
      <c r="AV35" s="111">
        <f>AW35+AX35</f>
      </c>
      <c r="AW35" s="111">
        <f>G35*AO35</f>
      </c>
      <c r="AX35" s="111">
        <f>G35*AP35</f>
      </c>
      <c r="AY35" s="153" t="s">
        <v>1855</v>
      </c>
      <c r="AZ35" s="153" t="s">
        <v>4164</v>
      </c>
      <c r="BA35" s="132" t="s">
        <v>4138</v>
      </c>
      <c r="BC35" s="111">
        <f>AW35+AX35</f>
      </c>
      <c r="BD35" s="111">
        <f>H35/(100-BE35)*100</f>
      </c>
      <c r="BE35" s="111" t="n">
        <v>0</v>
      </c>
      <c r="BF35" s="111">
        <f>35</f>
      </c>
      <c r="BH35" s="111">
        <f>G35*AO35</f>
      </c>
      <c r="BI35" s="111">
        <f>G35*AP35</f>
      </c>
      <c r="BJ35" s="111">
        <f>G35*H35</f>
      </c>
      <c r="BK35" s="111"/>
      <c r="BL35" s="111" t="n">
        <v>713</v>
      </c>
      <c r="BW35" s="111" t="n">
        <v>21</v>
      </c>
      <c r="BX35" s="14" t="s">
        <v>4188</v>
      </c>
    </row>
    <row r="36">
      <c r="A36" s="154"/>
      <c r="B36" s="155"/>
      <c r="C36" s="155"/>
      <c r="D36" s="156" t="s">
        <v>4189</v>
      </c>
      <c r="E36" s="156" t="s">
        <v>4</v>
      </c>
      <c r="F36" s="155"/>
      <c r="G36" s="157" t="n">
        <v>54</v>
      </c>
      <c r="H36" s="155"/>
      <c r="I36" s="155"/>
      <c r="J36" s="155"/>
      <c r="K36" s="146"/>
    </row>
    <row r="37">
      <c r="A37" s="154"/>
      <c r="B37" s="155"/>
      <c r="C37" s="155"/>
      <c r="D37" s="156" t="s">
        <v>4190</v>
      </c>
      <c r="E37" s="156" t="s">
        <v>4191</v>
      </c>
      <c r="F37" s="155"/>
      <c r="G37" s="157" t="n">
        <v>5.4</v>
      </c>
      <c r="H37" s="155"/>
      <c r="I37" s="155"/>
      <c r="J37" s="155"/>
      <c r="K37" s="146"/>
    </row>
    <row r="38">
      <c r="A38" s="9" t="s">
        <v>224</v>
      </c>
      <c r="B38" s="10" t="s">
        <v>91</v>
      </c>
      <c r="C38" s="10" t="s">
        <v>4193</v>
      </c>
      <c r="D38" s="14" t="s">
        <v>4188</v>
      </c>
      <c r="E38" s="10"/>
      <c r="F38" s="10" t="s">
        <v>282</v>
      </c>
      <c r="G38" s="111">
        <f>'Stavební rozpočet'!G2678</f>
      </c>
      <c r="H38" s="111">
        <f>'Stavební rozpočet'!H2678</f>
      </c>
      <c r="I38" s="111">
        <f>G38*H38</f>
      </c>
      <c r="J38" s="153" t="s">
        <v>4</v>
      </c>
      <c r="K38" s="146"/>
      <c r="Z38" s="111">
        <f>IF(AQ38="5",BJ38,0)</f>
      </c>
      <c r="AB38" s="111">
        <f>IF(AQ38="1",BH38,0)</f>
      </c>
      <c r="AC38" s="111">
        <f>IF(AQ38="1",BI38,0)</f>
      </c>
      <c r="AD38" s="111">
        <f>IF(AQ38="7",BH38,0)</f>
      </c>
      <c r="AE38" s="111">
        <f>IF(AQ38="7",BI38,0)</f>
      </c>
      <c r="AF38" s="111">
        <f>IF(AQ38="2",BH38,0)</f>
      </c>
      <c r="AG38" s="111">
        <f>IF(AQ38="2",BI38,0)</f>
      </c>
      <c r="AH38" s="111">
        <f>IF(AQ38="0",BJ38,0)</f>
      </c>
      <c r="AI38" s="132" t="s">
        <v>91</v>
      </c>
      <c r="AJ38" s="111">
        <f>IF(AN38=0,I38,0)</f>
      </c>
      <c r="AK38" s="111">
        <f>IF(AN38=12,I38,0)</f>
      </c>
      <c r="AL38" s="111">
        <f>IF(AN38=21,I38,0)</f>
      </c>
      <c r="AN38" s="111" t="n">
        <v>21</v>
      </c>
      <c r="AO38" s="111">
        <f>H38*1</f>
      </c>
      <c r="AP38" s="111">
        <f>H38*(1-1)</f>
      </c>
      <c r="AQ38" s="153" t="s">
        <v>173</v>
      </c>
      <c r="AV38" s="111">
        <f>AW38+AX38</f>
      </c>
      <c r="AW38" s="111">
        <f>G38*AO38</f>
      </c>
      <c r="AX38" s="111">
        <f>G38*AP38</f>
      </c>
      <c r="AY38" s="153" t="s">
        <v>1855</v>
      </c>
      <c r="AZ38" s="153" t="s">
        <v>4164</v>
      </c>
      <c r="BA38" s="132" t="s">
        <v>4138</v>
      </c>
      <c r="BC38" s="111">
        <f>AW38+AX38</f>
      </c>
      <c r="BD38" s="111">
        <f>H38/(100-BE38)*100</f>
      </c>
      <c r="BE38" s="111" t="n">
        <v>0</v>
      </c>
      <c r="BF38" s="111">
        <f>38</f>
      </c>
      <c r="BH38" s="111">
        <f>G38*AO38</f>
      </c>
      <c r="BI38" s="111">
        <f>G38*AP38</f>
      </c>
      <c r="BJ38" s="111">
        <f>G38*H38</f>
      </c>
      <c r="BK38" s="111"/>
      <c r="BL38" s="111" t="n">
        <v>713</v>
      </c>
      <c r="BW38" s="111" t="n">
        <v>21</v>
      </c>
      <c r="BX38" s="14" t="s">
        <v>4188</v>
      </c>
    </row>
    <row r="39">
      <c r="A39" s="154"/>
      <c r="B39" s="155"/>
      <c r="C39" s="155"/>
      <c r="D39" s="156" t="s">
        <v>4194</v>
      </c>
      <c r="E39" s="156" t="s">
        <v>4</v>
      </c>
      <c r="F39" s="155"/>
      <c r="G39" s="157" t="n">
        <v>10</v>
      </c>
      <c r="H39" s="155"/>
      <c r="I39" s="155"/>
      <c r="J39" s="155"/>
      <c r="K39" s="146"/>
    </row>
    <row r="40">
      <c r="A40" s="154"/>
      <c r="B40" s="155"/>
      <c r="C40" s="155"/>
      <c r="D40" s="156" t="s">
        <v>3910</v>
      </c>
      <c r="E40" s="156" t="s">
        <v>4191</v>
      </c>
      <c r="F40" s="155"/>
      <c r="G40" s="157" t="n">
        <v>1</v>
      </c>
      <c r="H40" s="155"/>
      <c r="I40" s="155"/>
      <c r="J40" s="155"/>
      <c r="K40" s="146"/>
    </row>
    <row r="41">
      <c r="A41" s="9" t="s">
        <v>202</v>
      </c>
      <c r="B41" s="10" t="s">
        <v>91</v>
      </c>
      <c r="C41" s="10" t="s">
        <v>4196</v>
      </c>
      <c r="D41" s="14" t="s">
        <v>4197</v>
      </c>
      <c r="E41" s="10"/>
      <c r="F41" s="10" t="s">
        <v>282</v>
      </c>
      <c r="G41" s="111">
        <f>'Stavební rozpočet'!G2681</f>
      </c>
      <c r="H41" s="111">
        <f>'Stavební rozpočet'!H2681</f>
      </c>
      <c r="I41" s="111">
        <f>G41*H41</f>
      </c>
      <c r="J41" s="153" t="s">
        <v>4</v>
      </c>
      <c r="K41" s="146"/>
      <c r="Z41" s="111">
        <f>IF(AQ41="5",BJ41,0)</f>
      </c>
      <c r="AB41" s="111">
        <f>IF(AQ41="1",BH41,0)</f>
      </c>
      <c r="AC41" s="111">
        <f>IF(AQ41="1",BI41,0)</f>
      </c>
      <c r="AD41" s="111">
        <f>IF(AQ41="7",BH41,0)</f>
      </c>
      <c r="AE41" s="111">
        <f>IF(AQ41="7",BI41,0)</f>
      </c>
      <c r="AF41" s="111">
        <f>IF(AQ41="2",BH41,0)</f>
      </c>
      <c r="AG41" s="111">
        <f>IF(AQ41="2",BI41,0)</f>
      </c>
      <c r="AH41" s="111">
        <f>IF(AQ41="0",BJ41,0)</f>
      </c>
      <c r="AI41" s="132" t="s">
        <v>91</v>
      </c>
      <c r="AJ41" s="111">
        <f>IF(AN41=0,I41,0)</f>
      </c>
      <c r="AK41" s="111">
        <f>IF(AN41=12,I41,0)</f>
      </c>
      <c r="AL41" s="111">
        <f>IF(AN41=21,I41,0)</f>
      </c>
      <c r="AN41" s="111" t="n">
        <v>21</v>
      </c>
      <c r="AO41" s="111">
        <f>H41*1</f>
      </c>
      <c r="AP41" s="111">
        <f>H41*(1-1)</f>
      </c>
      <c r="AQ41" s="153" t="s">
        <v>173</v>
      </c>
      <c r="AV41" s="111">
        <f>AW41+AX41</f>
      </c>
      <c r="AW41" s="111">
        <f>G41*AO41</f>
      </c>
      <c r="AX41" s="111">
        <f>G41*AP41</f>
      </c>
      <c r="AY41" s="153" t="s">
        <v>1855</v>
      </c>
      <c r="AZ41" s="153" t="s">
        <v>4164</v>
      </c>
      <c r="BA41" s="132" t="s">
        <v>4138</v>
      </c>
      <c r="BC41" s="111">
        <f>AW41+AX41</f>
      </c>
      <c r="BD41" s="111">
        <f>H41/(100-BE41)*100</f>
      </c>
      <c r="BE41" s="111" t="n">
        <v>0</v>
      </c>
      <c r="BF41" s="111">
        <f>41</f>
      </c>
      <c r="BH41" s="111">
        <f>G41*AO41</f>
      </c>
      <c r="BI41" s="111">
        <f>G41*AP41</f>
      </c>
      <c r="BJ41" s="111">
        <f>G41*H41</f>
      </c>
      <c r="BK41" s="111"/>
      <c r="BL41" s="111" t="n">
        <v>713</v>
      </c>
      <c r="BW41" s="111" t="n">
        <v>21</v>
      </c>
      <c r="BX41" s="14" t="s">
        <v>4197</v>
      </c>
    </row>
    <row r="42">
      <c r="A42" s="154"/>
      <c r="B42" s="155"/>
      <c r="C42" s="155"/>
      <c r="D42" s="156" t="s">
        <v>4198</v>
      </c>
      <c r="E42" s="156" t="s">
        <v>4</v>
      </c>
      <c r="F42" s="155"/>
      <c r="G42" s="157" t="n">
        <v>74</v>
      </c>
      <c r="H42" s="155"/>
      <c r="I42" s="155"/>
      <c r="J42" s="155"/>
      <c r="K42" s="146"/>
    </row>
    <row r="43">
      <c r="A43" s="154"/>
      <c r="B43" s="155"/>
      <c r="C43" s="155"/>
      <c r="D43" s="156" t="s">
        <v>4199</v>
      </c>
      <c r="E43" s="156" t="s">
        <v>4191</v>
      </c>
      <c r="F43" s="155"/>
      <c r="G43" s="157" t="n">
        <v>6.6</v>
      </c>
      <c r="H43" s="155"/>
      <c r="I43" s="155"/>
      <c r="J43" s="155"/>
      <c r="K43" s="146"/>
    </row>
    <row r="44">
      <c r="A44" s="9" t="s">
        <v>232</v>
      </c>
      <c r="B44" s="10" t="s">
        <v>91</v>
      </c>
      <c r="C44" s="10" t="s">
        <v>4201</v>
      </c>
      <c r="D44" s="14" t="s">
        <v>4197</v>
      </c>
      <c r="E44" s="10"/>
      <c r="F44" s="10" t="s">
        <v>282</v>
      </c>
      <c r="G44" s="111">
        <f>'Stavební rozpočet'!G2684</f>
      </c>
      <c r="H44" s="111">
        <f>'Stavební rozpočet'!H2684</f>
      </c>
      <c r="I44" s="111">
        <f>G44*H44</f>
      </c>
      <c r="J44" s="153" t="s">
        <v>4</v>
      </c>
      <c r="K44" s="146"/>
      <c r="Z44" s="111">
        <f>IF(AQ44="5",BJ44,0)</f>
      </c>
      <c r="AB44" s="111">
        <f>IF(AQ44="1",BH44,0)</f>
      </c>
      <c r="AC44" s="111">
        <f>IF(AQ44="1",BI44,0)</f>
      </c>
      <c r="AD44" s="111">
        <f>IF(AQ44="7",BH44,0)</f>
      </c>
      <c r="AE44" s="111">
        <f>IF(AQ44="7",BI44,0)</f>
      </c>
      <c r="AF44" s="111">
        <f>IF(AQ44="2",BH44,0)</f>
      </c>
      <c r="AG44" s="111">
        <f>IF(AQ44="2",BI44,0)</f>
      </c>
      <c r="AH44" s="111">
        <f>IF(AQ44="0",BJ44,0)</f>
      </c>
      <c r="AI44" s="132" t="s">
        <v>91</v>
      </c>
      <c r="AJ44" s="111">
        <f>IF(AN44=0,I44,0)</f>
      </c>
      <c r="AK44" s="111">
        <f>IF(AN44=12,I44,0)</f>
      </c>
      <c r="AL44" s="111">
        <f>IF(AN44=21,I44,0)</f>
      </c>
      <c r="AN44" s="111" t="n">
        <v>21</v>
      </c>
      <c r="AO44" s="111">
        <f>H44*1</f>
      </c>
      <c r="AP44" s="111">
        <f>H44*(1-1)</f>
      </c>
      <c r="AQ44" s="153" t="s">
        <v>173</v>
      </c>
      <c r="AV44" s="111">
        <f>AW44+AX44</f>
      </c>
      <c r="AW44" s="111">
        <f>G44*AO44</f>
      </c>
      <c r="AX44" s="111">
        <f>G44*AP44</f>
      </c>
      <c r="AY44" s="153" t="s">
        <v>1855</v>
      </c>
      <c r="AZ44" s="153" t="s">
        <v>4164</v>
      </c>
      <c r="BA44" s="132" t="s">
        <v>4138</v>
      </c>
      <c r="BC44" s="111">
        <f>AW44+AX44</f>
      </c>
      <c r="BD44" s="111">
        <f>H44/(100-BE44)*100</f>
      </c>
      <c r="BE44" s="111" t="n">
        <v>0</v>
      </c>
      <c r="BF44" s="111">
        <f>44</f>
      </c>
      <c r="BH44" s="111">
        <f>G44*AO44</f>
      </c>
      <c r="BI44" s="111">
        <f>G44*AP44</f>
      </c>
      <c r="BJ44" s="111">
        <f>G44*H44</f>
      </c>
      <c r="BK44" s="111"/>
      <c r="BL44" s="111" t="n">
        <v>713</v>
      </c>
      <c r="BW44" s="111" t="n">
        <v>21</v>
      </c>
      <c r="BX44" s="14" t="s">
        <v>4197</v>
      </c>
    </row>
    <row r="45">
      <c r="A45" s="154"/>
      <c r="B45" s="155"/>
      <c r="C45" s="155"/>
      <c r="D45" s="156" t="s">
        <v>4202</v>
      </c>
      <c r="E45" s="156" t="s">
        <v>4</v>
      </c>
      <c r="F45" s="155"/>
      <c r="G45" s="157" t="n">
        <v>58</v>
      </c>
      <c r="H45" s="155"/>
      <c r="I45" s="155"/>
      <c r="J45" s="155"/>
      <c r="K45" s="146"/>
    </row>
    <row r="46">
      <c r="A46" s="154"/>
      <c r="B46" s="155"/>
      <c r="C46" s="155"/>
      <c r="D46" s="156" t="s">
        <v>4203</v>
      </c>
      <c r="E46" s="156" t="s">
        <v>4191</v>
      </c>
      <c r="F46" s="155"/>
      <c r="G46" s="157" t="n">
        <v>5.8</v>
      </c>
      <c r="H46" s="155"/>
      <c r="I46" s="155"/>
      <c r="J46" s="155"/>
      <c r="K46" s="146"/>
    </row>
    <row r="47">
      <c r="A47" s="9" t="s">
        <v>235</v>
      </c>
      <c r="B47" s="10" t="s">
        <v>91</v>
      </c>
      <c r="C47" s="10" t="s">
        <v>4205</v>
      </c>
      <c r="D47" s="14" t="s">
        <v>4206</v>
      </c>
      <c r="E47" s="10"/>
      <c r="F47" s="10" t="s">
        <v>282</v>
      </c>
      <c r="G47" s="111">
        <f>'Stavební rozpočet'!G2687</f>
      </c>
      <c r="H47" s="111">
        <f>'Stavební rozpočet'!H2687</f>
      </c>
      <c r="I47" s="111">
        <f>G47*H47</f>
      </c>
      <c r="J47" s="153" t="s">
        <v>4</v>
      </c>
      <c r="K47" s="146"/>
      <c r="Z47" s="111">
        <f>IF(AQ47="5",BJ47,0)</f>
      </c>
      <c r="AB47" s="111">
        <f>IF(AQ47="1",BH47,0)</f>
      </c>
      <c r="AC47" s="111">
        <f>IF(AQ47="1",BI47,0)</f>
      </c>
      <c r="AD47" s="111">
        <f>IF(AQ47="7",BH47,0)</f>
      </c>
      <c r="AE47" s="111">
        <f>IF(AQ47="7",BI47,0)</f>
      </c>
      <c r="AF47" s="111">
        <f>IF(AQ47="2",BH47,0)</f>
      </c>
      <c r="AG47" s="111">
        <f>IF(AQ47="2",BI47,0)</f>
      </c>
      <c r="AH47" s="111">
        <f>IF(AQ47="0",BJ47,0)</f>
      </c>
      <c r="AI47" s="132" t="s">
        <v>91</v>
      </c>
      <c r="AJ47" s="111">
        <f>IF(AN47=0,I47,0)</f>
      </c>
      <c r="AK47" s="111">
        <f>IF(AN47=12,I47,0)</f>
      </c>
      <c r="AL47" s="111">
        <f>IF(AN47=21,I47,0)</f>
      </c>
      <c r="AN47" s="111" t="n">
        <v>21</v>
      </c>
      <c r="AO47" s="111">
        <f>H47*1</f>
      </c>
      <c r="AP47" s="111">
        <f>H47*(1-1)</f>
      </c>
      <c r="AQ47" s="153" t="s">
        <v>173</v>
      </c>
      <c r="AV47" s="111">
        <f>AW47+AX47</f>
      </c>
      <c r="AW47" s="111">
        <f>G47*AO47</f>
      </c>
      <c r="AX47" s="111">
        <f>G47*AP47</f>
      </c>
      <c r="AY47" s="153" t="s">
        <v>1855</v>
      </c>
      <c r="AZ47" s="153" t="s">
        <v>4164</v>
      </c>
      <c r="BA47" s="132" t="s">
        <v>4138</v>
      </c>
      <c r="BC47" s="111">
        <f>AW47+AX47</f>
      </c>
      <c r="BD47" s="111">
        <f>H47/(100-BE47)*100</f>
      </c>
      <c r="BE47" s="111" t="n">
        <v>0</v>
      </c>
      <c r="BF47" s="111">
        <f>47</f>
      </c>
      <c r="BH47" s="111">
        <f>G47*AO47</f>
      </c>
      <c r="BI47" s="111">
        <f>G47*AP47</f>
      </c>
      <c r="BJ47" s="111">
        <f>G47*H47</f>
      </c>
      <c r="BK47" s="111"/>
      <c r="BL47" s="111" t="n">
        <v>713</v>
      </c>
      <c r="BW47" s="111" t="n">
        <v>21</v>
      </c>
      <c r="BX47" s="14" t="s">
        <v>4206</v>
      </c>
    </row>
    <row r="48">
      <c r="A48" s="9" t="s">
        <v>239</v>
      </c>
      <c r="B48" s="10" t="s">
        <v>91</v>
      </c>
      <c r="C48" s="10" t="s">
        <v>4208</v>
      </c>
      <c r="D48" s="14" t="s">
        <v>4209</v>
      </c>
      <c r="E48" s="10"/>
      <c r="F48" s="10" t="s">
        <v>282</v>
      </c>
      <c r="G48" s="111">
        <f>'Stavební rozpočet'!G2688</f>
      </c>
      <c r="H48" s="111">
        <f>'Stavební rozpočet'!H2688</f>
      </c>
      <c r="I48" s="111">
        <f>G48*H48</f>
      </c>
      <c r="J48" s="153" t="s">
        <v>4</v>
      </c>
      <c r="K48" s="146"/>
      <c r="Z48" s="111">
        <f>IF(AQ48="5",BJ48,0)</f>
      </c>
      <c r="AB48" s="111">
        <f>IF(AQ48="1",BH48,0)</f>
      </c>
      <c r="AC48" s="111">
        <f>IF(AQ48="1",BI48,0)</f>
      </c>
      <c r="AD48" s="111">
        <f>IF(AQ48="7",BH48,0)</f>
      </c>
      <c r="AE48" s="111">
        <f>IF(AQ48="7",BI48,0)</f>
      </c>
      <c r="AF48" s="111">
        <f>IF(AQ48="2",BH48,0)</f>
      </c>
      <c r="AG48" s="111">
        <f>IF(AQ48="2",BI48,0)</f>
      </c>
      <c r="AH48" s="111">
        <f>IF(AQ48="0",BJ48,0)</f>
      </c>
      <c r="AI48" s="132" t="s">
        <v>91</v>
      </c>
      <c r="AJ48" s="111">
        <f>IF(AN48=0,I48,0)</f>
      </c>
      <c r="AK48" s="111">
        <f>IF(AN48=12,I48,0)</f>
      </c>
      <c r="AL48" s="111">
        <f>IF(AN48=21,I48,0)</f>
      </c>
      <c r="AN48" s="111" t="n">
        <v>21</v>
      </c>
      <c r="AO48" s="111">
        <f>H48*1</f>
      </c>
      <c r="AP48" s="111">
        <f>H48*(1-1)</f>
      </c>
      <c r="AQ48" s="153" t="s">
        <v>173</v>
      </c>
      <c r="AV48" s="111">
        <f>AW48+AX48</f>
      </c>
      <c r="AW48" s="111">
        <f>G48*AO48</f>
      </c>
      <c r="AX48" s="111">
        <f>G48*AP48</f>
      </c>
      <c r="AY48" s="153" t="s">
        <v>1855</v>
      </c>
      <c r="AZ48" s="153" t="s">
        <v>4164</v>
      </c>
      <c r="BA48" s="132" t="s">
        <v>4138</v>
      </c>
      <c r="BC48" s="111">
        <f>AW48+AX48</f>
      </c>
      <c r="BD48" s="111">
        <f>H48/(100-BE48)*100</f>
      </c>
      <c r="BE48" s="111" t="n">
        <v>0</v>
      </c>
      <c r="BF48" s="111">
        <f>48</f>
      </c>
      <c r="BH48" s="111">
        <f>G48*AO48</f>
      </c>
      <c r="BI48" s="111">
        <f>G48*AP48</f>
      </c>
      <c r="BJ48" s="111">
        <f>G48*H48</f>
      </c>
      <c r="BK48" s="111"/>
      <c r="BL48" s="111" t="n">
        <v>713</v>
      </c>
      <c r="BW48" s="111" t="n">
        <v>21</v>
      </c>
      <c r="BX48" s="14" t="s">
        <v>4209</v>
      </c>
    </row>
    <row r="49">
      <c r="A49" s="154"/>
      <c r="B49" s="155"/>
      <c r="C49" s="155"/>
      <c r="D49" s="156" t="s">
        <v>4210</v>
      </c>
      <c r="E49" s="156" t="s">
        <v>4</v>
      </c>
      <c r="F49" s="155"/>
      <c r="G49" s="157" t="n">
        <v>64</v>
      </c>
      <c r="H49" s="155"/>
      <c r="I49" s="155"/>
      <c r="J49" s="155"/>
      <c r="K49" s="146"/>
    </row>
    <row r="50">
      <c r="A50" s="154"/>
      <c r="B50" s="155"/>
      <c r="C50" s="155"/>
      <c r="D50" s="156" t="s">
        <v>4211</v>
      </c>
      <c r="E50" s="156" t="s">
        <v>4191</v>
      </c>
      <c r="F50" s="155"/>
      <c r="G50" s="157" t="n">
        <v>6.4</v>
      </c>
      <c r="H50" s="155"/>
      <c r="I50" s="155"/>
      <c r="J50" s="155"/>
      <c r="K50" s="146"/>
    </row>
    <row r="51">
      <c r="A51" s="147" t="s">
        <v>4</v>
      </c>
      <c r="B51" s="148" t="s">
        <v>91</v>
      </c>
      <c r="C51" s="148" t="s">
        <v>3723</v>
      </c>
      <c r="D51" s="149" t="s">
        <v>3724</v>
      </c>
      <c r="E51" s="148"/>
      <c r="F51" s="150" t="s">
        <v>79</v>
      </c>
      <c r="G51" s="150" t="s">
        <v>79</v>
      </c>
      <c r="H51" s="150" t="s">
        <v>79</v>
      </c>
      <c r="I51" s="117">
        <f>SUM(I52:I87)</f>
      </c>
      <c r="J51" s="132" t="s">
        <v>4</v>
      </c>
      <c r="K51" s="146"/>
      <c r="AI51" s="132" t="s">
        <v>91</v>
      </c>
      <c r="AS51" s="117">
        <f>SUM(AJ52:AJ87)</f>
      </c>
      <c r="AT51" s="117">
        <f>SUM(AK52:AK87)</f>
      </c>
      <c r="AU51" s="117">
        <f>SUM(AL52:AL87)</f>
      </c>
    </row>
    <row r="52">
      <c r="A52" s="9" t="s">
        <v>255</v>
      </c>
      <c r="B52" s="10" t="s">
        <v>91</v>
      </c>
      <c r="C52" s="10" t="s">
        <v>4213</v>
      </c>
      <c r="D52" s="14" t="s">
        <v>4214</v>
      </c>
      <c r="E52" s="10"/>
      <c r="F52" s="10" t="s">
        <v>1962</v>
      </c>
      <c r="G52" s="111">
        <f>'Stavební rozpočet'!G2692</f>
      </c>
      <c r="H52" s="111">
        <f>'Stavební rozpočet'!H2692</f>
      </c>
      <c r="I52" s="111">
        <f>G52*H52</f>
      </c>
      <c r="J52" s="153" t="s">
        <v>4</v>
      </c>
      <c r="K52" s="146"/>
      <c r="Z52" s="111">
        <f>IF(AQ52="5",BJ52,0)</f>
      </c>
      <c r="AB52" s="111">
        <f>IF(AQ52="1",BH52,0)</f>
      </c>
      <c r="AC52" s="111">
        <f>IF(AQ52="1",BI52,0)</f>
      </c>
      <c r="AD52" s="111">
        <f>IF(AQ52="7",BH52,0)</f>
      </c>
      <c r="AE52" s="111">
        <f>IF(AQ52="7",BI52,0)</f>
      </c>
      <c r="AF52" s="111">
        <f>IF(AQ52="2",BH52,0)</f>
      </c>
      <c r="AG52" s="111">
        <f>IF(AQ52="2",BI52,0)</f>
      </c>
      <c r="AH52" s="111">
        <f>IF(AQ52="0",BJ52,0)</f>
      </c>
      <c r="AI52" s="132" t="s">
        <v>91</v>
      </c>
      <c r="AJ52" s="111">
        <f>IF(AN52=0,I52,0)</f>
      </c>
      <c r="AK52" s="111">
        <f>IF(AN52=12,I52,0)</f>
      </c>
      <c r="AL52" s="111">
        <f>IF(AN52=21,I52,0)</f>
      </c>
      <c r="AN52" s="111" t="n">
        <v>21</v>
      </c>
      <c r="AO52" s="111">
        <f>H52*0</f>
      </c>
      <c r="AP52" s="111">
        <f>H52*(1-0)</f>
      </c>
      <c r="AQ52" s="153" t="s">
        <v>173</v>
      </c>
      <c r="AV52" s="111">
        <f>AW52+AX52</f>
      </c>
      <c r="AW52" s="111">
        <f>G52*AO52</f>
      </c>
      <c r="AX52" s="111">
        <f>G52*AP52</f>
      </c>
      <c r="AY52" s="153" t="s">
        <v>3728</v>
      </c>
      <c r="AZ52" s="153" t="s">
        <v>4215</v>
      </c>
      <c r="BA52" s="132" t="s">
        <v>4138</v>
      </c>
      <c r="BC52" s="111">
        <f>AW52+AX52</f>
      </c>
      <c r="BD52" s="111">
        <f>H52/(100-BE52)*100</f>
      </c>
      <c r="BE52" s="111" t="n">
        <v>0</v>
      </c>
      <c r="BF52" s="111">
        <f>52</f>
      </c>
      <c r="BH52" s="111">
        <f>G52*AO52</f>
      </c>
      <c r="BI52" s="111">
        <f>G52*AP52</f>
      </c>
      <c r="BJ52" s="111">
        <f>G52*H52</f>
      </c>
      <c r="BK52" s="111"/>
      <c r="BL52" s="111" t="n">
        <v>732</v>
      </c>
      <c r="BW52" s="111" t="n">
        <v>21</v>
      </c>
      <c r="BX52" s="14" t="s">
        <v>4214</v>
      </c>
    </row>
    <row r="53" ht="24.75">
      <c r="A53" s="9" t="s">
        <v>261</v>
      </c>
      <c r="B53" s="10" t="s">
        <v>91</v>
      </c>
      <c r="C53" s="10" t="s">
        <v>4217</v>
      </c>
      <c r="D53" s="14" t="s">
        <v>4218</v>
      </c>
      <c r="E53" s="10"/>
      <c r="F53" s="10" t="s">
        <v>133</v>
      </c>
      <c r="G53" s="111">
        <f>'Stavební rozpočet'!G2693</f>
      </c>
      <c r="H53" s="111">
        <f>'Stavební rozpočet'!H2693</f>
      </c>
      <c r="I53" s="111">
        <f>G53*H53</f>
      </c>
      <c r="J53" s="153" t="s">
        <v>4</v>
      </c>
      <c r="K53" s="146"/>
      <c r="Z53" s="111">
        <f>IF(AQ53="5",BJ53,0)</f>
      </c>
      <c r="AB53" s="111">
        <f>IF(AQ53="1",BH53,0)</f>
      </c>
      <c r="AC53" s="111">
        <f>IF(AQ53="1",BI53,0)</f>
      </c>
      <c r="AD53" s="111">
        <f>IF(AQ53="7",BH53,0)</f>
      </c>
      <c r="AE53" s="111">
        <f>IF(AQ53="7",BI53,0)</f>
      </c>
      <c r="AF53" s="111">
        <f>IF(AQ53="2",BH53,0)</f>
      </c>
      <c r="AG53" s="111">
        <f>IF(AQ53="2",BI53,0)</f>
      </c>
      <c r="AH53" s="111">
        <f>IF(AQ53="0",BJ53,0)</f>
      </c>
      <c r="AI53" s="132" t="s">
        <v>91</v>
      </c>
      <c r="AJ53" s="111">
        <f>IF(AN53=0,I53,0)</f>
      </c>
      <c r="AK53" s="111">
        <f>IF(AN53=12,I53,0)</f>
      </c>
      <c r="AL53" s="111">
        <f>IF(AN53=21,I53,0)</f>
      </c>
      <c r="AN53" s="111" t="n">
        <v>21</v>
      </c>
      <c r="AO53" s="111">
        <f>H53*0</f>
      </c>
      <c r="AP53" s="111">
        <f>H53*(1-0)</f>
      </c>
      <c r="AQ53" s="153" t="s">
        <v>173</v>
      </c>
      <c r="AV53" s="111">
        <f>AW53+AX53</f>
      </c>
      <c r="AW53" s="111">
        <f>G53*AO53</f>
      </c>
      <c r="AX53" s="111">
        <f>G53*AP53</f>
      </c>
      <c r="AY53" s="153" t="s">
        <v>3728</v>
      </c>
      <c r="AZ53" s="153" t="s">
        <v>4215</v>
      </c>
      <c r="BA53" s="132" t="s">
        <v>4138</v>
      </c>
      <c r="BC53" s="111">
        <f>AW53+AX53</f>
      </c>
      <c r="BD53" s="111">
        <f>H53/(100-BE53)*100</f>
      </c>
      <c r="BE53" s="111" t="n">
        <v>0</v>
      </c>
      <c r="BF53" s="111">
        <f>53</f>
      </c>
      <c r="BH53" s="111">
        <f>G53*AO53</f>
      </c>
      <c r="BI53" s="111">
        <f>G53*AP53</f>
      </c>
      <c r="BJ53" s="111">
        <f>G53*H53</f>
      </c>
      <c r="BK53" s="111"/>
      <c r="BL53" s="111" t="n">
        <v>732</v>
      </c>
      <c r="BW53" s="111" t="n">
        <v>21</v>
      </c>
      <c r="BX53" s="14" t="s">
        <v>4218</v>
      </c>
    </row>
    <row r="54" ht="24.75">
      <c r="A54" s="9" t="s">
        <v>266</v>
      </c>
      <c r="B54" s="10" t="s">
        <v>91</v>
      </c>
      <c r="C54" s="10" t="s">
        <v>4220</v>
      </c>
      <c r="D54" s="14" t="s">
        <v>4221</v>
      </c>
      <c r="E54" s="10"/>
      <c r="F54" s="10" t="s">
        <v>133</v>
      </c>
      <c r="G54" s="111">
        <f>'Stavební rozpočet'!G2694</f>
      </c>
      <c r="H54" s="111">
        <f>'Stavební rozpočet'!H2694</f>
      </c>
      <c r="I54" s="111">
        <f>G54*H54</f>
      </c>
      <c r="J54" s="153" t="s">
        <v>4</v>
      </c>
      <c r="K54" s="146"/>
      <c r="Z54" s="111">
        <f>IF(AQ54="5",BJ54,0)</f>
      </c>
      <c r="AB54" s="111">
        <f>IF(AQ54="1",BH54,0)</f>
      </c>
      <c r="AC54" s="111">
        <f>IF(AQ54="1",BI54,0)</f>
      </c>
      <c r="AD54" s="111">
        <f>IF(AQ54="7",BH54,0)</f>
      </c>
      <c r="AE54" s="111">
        <f>IF(AQ54="7",BI54,0)</f>
      </c>
      <c r="AF54" s="111">
        <f>IF(AQ54="2",BH54,0)</f>
      </c>
      <c r="AG54" s="111">
        <f>IF(AQ54="2",BI54,0)</f>
      </c>
      <c r="AH54" s="111">
        <f>IF(AQ54="0",BJ54,0)</f>
      </c>
      <c r="AI54" s="132" t="s">
        <v>91</v>
      </c>
      <c r="AJ54" s="111">
        <f>IF(AN54=0,I54,0)</f>
      </c>
      <c r="AK54" s="111">
        <f>IF(AN54=12,I54,0)</f>
      </c>
      <c r="AL54" s="111">
        <f>IF(AN54=21,I54,0)</f>
      </c>
      <c r="AN54" s="111" t="n">
        <v>21</v>
      </c>
      <c r="AO54" s="111">
        <f>H54*0</f>
      </c>
      <c r="AP54" s="111">
        <f>H54*(1-0)</f>
      </c>
      <c r="AQ54" s="153" t="s">
        <v>173</v>
      </c>
      <c r="AV54" s="111">
        <f>AW54+AX54</f>
      </c>
      <c r="AW54" s="111">
        <f>G54*AO54</f>
      </c>
      <c r="AX54" s="111">
        <f>G54*AP54</f>
      </c>
      <c r="AY54" s="153" t="s">
        <v>3728</v>
      </c>
      <c r="AZ54" s="153" t="s">
        <v>4215</v>
      </c>
      <c r="BA54" s="132" t="s">
        <v>4138</v>
      </c>
      <c r="BC54" s="111">
        <f>AW54+AX54</f>
      </c>
      <c r="BD54" s="111">
        <f>H54/(100-BE54)*100</f>
      </c>
      <c r="BE54" s="111" t="n">
        <v>0</v>
      </c>
      <c r="BF54" s="111">
        <f>54</f>
      </c>
      <c r="BH54" s="111">
        <f>G54*AO54</f>
      </c>
      <c r="BI54" s="111">
        <f>G54*AP54</f>
      </c>
      <c r="BJ54" s="111">
        <f>G54*H54</f>
      </c>
      <c r="BK54" s="111"/>
      <c r="BL54" s="111" t="n">
        <v>732</v>
      </c>
      <c r="BW54" s="111" t="n">
        <v>21</v>
      </c>
      <c r="BX54" s="14" t="s">
        <v>4221</v>
      </c>
    </row>
    <row r="55" ht="24.75">
      <c r="A55" s="9" t="s">
        <v>274</v>
      </c>
      <c r="B55" s="10" t="s">
        <v>91</v>
      </c>
      <c r="C55" s="10" t="s">
        <v>4223</v>
      </c>
      <c r="D55" s="14" t="s">
        <v>4224</v>
      </c>
      <c r="E55" s="10"/>
      <c r="F55" s="10" t="s">
        <v>133</v>
      </c>
      <c r="G55" s="111">
        <f>'Stavební rozpočet'!G2695</f>
      </c>
      <c r="H55" s="111">
        <f>'Stavební rozpočet'!H2695</f>
      </c>
      <c r="I55" s="111">
        <f>G55*H55</f>
      </c>
      <c r="J55" s="153" t="s">
        <v>4</v>
      </c>
      <c r="K55" s="146"/>
      <c r="Z55" s="111">
        <f>IF(AQ55="5",BJ55,0)</f>
      </c>
      <c r="AB55" s="111">
        <f>IF(AQ55="1",BH55,0)</f>
      </c>
      <c r="AC55" s="111">
        <f>IF(AQ55="1",BI55,0)</f>
      </c>
      <c r="AD55" s="111">
        <f>IF(AQ55="7",BH55,0)</f>
      </c>
      <c r="AE55" s="111">
        <f>IF(AQ55="7",BI55,0)</f>
      </c>
      <c r="AF55" s="111">
        <f>IF(AQ55="2",BH55,0)</f>
      </c>
      <c r="AG55" s="111">
        <f>IF(AQ55="2",BI55,0)</f>
      </c>
      <c r="AH55" s="111">
        <f>IF(AQ55="0",BJ55,0)</f>
      </c>
      <c r="AI55" s="132" t="s">
        <v>91</v>
      </c>
      <c r="AJ55" s="111">
        <f>IF(AN55=0,I55,0)</f>
      </c>
      <c r="AK55" s="111">
        <f>IF(AN55=12,I55,0)</f>
      </c>
      <c r="AL55" s="111">
        <f>IF(AN55=21,I55,0)</f>
      </c>
      <c r="AN55" s="111" t="n">
        <v>21</v>
      </c>
      <c r="AO55" s="111">
        <f>H55*0</f>
      </c>
      <c r="AP55" s="111">
        <f>H55*(1-0)</f>
      </c>
      <c r="AQ55" s="153" t="s">
        <v>173</v>
      </c>
      <c r="AV55" s="111">
        <f>AW55+AX55</f>
      </c>
      <c r="AW55" s="111">
        <f>G55*AO55</f>
      </c>
      <c r="AX55" s="111">
        <f>G55*AP55</f>
      </c>
      <c r="AY55" s="153" t="s">
        <v>3728</v>
      </c>
      <c r="AZ55" s="153" t="s">
        <v>4215</v>
      </c>
      <c r="BA55" s="132" t="s">
        <v>4138</v>
      </c>
      <c r="BC55" s="111">
        <f>AW55+AX55</f>
      </c>
      <c r="BD55" s="111">
        <f>H55/(100-BE55)*100</f>
      </c>
      <c r="BE55" s="111" t="n">
        <v>0</v>
      </c>
      <c r="BF55" s="111">
        <f>55</f>
      </c>
      <c r="BH55" s="111">
        <f>G55*AO55</f>
      </c>
      <c r="BI55" s="111">
        <f>G55*AP55</f>
      </c>
      <c r="BJ55" s="111">
        <f>G55*H55</f>
      </c>
      <c r="BK55" s="111"/>
      <c r="BL55" s="111" t="n">
        <v>732</v>
      </c>
      <c r="BW55" s="111" t="n">
        <v>21</v>
      </c>
      <c r="BX55" s="14" t="s">
        <v>4224</v>
      </c>
    </row>
    <row r="56" ht="24.75">
      <c r="A56" s="9" t="s">
        <v>279</v>
      </c>
      <c r="B56" s="10" t="s">
        <v>91</v>
      </c>
      <c r="C56" s="10" t="s">
        <v>4226</v>
      </c>
      <c r="D56" s="14" t="s">
        <v>4227</v>
      </c>
      <c r="E56" s="10"/>
      <c r="F56" s="10" t="s">
        <v>133</v>
      </c>
      <c r="G56" s="111">
        <f>'Stavební rozpočet'!G2696</f>
      </c>
      <c r="H56" s="111">
        <f>'Stavební rozpočet'!H2696</f>
      </c>
      <c r="I56" s="111">
        <f>G56*H56</f>
      </c>
      <c r="J56" s="153" t="s">
        <v>4</v>
      </c>
      <c r="K56" s="146"/>
      <c r="Z56" s="111">
        <f>IF(AQ56="5",BJ56,0)</f>
      </c>
      <c r="AB56" s="111">
        <f>IF(AQ56="1",BH56,0)</f>
      </c>
      <c r="AC56" s="111">
        <f>IF(AQ56="1",BI56,0)</f>
      </c>
      <c r="AD56" s="111">
        <f>IF(AQ56="7",BH56,0)</f>
      </c>
      <c r="AE56" s="111">
        <f>IF(AQ56="7",BI56,0)</f>
      </c>
      <c r="AF56" s="111">
        <f>IF(AQ56="2",BH56,0)</f>
      </c>
      <c r="AG56" s="111">
        <f>IF(AQ56="2",BI56,0)</f>
      </c>
      <c r="AH56" s="111">
        <f>IF(AQ56="0",BJ56,0)</f>
      </c>
      <c r="AI56" s="132" t="s">
        <v>91</v>
      </c>
      <c r="AJ56" s="111">
        <f>IF(AN56=0,I56,0)</f>
      </c>
      <c r="AK56" s="111">
        <f>IF(AN56=12,I56,0)</f>
      </c>
      <c r="AL56" s="111">
        <f>IF(AN56=21,I56,0)</f>
      </c>
      <c r="AN56" s="111" t="n">
        <v>21</v>
      </c>
      <c r="AO56" s="111">
        <f>H56*0</f>
      </c>
      <c r="AP56" s="111">
        <f>H56*(1-0)</f>
      </c>
      <c r="AQ56" s="153" t="s">
        <v>173</v>
      </c>
      <c r="AV56" s="111">
        <f>AW56+AX56</f>
      </c>
      <c r="AW56" s="111">
        <f>G56*AO56</f>
      </c>
      <c r="AX56" s="111">
        <f>G56*AP56</f>
      </c>
      <c r="AY56" s="153" t="s">
        <v>3728</v>
      </c>
      <c r="AZ56" s="153" t="s">
        <v>4215</v>
      </c>
      <c r="BA56" s="132" t="s">
        <v>4138</v>
      </c>
      <c r="BC56" s="111">
        <f>AW56+AX56</f>
      </c>
      <c r="BD56" s="111">
        <f>H56/(100-BE56)*100</f>
      </c>
      <c r="BE56" s="111" t="n">
        <v>0</v>
      </c>
      <c r="BF56" s="111">
        <f>56</f>
      </c>
      <c r="BH56" s="111">
        <f>G56*AO56</f>
      </c>
      <c r="BI56" s="111">
        <f>G56*AP56</f>
      </c>
      <c r="BJ56" s="111">
        <f>G56*H56</f>
      </c>
      <c r="BK56" s="111"/>
      <c r="BL56" s="111" t="n">
        <v>732</v>
      </c>
      <c r="BW56" s="111" t="n">
        <v>21</v>
      </c>
      <c r="BX56" s="14" t="s">
        <v>4227</v>
      </c>
    </row>
    <row r="57">
      <c r="A57" s="9" t="s">
        <v>290</v>
      </c>
      <c r="B57" s="10" t="s">
        <v>91</v>
      </c>
      <c r="C57" s="10" t="s">
        <v>4229</v>
      </c>
      <c r="D57" s="14" t="s">
        <v>4230</v>
      </c>
      <c r="E57" s="10"/>
      <c r="F57" s="10" t="s">
        <v>1962</v>
      </c>
      <c r="G57" s="111">
        <f>'Stavební rozpočet'!G2697</f>
      </c>
      <c r="H57" s="111">
        <f>'Stavební rozpočet'!H2697</f>
      </c>
      <c r="I57" s="111">
        <f>G57*H57</f>
      </c>
      <c r="J57" s="153" t="s">
        <v>4</v>
      </c>
      <c r="K57" s="146"/>
      <c r="Z57" s="111">
        <f>IF(AQ57="5",BJ57,0)</f>
      </c>
      <c r="AB57" s="111">
        <f>IF(AQ57="1",BH57,0)</f>
      </c>
      <c r="AC57" s="111">
        <f>IF(AQ57="1",BI57,0)</f>
      </c>
      <c r="AD57" s="111">
        <f>IF(AQ57="7",BH57,0)</f>
      </c>
      <c r="AE57" s="111">
        <f>IF(AQ57="7",BI57,0)</f>
      </c>
      <c r="AF57" s="111">
        <f>IF(AQ57="2",BH57,0)</f>
      </c>
      <c r="AG57" s="111">
        <f>IF(AQ57="2",BI57,0)</f>
      </c>
      <c r="AH57" s="111">
        <f>IF(AQ57="0",BJ57,0)</f>
      </c>
      <c r="AI57" s="132" t="s">
        <v>91</v>
      </c>
      <c r="AJ57" s="111">
        <f>IF(AN57=0,I57,0)</f>
      </c>
      <c r="AK57" s="111">
        <f>IF(AN57=12,I57,0)</f>
      </c>
      <c r="AL57" s="111">
        <f>IF(AN57=21,I57,0)</f>
      </c>
      <c r="AN57" s="111" t="n">
        <v>21</v>
      </c>
      <c r="AO57" s="111">
        <f>H57*0</f>
      </c>
      <c r="AP57" s="111">
        <f>H57*(1-0)</f>
      </c>
      <c r="AQ57" s="153" t="s">
        <v>173</v>
      </c>
      <c r="AV57" s="111">
        <f>AW57+AX57</f>
      </c>
      <c r="AW57" s="111">
        <f>G57*AO57</f>
      </c>
      <c r="AX57" s="111">
        <f>G57*AP57</f>
      </c>
      <c r="AY57" s="153" t="s">
        <v>3728</v>
      </c>
      <c r="AZ57" s="153" t="s">
        <v>4215</v>
      </c>
      <c r="BA57" s="132" t="s">
        <v>4138</v>
      </c>
      <c r="BC57" s="111">
        <f>AW57+AX57</f>
      </c>
      <c r="BD57" s="111">
        <f>H57/(100-BE57)*100</f>
      </c>
      <c r="BE57" s="111" t="n">
        <v>0</v>
      </c>
      <c r="BF57" s="111">
        <f>57</f>
      </c>
      <c r="BH57" s="111">
        <f>G57*AO57</f>
      </c>
      <c r="BI57" s="111">
        <f>G57*AP57</f>
      </c>
      <c r="BJ57" s="111">
        <f>G57*H57</f>
      </c>
      <c r="BK57" s="111"/>
      <c r="BL57" s="111" t="n">
        <v>732</v>
      </c>
      <c r="BW57" s="111" t="n">
        <v>21</v>
      </c>
      <c r="BX57" s="14" t="s">
        <v>4230</v>
      </c>
    </row>
    <row r="58">
      <c r="A58" s="9" t="s">
        <v>310</v>
      </c>
      <c r="B58" s="10" t="s">
        <v>91</v>
      </c>
      <c r="C58" s="10" t="s">
        <v>4232</v>
      </c>
      <c r="D58" s="14" t="s">
        <v>4233</v>
      </c>
      <c r="E58" s="10"/>
      <c r="F58" s="10" t="s">
        <v>1962</v>
      </c>
      <c r="G58" s="111">
        <f>'Stavební rozpočet'!G2698</f>
      </c>
      <c r="H58" s="111">
        <f>'Stavební rozpočet'!H2698</f>
      </c>
      <c r="I58" s="111">
        <f>G58*H58</f>
      </c>
      <c r="J58" s="153" t="s">
        <v>4</v>
      </c>
      <c r="K58" s="146"/>
      <c r="Z58" s="111">
        <f>IF(AQ58="5",BJ58,0)</f>
      </c>
      <c r="AB58" s="111">
        <f>IF(AQ58="1",BH58,0)</f>
      </c>
      <c r="AC58" s="111">
        <f>IF(AQ58="1",BI58,0)</f>
      </c>
      <c r="AD58" s="111">
        <f>IF(AQ58="7",BH58,0)</f>
      </c>
      <c r="AE58" s="111">
        <f>IF(AQ58="7",BI58,0)</f>
      </c>
      <c r="AF58" s="111">
        <f>IF(AQ58="2",BH58,0)</f>
      </c>
      <c r="AG58" s="111">
        <f>IF(AQ58="2",BI58,0)</f>
      </c>
      <c r="AH58" s="111">
        <f>IF(AQ58="0",BJ58,0)</f>
      </c>
      <c r="AI58" s="132" t="s">
        <v>91</v>
      </c>
      <c r="AJ58" s="111">
        <f>IF(AN58=0,I58,0)</f>
      </c>
      <c r="AK58" s="111">
        <f>IF(AN58=12,I58,0)</f>
      </c>
      <c r="AL58" s="111">
        <f>IF(AN58=21,I58,0)</f>
      </c>
      <c r="AN58" s="111" t="n">
        <v>21</v>
      </c>
      <c r="AO58" s="111">
        <f>H58*0</f>
      </c>
      <c r="AP58" s="111">
        <f>H58*(1-0)</f>
      </c>
      <c r="AQ58" s="153" t="s">
        <v>173</v>
      </c>
      <c r="AV58" s="111">
        <f>AW58+AX58</f>
      </c>
      <c r="AW58" s="111">
        <f>G58*AO58</f>
      </c>
      <c r="AX58" s="111">
        <f>G58*AP58</f>
      </c>
      <c r="AY58" s="153" t="s">
        <v>3728</v>
      </c>
      <c r="AZ58" s="153" t="s">
        <v>4215</v>
      </c>
      <c r="BA58" s="132" t="s">
        <v>4138</v>
      </c>
      <c r="BC58" s="111">
        <f>AW58+AX58</f>
      </c>
      <c r="BD58" s="111">
        <f>H58/(100-BE58)*100</f>
      </c>
      <c r="BE58" s="111" t="n">
        <v>0</v>
      </c>
      <c r="BF58" s="111">
        <f>58</f>
      </c>
      <c r="BH58" s="111">
        <f>G58*AO58</f>
      </c>
      <c r="BI58" s="111">
        <f>G58*AP58</f>
      </c>
      <c r="BJ58" s="111">
        <f>G58*H58</f>
      </c>
      <c r="BK58" s="111"/>
      <c r="BL58" s="111" t="n">
        <v>732</v>
      </c>
      <c r="BW58" s="111" t="n">
        <v>21</v>
      </c>
      <c r="BX58" s="14" t="s">
        <v>4233</v>
      </c>
    </row>
    <row r="59">
      <c r="A59" s="9" t="s">
        <v>288</v>
      </c>
      <c r="B59" s="10" t="s">
        <v>91</v>
      </c>
      <c r="C59" s="10" t="s">
        <v>4235</v>
      </c>
      <c r="D59" s="14" t="s">
        <v>4236</v>
      </c>
      <c r="E59" s="10"/>
      <c r="F59" s="10" t="s">
        <v>1962</v>
      </c>
      <c r="G59" s="111">
        <f>'Stavební rozpočet'!G2699</f>
      </c>
      <c r="H59" s="111">
        <f>'Stavební rozpočet'!H2699</f>
      </c>
      <c r="I59" s="111">
        <f>G59*H59</f>
      </c>
      <c r="J59" s="153" t="s">
        <v>4</v>
      </c>
      <c r="K59" s="146"/>
      <c r="Z59" s="111">
        <f>IF(AQ59="5",BJ59,0)</f>
      </c>
      <c r="AB59" s="111">
        <f>IF(AQ59="1",BH59,0)</f>
      </c>
      <c r="AC59" s="111">
        <f>IF(AQ59="1",BI59,0)</f>
      </c>
      <c r="AD59" s="111">
        <f>IF(AQ59="7",BH59,0)</f>
      </c>
      <c r="AE59" s="111">
        <f>IF(AQ59="7",BI59,0)</f>
      </c>
      <c r="AF59" s="111">
        <f>IF(AQ59="2",BH59,0)</f>
      </c>
      <c r="AG59" s="111">
        <f>IF(AQ59="2",BI59,0)</f>
      </c>
      <c r="AH59" s="111">
        <f>IF(AQ59="0",BJ59,0)</f>
      </c>
      <c r="AI59" s="132" t="s">
        <v>91</v>
      </c>
      <c r="AJ59" s="111">
        <f>IF(AN59=0,I59,0)</f>
      </c>
      <c r="AK59" s="111">
        <f>IF(AN59=12,I59,0)</f>
      </c>
      <c r="AL59" s="111">
        <f>IF(AN59=21,I59,0)</f>
      </c>
      <c r="AN59" s="111" t="n">
        <v>21</v>
      </c>
      <c r="AO59" s="111">
        <f>H59*0</f>
      </c>
      <c r="AP59" s="111">
        <f>H59*(1-0)</f>
      </c>
      <c r="AQ59" s="153" t="s">
        <v>173</v>
      </c>
      <c r="AV59" s="111">
        <f>AW59+AX59</f>
      </c>
      <c r="AW59" s="111">
        <f>G59*AO59</f>
      </c>
      <c r="AX59" s="111">
        <f>G59*AP59</f>
      </c>
      <c r="AY59" s="153" t="s">
        <v>3728</v>
      </c>
      <c r="AZ59" s="153" t="s">
        <v>4215</v>
      </c>
      <c r="BA59" s="132" t="s">
        <v>4138</v>
      </c>
      <c r="BC59" s="111">
        <f>AW59+AX59</f>
      </c>
      <c r="BD59" s="111">
        <f>H59/(100-BE59)*100</f>
      </c>
      <c r="BE59" s="111" t="n">
        <v>0</v>
      </c>
      <c r="BF59" s="111">
        <f>59</f>
      </c>
      <c r="BH59" s="111">
        <f>G59*AO59</f>
      </c>
      <c r="BI59" s="111">
        <f>G59*AP59</f>
      </c>
      <c r="BJ59" s="111">
        <f>G59*H59</f>
      </c>
      <c r="BK59" s="111"/>
      <c r="BL59" s="111" t="n">
        <v>732</v>
      </c>
      <c r="BW59" s="111" t="n">
        <v>21</v>
      </c>
      <c r="BX59" s="14" t="s">
        <v>4236</v>
      </c>
    </row>
    <row r="60">
      <c r="A60" s="9" t="s">
        <v>330</v>
      </c>
      <c r="B60" s="10" t="s">
        <v>91</v>
      </c>
      <c r="C60" s="10" t="s">
        <v>4238</v>
      </c>
      <c r="D60" s="14" t="s">
        <v>4239</v>
      </c>
      <c r="E60" s="10"/>
      <c r="F60" s="10" t="s">
        <v>1962</v>
      </c>
      <c r="G60" s="111">
        <f>'Stavební rozpočet'!G2700</f>
      </c>
      <c r="H60" s="111">
        <f>'Stavební rozpočet'!H2700</f>
      </c>
      <c r="I60" s="111">
        <f>G60*H60</f>
      </c>
      <c r="J60" s="153" t="s">
        <v>4</v>
      </c>
      <c r="K60" s="146"/>
      <c r="Z60" s="111">
        <f>IF(AQ60="5",BJ60,0)</f>
      </c>
      <c r="AB60" s="111">
        <f>IF(AQ60="1",BH60,0)</f>
      </c>
      <c r="AC60" s="111">
        <f>IF(AQ60="1",BI60,0)</f>
      </c>
      <c r="AD60" s="111">
        <f>IF(AQ60="7",BH60,0)</f>
      </c>
      <c r="AE60" s="111">
        <f>IF(AQ60="7",BI60,0)</f>
      </c>
      <c r="AF60" s="111">
        <f>IF(AQ60="2",BH60,0)</f>
      </c>
      <c r="AG60" s="111">
        <f>IF(AQ60="2",BI60,0)</f>
      </c>
      <c r="AH60" s="111">
        <f>IF(AQ60="0",BJ60,0)</f>
      </c>
      <c r="AI60" s="132" t="s">
        <v>91</v>
      </c>
      <c r="AJ60" s="111">
        <f>IF(AN60=0,I60,0)</f>
      </c>
      <c r="AK60" s="111">
        <f>IF(AN60=12,I60,0)</f>
      </c>
      <c r="AL60" s="111">
        <f>IF(AN60=21,I60,0)</f>
      </c>
      <c r="AN60" s="111" t="n">
        <v>21</v>
      </c>
      <c r="AO60" s="111">
        <f>H60*0</f>
      </c>
      <c r="AP60" s="111">
        <f>H60*(1-0)</f>
      </c>
      <c r="AQ60" s="153" t="s">
        <v>173</v>
      </c>
      <c r="AV60" s="111">
        <f>AW60+AX60</f>
      </c>
      <c r="AW60" s="111">
        <f>G60*AO60</f>
      </c>
      <c r="AX60" s="111">
        <f>G60*AP60</f>
      </c>
      <c r="AY60" s="153" t="s">
        <v>3728</v>
      </c>
      <c r="AZ60" s="153" t="s">
        <v>4215</v>
      </c>
      <c r="BA60" s="132" t="s">
        <v>4138</v>
      </c>
      <c r="BC60" s="111">
        <f>AW60+AX60</f>
      </c>
      <c r="BD60" s="111">
        <f>H60/(100-BE60)*100</f>
      </c>
      <c r="BE60" s="111" t="n">
        <v>0</v>
      </c>
      <c r="BF60" s="111">
        <f>60</f>
      </c>
      <c r="BH60" s="111">
        <f>G60*AO60</f>
      </c>
      <c r="BI60" s="111">
        <f>G60*AP60</f>
      </c>
      <c r="BJ60" s="111">
        <f>G60*H60</f>
      </c>
      <c r="BK60" s="111"/>
      <c r="BL60" s="111" t="n">
        <v>732</v>
      </c>
      <c r="BW60" s="111" t="n">
        <v>21</v>
      </c>
      <c r="BX60" s="14" t="s">
        <v>4239</v>
      </c>
    </row>
    <row r="61">
      <c r="A61" s="9" t="s">
        <v>333</v>
      </c>
      <c r="B61" s="10" t="s">
        <v>91</v>
      </c>
      <c r="C61" s="10" t="s">
        <v>4241</v>
      </c>
      <c r="D61" s="14" t="s">
        <v>4242</v>
      </c>
      <c r="E61" s="10"/>
      <c r="F61" s="10" t="s">
        <v>1962</v>
      </c>
      <c r="G61" s="111">
        <f>'Stavební rozpočet'!G2701</f>
      </c>
      <c r="H61" s="111">
        <f>'Stavební rozpočet'!H2701</f>
      </c>
      <c r="I61" s="111">
        <f>G61*H61</f>
      </c>
      <c r="J61" s="153" t="s">
        <v>4</v>
      </c>
      <c r="K61" s="146"/>
      <c r="Z61" s="111">
        <f>IF(AQ61="5",BJ61,0)</f>
      </c>
      <c r="AB61" s="111">
        <f>IF(AQ61="1",BH61,0)</f>
      </c>
      <c r="AC61" s="111">
        <f>IF(AQ61="1",BI61,0)</f>
      </c>
      <c r="AD61" s="111">
        <f>IF(AQ61="7",BH61,0)</f>
      </c>
      <c r="AE61" s="111">
        <f>IF(AQ61="7",BI61,0)</f>
      </c>
      <c r="AF61" s="111">
        <f>IF(AQ61="2",BH61,0)</f>
      </c>
      <c r="AG61" s="111">
        <f>IF(AQ61="2",BI61,0)</f>
      </c>
      <c r="AH61" s="111">
        <f>IF(AQ61="0",BJ61,0)</f>
      </c>
      <c r="AI61" s="132" t="s">
        <v>91</v>
      </c>
      <c r="AJ61" s="111">
        <f>IF(AN61=0,I61,0)</f>
      </c>
      <c r="AK61" s="111">
        <f>IF(AN61=12,I61,0)</f>
      </c>
      <c r="AL61" s="111">
        <f>IF(AN61=21,I61,0)</f>
      </c>
      <c r="AN61" s="111" t="n">
        <v>21</v>
      </c>
      <c r="AO61" s="111">
        <f>H61*0</f>
      </c>
      <c r="AP61" s="111">
        <f>H61*(1-0)</f>
      </c>
      <c r="AQ61" s="153" t="s">
        <v>173</v>
      </c>
      <c r="AV61" s="111">
        <f>AW61+AX61</f>
      </c>
      <c r="AW61" s="111">
        <f>G61*AO61</f>
      </c>
      <c r="AX61" s="111">
        <f>G61*AP61</f>
      </c>
      <c r="AY61" s="153" t="s">
        <v>3728</v>
      </c>
      <c r="AZ61" s="153" t="s">
        <v>4215</v>
      </c>
      <c r="BA61" s="132" t="s">
        <v>4138</v>
      </c>
      <c r="BC61" s="111">
        <f>AW61+AX61</f>
      </c>
      <c r="BD61" s="111">
        <f>H61/(100-BE61)*100</f>
      </c>
      <c r="BE61" s="111" t="n">
        <v>0</v>
      </c>
      <c r="BF61" s="111">
        <f>61</f>
      </c>
      <c r="BH61" s="111">
        <f>G61*AO61</f>
      </c>
      <c r="BI61" s="111">
        <f>G61*AP61</f>
      </c>
      <c r="BJ61" s="111">
        <f>G61*H61</f>
      </c>
      <c r="BK61" s="111"/>
      <c r="BL61" s="111" t="n">
        <v>732</v>
      </c>
      <c r="BW61" s="111" t="n">
        <v>21</v>
      </c>
      <c r="BX61" s="14" t="s">
        <v>4242</v>
      </c>
    </row>
    <row r="62">
      <c r="A62" s="9" t="s">
        <v>342</v>
      </c>
      <c r="B62" s="10" t="s">
        <v>91</v>
      </c>
      <c r="C62" s="10" t="s">
        <v>4244</v>
      </c>
      <c r="D62" s="14" t="s">
        <v>4245</v>
      </c>
      <c r="E62" s="10"/>
      <c r="F62" s="10" t="s">
        <v>1962</v>
      </c>
      <c r="G62" s="111">
        <f>'Stavební rozpočet'!G2702</f>
      </c>
      <c r="H62" s="111">
        <f>'Stavební rozpočet'!H2702</f>
      </c>
      <c r="I62" s="111">
        <f>G62*H62</f>
      </c>
      <c r="J62" s="153" t="s">
        <v>4</v>
      </c>
      <c r="K62" s="146"/>
      <c r="Z62" s="111">
        <f>IF(AQ62="5",BJ62,0)</f>
      </c>
      <c r="AB62" s="111">
        <f>IF(AQ62="1",BH62,0)</f>
      </c>
      <c r="AC62" s="111">
        <f>IF(AQ62="1",BI62,0)</f>
      </c>
      <c r="AD62" s="111">
        <f>IF(AQ62="7",BH62,0)</f>
      </c>
      <c r="AE62" s="111">
        <f>IF(AQ62="7",BI62,0)</f>
      </c>
      <c r="AF62" s="111">
        <f>IF(AQ62="2",BH62,0)</f>
      </c>
      <c r="AG62" s="111">
        <f>IF(AQ62="2",BI62,0)</f>
      </c>
      <c r="AH62" s="111">
        <f>IF(AQ62="0",BJ62,0)</f>
      </c>
      <c r="AI62" s="132" t="s">
        <v>91</v>
      </c>
      <c r="AJ62" s="111">
        <f>IF(AN62=0,I62,0)</f>
      </c>
      <c r="AK62" s="111">
        <f>IF(AN62=12,I62,0)</f>
      </c>
      <c r="AL62" s="111">
        <f>IF(AN62=21,I62,0)</f>
      </c>
      <c r="AN62" s="111" t="n">
        <v>21</v>
      </c>
      <c r="AO62" s="111">
        <f>H62*0</f>
      </c>
      <c r="AP62" s="111">
        <f>H62*(1-0)</f>
      </c>
      <c r="AQ62" s="153" t="s">
        <v>173</v>
      </c>
      <c r="AV62" s="111">
        <f>AW62+AX62</f>
      </c>
      <c r="AW62" s="111">
        <f>G62*AO62</f>
      </c>
      <c r="AX62" s="111">
        <f>G62*AP62</f>
      </c>
      <c r="AY62" s="153" t="s">
        <v>3728</v>
      </c>
      <c r="AZ62" s="153" t="s">
        <v>4215</v>
      </c>
      <c r="BA62" s="132" t="s">
        <v>4138</v>
      </c>
      <c r="BC62" s="111">
        <f>AW62+AX62</f>
      </c>
      <c r="BD62" s="111">
        <f>H62/(100-BE62)*100</f>
      </c>
      <c r="BE62" s="111" t="n">
        <v>0</v>
      </c>
      <c r="BF62" s="111">
        <f>62</f>
      </c>
      <c r="BH62" s="111">
        <f>G62*AO62</f>
      </c>
      <c r="BI62" s="111">
        <f>G62*AP62</f>
      </c>
      <c r="BJ62" s="111">
        <f>G62*H62</f>
      </c>
      <c r="BK62" s="111"/>
      <c r="BL62" s="111" t="n">
        <v>732</v>
      </c>
      <c r="BW62" s="111" t="n">
        <v>21</v>
      </c>
      <c r="BX62" s="14" t="s">
        <v>4245</v>
      </c>
    </row>
    <row r="63">
      <c r="A63" s="154"/>
      <c r="B63" s="155"/>
      <c r="C63" s="155"/>
      <c r="D63" s="156" t="s">
        <v>3901</v>
      </c>
      <c r="E63" s="156" t="s">
        <v>4246</v>
      </c>
      <c r="F63" s="155"/>
      <c r="G63" s="157" t="n">
        <v>2</v>
      </c>
      <c r="H63" s="155"/>
      <c r="I63" s="155"/>
      <c r="J63" s="155"/>
      <c r="K63" s="146"/>
    </row>
    <row r="64">
      <c r="A64" s="154"/>
      <c r="B64" s="155"/>
      <c r="C64" s="155"/>
      <c r="D64" s="156" t="s">
        <v>4247</v>
      </c>
      <c r="E64" s="156" t="s">
        <v>4248</v>
      </c>
      <c r="F64" s="155"/>
      <c r="G64" s="157" t="n">
        <v>3</v>
      </c>
      <c r="H64" s="155"/>
      <c r="I64" s="155"/>
      <c r="J64" s="155"/>
      <c r="K64" s="146"/>
    </row>
    <row r="65">
      <c r="A65" s="154"/>
      <c r="B65" s="155"/>
      <c r="C65" s="155"/>
      <c r="D65" s="156" t="s">
        <v>3910</v>
      </c>
      <c r="E65" s="156" t="s">
        <v>4249</v>
      </c>
      <c r="F65" s="155"/>
      <c r="G65" s="157" t="n">
        <v>1</v>
      </c>
      <c r="H65" s="155"/>
      <c r="I65" s="155"/>
      <c r="J65" s="155"/>
      <c r="K65" s="146"/>
    </row>
    <row r="66">
      <c r="A66" s="9" t="s">
        <v>348</v>
      </c>
      <c r="B66" s="10" t="s">
        <v>91</v>
      </c>
      <c r="C66" s="10" t="s">
        <v>4251</v>
      </c>
      <c r="D66" s="14" t="s">
        <v>4252</v>
      </c>
      <c r="E66" s="10"/>
      <c r="F66" s="10" t="s">
        <v>1962</v>
      </c>
      <c r="G66" s="111">
        <f>'Stavební rozpočet'!G2706</f>
      </c>
      <c r="H66" s="111">
        <f>'Stavební rozpočet'!H2706</f>
      </c>
      <c r="I66" s="111">
        <f>G66*H66</f>
      </c>
      <c r="J66" s="153" t="s">
        <v>4</v>
      </c>
      <c r="K66" s="146"/>
      <c r="Z66" s="111">
        <f>IF(AQ66="5",BJ66,0)</f>
      </c>
      <c r="AB66" s="111">
        <f>IF(AQ66="1",BH66,0)</f>
      </c>
      <c r="AC66" s="111">
        <f>IF(AQ66="1",BI66,0)</f>
      </c>
      <c r="AD66" s="111">
        <f>IF(AQ66="7",BH66,0)</f>
      </c>
      <c r="AE66" s="111">
        <f>IF(AQ66="7",BI66,0)</f>
      </c>
      <c r="AF66" s="111">
        <f>IF(AQ66="2",BH66,0)</f>
      </c>
      <c r="AG66" s="111">
        <f>IF(AQ66="2",BI66,0)</f>
      </c>
      <c r="AH66" s="111">
        <f>IF(AQ66="0",BJ66,0)</f>
      </c>
      <c r="AI66" s="132" t="s">
        <v>91</v>
      </c>
      <c r="AJ66" s="111">
        <f>IF(AN66=0,I66,0)</f>
      </c>
      <c r="AK66" s="111">
        <f>IF(AN66=12,I66,0)</f>
      </c>
      <c r="AL66" s="111">
        <f>IF(AN66=21,I66,0)</f>
      </c>
      <c r="AN66" s="111" t="n">
        <v>21</v>
      </c>
      <c r="AO66" s="111">
        <f>H66*0</f>
      </c>
      <c r="AP66" s="111">
        <f>H66*(1-0)</f>
      </c>
      <c r="AQ66" s="153" t="s">
        <v>173</v>
      </c>
      <c r="AV66" s="111">
        <f>AW66+AX66</f>
      </c>
      <c r="AW66" s="111">
        <f>G66*AO66</f>
      </c>
      <c r="AX66" s="111">
        <f>G66*AP66</f>
      </c>
      <c r="AY66" s="153" t="s">
        <v>3728</v>
      </c>
      <c r="AZ66" s="153" t="s">
        <v>4215</v>
      </c>
      <c r="BA66" s="132" t="s">
        <v>4138</v>
      </c>
      <c r="BC66" s="111">
        <f>AW66+AX66</f>
      </c>
      <c r="BD66" s="111">
        <f>H66/(100-BE66)*100</f>
      </c>
      <c r="BE66" s="111" t="n">
        <v>0</v>
      </c>
      <c r="BF66" s="111">
        <f>66</f>
      </c>
      <c r="BH66" s="111">
        <f>G66*AO66</f>
      </c>
      <c r="BI66" s="111">
        <f>G66*AP66</f>
      </c>
      <c r="BJ66" s="111">
        <f>G66*H66</f>
      </c>
      <c r="BK66" s="111"/>
      <c r="BL66" s="111" t="n">
        <v>732</v>
      </c>
      <c r="BW66" s="111" t="n">
        <v>21</v>
      </c>
      <c r="BX66" s="14" t="s">
        <v>4252</v>
      </c>
    </row>
    <row r="67">
      <c r="A67" s="9" t="s">
        <v>354</v>
      </c>
      <c r="B67" s="10" t="s">
        <v>91</v>
      </c>
      <c r="C67" s="10" t="s">
        <v>4254</v>
      </c>
      <c r="D67" s="14" t="s">
        <v>4255</v>
      </c>
      <c r="E67" s="10"/>
      <c r="F67" s="10" t="s">
        <v>2277</v>
      </c>
      <c r="G67" s="111">
        <f>'Stavební rozpočet'!G2707</f>
      </c>
      <c r="H67" s="111">
        <f>'Stavební rozpočet'!H2707</f>
      </c>
      <c r="I67" s="111">
        <f>G67*H67</f>
      </c>
      <c r="J67" s="153" t="s">
        <v>4</v>
      </c>
      <c r="K67" s="146"/>
      <c r="Z67" s="111">
        <f>IF(AQ67="5",BJ67,0)</f>
      </c>
      <c r="AB67" s="111">
        <f>IF(AQ67="1",BH67,0)</f>
      </c>
      <c r="AC67" s="111">
        <f>IF(AQ67="1",BI67,0)</f>
      </c>
      <c r="AD67" s="111">
        <f>IF(AQ67="7",BH67,0)</f>
      </c>
      <c r="AE67" s="111">
        <f>IF(AQ67="7",BI67,0)</f>
      </c>
      <c r="AF67" s="111">
        <f>IF(AQ67="2",BH67,0)</f>
      </c>
      <c r="AG67" s="111">
        <f>IF(AQ67="2",BI67,0)</f>
      </c>
      <c r="AH67" s="111">
        <f>IF(AQ67="0",BJ67,0)</f>
      </c>
      <c r="AI67" s="132" t="s">
        <v>91</v>
      </c>
      <c r="AJ67" s="111">
        <f>IF(AN67=0,I67,0)</f>
      </c>
      <c r="AK67" s="111">
        <f>IF(AN67=12,I67,0)</f>
      </c>
      <c r="AL67" s="111">
        <f>IF(AN67=21,I67,0)</f>
      </c>
      <c r="AN67" s="111" t="n">
        <v>21</v>
      </c>
      <c r="AO67" s="111">
        <f>H67*0</f>
      </c>
      <c r="AP67" s="111">
        <f>H67*(1-0)</f>
      </c>
      <c r="AQ67" s="153" t="s">
        <v>173</v>
      </c>
      <c r="AV67" s="111">
        <f>AW67+AX67</f>
      </c>
      <c r="AW67" s="111">
        <f>G67*AO67</f>
      </c>
      <c r="AX67" s="111">
        <f>G67*AP67</f>
      </c>
      <c r="AY67" s="153" t="s">
        <v>3728</v>
      </c>
      <c r="AZ67" s="153" t="s">
        <v>4215</v>
      </c>
      <c r="BA67" s="132" t="s">
        <v>4138</v>
      </c>
      <c r="BC67" s="111">
        <f>AW67+AX67</f>
      </c>
      <c r="BD67" s="111">
        <f>H67/(100-BE67)*100</f>
      </c>
      <c r="BE67" s="111" t="n">
        <v>0</v>
      </c>
      <c r="BF67" s="111">
        <f>67</f>
      </c>
      <c r="BH67" s="111">
        <f>G67*AO67</f>
      </c>
      <c r="BI67" s="111">
        <f>G67*AP67</f>
      </c>
      <c r="BJ67" s="111">
        <f>G67*H67</f>
      </c>
      <c r="BK67" s="111"/>
      <c r="BL67" s="111" t="n">
        <v>732</v>
      </c>
      <c r="BW67" s="111" t="n">
        <v>21</v>
      </c>
      <c r="BX67" s="14" t="s">
        <v>4255</v>
      </c>
    </row>
    <row r="68">
      <c r="A68" s="9" t="s">
        <v>360</v>
      </c>
      <c r="B68" s="10" t="s">
        <v>91</v>
      </c>
      <c r="C68" s="10" t="s">
        <v>4257</v>
      </c>
      <c r="D68" s="14" t="s">
        <v>4258</v>
      </c>
      <c r="E68" s="10"/>
      <c r="F68" s="10" t="s">
        <v>2277</v>
      </c>
      <c r="G68" s="111">
        <f>'Stavební rozpočet'!G2708</f>
      </c>
      <c r="H68" s="111">
        <f>'Stavební rozpočet'!H2708</f>
      </c>
      <c r="I68" s="111">
        <f>G68*H68</f>
      </c>
      <c r="J68" s="153" t="s">
        <v>4</v>
      </c>
      <c r="K68" s="146"/>
      <c r="Z68" s="111">
        <f>IF(AQ68="5",BJ68,0)</f>
      </c>
      <c r="AB68" s="111">
        <f>IF(AQ68="1",BH68,0)</f>
      </c>
      <c r="AC68" s="111">
        <f>IF(AQ68="1",BI68,0)</f>
      </c>
      <c r="AD68" s="111">
        <f>IF(AQ68="7",BH68,0)</f>
      </c>
      <c r="AE68" s="111">
        <f>IF(AQ68="7",BI68,0)</f>
      </c>
      <c r="AF68" s="111">
        <f>IF(AQ68="2",BH68,0)</f>
      </c>
      <c r="AG68" s="111">
        <f>IF(AQ68="2",BI68,0)</f>
      </c>
      <c r="AH68" s="111">
        <f>IF(AQ68="0",BJ68,0)</f>
      </c>
      <c r="AI68" s="132" t="s">
        <v>91</v>
      </c>
      <c r="AJ68" s="111">
        <f>IF(AN68=0,I68,0)</f>
      </c>
      <c r="AK68" s="111">
        <f>IF(AN68=12,I68,0)</f>
      </c>
      <c r="AL68" s="111">
        <f>IF(AN68=21,I68,0)</f>
      </c>
      <c r="AN68" s="111" t="n">
        <v>21</v>
      </c>
      <c r="AO68" s="111">
        <f>H68*0</f>
      </c>
      <c r="AP68" s="111">
        <f>H68*(1-0)</f>
      </c>
      <c r="AQ68" s="153" t="s">
        <v>173</v>
      </c>
      <c r="AV68" s="111">
        <f>AW68+AX68</f>
      </c>
      <c r="AW68" s="111">
        <f>G68*AO68</f>
      </c>
      <c r="AX68" s="111">
        <f>G68*AP68</f>
      </c>
      <c r="AY68" s="153" t="s">
        <v>3728</v>
      </c>
      <c r="AZ68" s="153" t="s">
        <v>4215</v>
      </c>
      <c r="BA68" s="132" t="s">
        <v>4138</v>
      </c>
      <c r="BC68" s="111">
        <f>AW68+AX68</f>
      </c>
      <c r="BD68" s="111">
        <f>H68/(100-BE68)*100</f>
      </c>
      <c r="BE68" s="111" t="n">
        <v>0</v>
      </c>
      <c r="BF68" s="111">
        <f>68</f>
      </c>
      <c r="BH68" s="111">
        <f>G68*AO68</f>
      </c>
      <c r="BI68" s="111">
        <f>G68*AP68</f>
      </c>
      <c r="BJ68" s="111">
        <f>G68*H68</f>
      </c>
      <c r="BK68" s="111"/>
      <c r="BL68" s="111" t="n">
        <v>732</v>
      </c>
      <c r="BW68" s="111" t="n">
        <v>21</v>
      </c>
      <c r="BX68" s="14" t="s">
        <v>4258</v>
      </c>
    </row>
    <row r="69">
      <c r="A69" s="9" t="s">
        <v>366</v>
      </c>
      <c r="B69" s="10" t="s">
        <v>91</v>
      </c>
      <c r="C69" s="10" t="s">
        <v>4260</v>
      </c>
      <c r="D69" s="14" t="s">
        <v>4261</v>
      </c>
      <c r="E69" s="10"/>
      <c r="F69" s="10" t="s">
        <v>2277</v>
      </c>
      <c r="G69" s="111">
        <f>'Stavební rozpočet'!G2709</f>
      </c>
      <c r="H69" s="111">
        <f>'Stavební rozpočet'!H2709</f>
      </c>
      <c r="I69" s="111">
        <f>G69*H69</f>
      </c>
      <c r="J69" s="153" t="s">
        <v>4</v>
      </c>
      <c r="K69" s="146"/>
      <c r="Z69" s="111">
        <f>IF(AQ69="5",BJ69,0)</f>
      </c>
      <c r="AB69" s="111">
        <f>IF(AQ69="1",BH69,0)</f>
      </c>
      <c r="AC69" s="111">
        <f>IF(AQ69="1",BI69,0)</f>
      </c>
      <c r="AD69" s="111">
        <f>IF(AQ69="7",BH69,0)</f>
      </c>
      <c r="AE69" s="111">
        <f>IF(AQ69="7",BI69,0)</f>
      </c>
      <c r="AF69" s="111">
        <f>IF(AQ69="2",BH69,0)</f>
      </c>
      <c r="AG69" s="111">
        <f>IF(AQ69="2",BI69,0)</f>
      </c>
      <c r="AH69" s="111">
        <f>IF(AQ69="0",BJ69,0)</f>
      </c>
      <c r="AI69" s="132" t="s">
        <v>91</v>
      </c>
      <c r="AJ69" s="111">
        <f>IF(AN69=0,I69,0)</f>
      </c>
      <c r="AK69" s="111">
        <f>IF(AN69=12,I69,0)</f>
      </c>
      <c r="AL69" s="111">
        <f>IF(AN69=21,I69,0)</f>
      </c>
      <c r="AN69" s="111" t="n">
        <v>21</v>
      </c>
      <c r="AO69" s="111">
        <f>H69*0</f>
      </c>
      <c r="AP69" s="111">
        <f>H69*(1-0)</f>
      </c>
      <c r="AQ69" s="153" t="s">
        <v>173</v>
      </c>
      <c r="AV69" s="111">
        <f>AW69+AX69</f>
      </c>
      <c r="AW69" s="111">
        <f>G69*AO69</f>
      </c>
      <c r="AX69" s="111">
        <f>G69*AP69</f>
      </c>
      <c r="AY69" s="153" t="s">
        <v>3728</v>
      </c>
      <c r="AZ69" s="153" t="s">
        <v>4215</v>
      </c>
      <c r="BA69" s="132" t="s">
        <v>4138</v>
      </c>
      <c r="BC69" s="111">
        <f>AW69+AX69</f>
      </c>
      <c r="BD69" s="111">
        <f>H69/(100-BE69)*100</f>
      </c>
      <c r="BE69" s="111" t="n">
        <v>0</v>
      </c>
      <c r="BF69" s="111">
        <f>69</f>
      </c>
      <c r="BH69" s="111">
        <f>G69*AO69</f>
      </c>
      <c r="BI69" s="111">
        <f>G69*AP69</f>
      </c>
      <c r="BJ69" s="111">
        <f>G69*H69</f>
      </c>
      <c r="BK69" s="111"/>
      <c r="BL69" s="111" t="n">
        <v>732</v>
      </c>
      <c r="BW69" s="111" t="n">
        <v>21</v>
      </c>
      <c r="BX69" s="14" t="s">
        <v>4261</v>
      </c>
    </row>
    <row r="70">
      <c r="A70" s="9" t="s">
        <v>374</v>
      </c>
      <c r="B70" s="10" t="s">
        <v>91</v>
      </c>
      <c r="C70" s="10" t="s">
        <v>4263</v>
      </c>
      <c r="D70" s="14" t="s">
        <v>4264</v>
      </c>
      <c r="E70" s="10"/>
      <c r="F70" s="10" t="s">
        <v>2277</v>
      </c>
      <c r="G70" s="111">
        <f>'Stavební rozpočet'!G2710</f>
      </c>
      <c r="H70" s="111">
        <f>'Stavební rozpočet'!H2710</f>
      </c>
      <c r="I70" s="111">
        <f>G70*H70</f>
      </c>
      <c r="J70" s="153" t="s">
        <v>4</v>
      </c>
      <c r="K70" s="146"/>
      <c r="Z70" s="111">
        <f>IF(AQ70="5",BJ70,0)</f>
      </c>
      <c r="AB70" s="111">
        <f>IF(AQ70="1",BH70,0)</f>
      </c>
      <c r="AC70" s="111">
        <f>IF(AQ70="1",BI70,0)</f>
      </c>
      <c r="AD70" s="111">
        <f>IF(AQ70="7",BH70,0)</f>
      </c>
      <c r="AE70" s="111">
        <f>IF(AQ70="7",BI70,0)</f>
      </c>
      <c r="AF70" s="111">
        <f>IF(AQ70="2",BH70,0)</f>
      </c>
      <c r="AG70" s="111">
        <f>IF(AQ70="2",BI70,0)</f>
      </c>
      <c r="AH70" s="111">
        <f>IF(AQ70="0",BJ70,0)</f>
      </c>
      <c r="AI70" s="132" t="s">
        <v>91</v>
      </c>
      <c r="AJ70" s="111">
        <f>IF(AN70=0,I70,0)</f>
      </c>
      <c r="AK70" s="111">
        <f>IF(AN70=12,I70,0)</f>
      </c>
      <c r="AL70" s="111">
        <f>IF(AN70=21,I70,0)</f>
      </c>
      <c r="AN70" s="111" t="n">
        <v>21</v>
      </c>
      <c r="AO70" s="111">
        <f>H70*0</f>
      </c>
      <c r="AP70" s="111">
        <f>H70*(1-0)</f>
      </c>
      <c r="AQ70" s="153" t="s">
        <v>173</v>
      </c>
      <c r="AV70" s="111">
        <f>AW70+AX70</f>
      </c>
      <c r="AW70" s="111">
        <f>G70*AO70</f>
      </c>
      <c r="AX70" s="111">
        <f>G70*AP70</f>
      </c>
      <c r="AY70" s="153" t="s">
        <v>3728</v>
      </c>
      <c r="AZ70" s="153" t="s">
        <v>4215</v>
      </c>
      <c r="BA70" s="132" t="s">
        <v>4138</v>
      </c>
      <c r="BC70" s="111">
        <f>AW70+AX70</f>
      </c>
      <c r="BD70" s="111">
        <f>H70/(100-BE70)*100</f>
      </c>
      <c r="BE70" s="111" t="n">
        <v>0</v>
      </c>
      <c r="BF70" s="111">
        <f>70</f>
      </c>
      <c r="BH70" s="111">
        <f>G70*AO70</f>
      </c>
      <c r="BI70" s="111">
        <f>G70*AP70</f>
      </c>
      <c r="BJ70" s="111">
        <f>G70*H70</f>
      </c>
      <c r="BK70" s="111"/>
      <c r="BL70" s="111" t="n">
        <v>732</v>
      </c>
      <c r="BW70" s="111" t="n">
        <v>21</v>
      </c>
      <c r="BX70" s="14" t="s">
        <v>4264</v>
      </c>
    </row>
    <row r="71">
      <c r="A71" s="9" t="s">
        <v>378</v>
      </c>
      <c r="B71" s="10" t="s">
        <v>91</v>
      </c>
      <c r="C71" s="10" t="s">
        <v>4266</v>
      </c>
      <c r="D71" s="14" t="s">
        <v>4267</v>
      </c>
      <c r="E71" s="10"/>
      <c r="F71" s="10" t="s">
        <v>61</v>
      </c>
      <c r="G71" s="111">
        <f>'Stavební rozpočet'!G2711</f>
      </c>
      <c r="H71" s="111">
        <f>'Stavební rozpočet'!H2711</f>
      </c>
      <c r="I71" s="111">
        <f>G71*H71</f>
      </c>
      <c r="J71" s="153" t="s">
        <v>4</v>
      </c>
      <c r="K71" s="146"/>
      <c r="Z71" s="111">
        <f>IF(AQ71="5",BJ71,0)</f>
      </c>
      <c r="AB71" s="111">
        <f>IF(AQ71="1",BH71,0)</f>
      </c>
      <c r="AC71" s="111">
        <f>IF(AQ71="1",BI71,0)</f>
      </c>
      <c r="AD71" s="111">
        <f>IF(AQ71="7",BH71,0)</f>
      </c>
      <c r="AE71" s="111">
        <f>IF(AQ71="7",BI71,0)</f>
      </c>
      <c r="AF71" s="111">
        <f>IF(AQ71="2",BH71,0)</f>
      </c>
      <c r="AG71" s="111">
        <f>IF(AQ71="2",BI71,0)</f>
      </c>
      <c r="AH71" s="111">
        <f>IF(AQ71="0",BJ71,0)</f>
      </c>
      <c r="AI71" s="132" t="s">
        <v>91</v>
      </c>
      <c r="AJ71" s="111">
        <f>IF(AN71=0,I71,0)</f>
      </c>
      <c r="AK71" s="111">
        <f>IF(AN71=12,I71,0)</f>
      </c>
      <c r="AL71" s="111">
        <f>IF(AN71=21,I71,0)</f>
      </c>
      <c r="AN71" s="111" t="n">
        <v>21</v>
      </c>
      <c r="AO71" s="111">
        <f>H71*0</f>
      </c>
      <c r="AP71" s="111">
        <f>H71*(1-0)</f>
      </c>
      <c r="AQ71" s="153" t="s">
        <v>173</v>
      </c>
      <c r="AV71" s="111">
        <f>AW71+AX71</f>
      </c>
      <c r="AW71" s="111">
        <f>G71*AO71</f>
      </c>
      <c r="AX71" s="111">
        <f>G71*AP71</f>
      </c>
      <c r="AY71" s="153" t="s">
        <v>3728</v>
      </c>
      <c r="AZ71" s="153" t="s">
        <v>4215</v>
      </c>
      <c r="BA71" s="132" t="s">
        <v>4138</v>
      </c>
      <c r="BC71" s="111">
        <f>AW71+AX71</f>
      </c>
      <c r="BD71" s="111">
        <f>H71/(100-BE71)*100</f>
      </c>
      <c r="BE71" s="111" t="n">
        <v>0</v>
      </c>
      <c r="BF71" s="111">
        <f>71</f>
      </c>
      <c r="BH71" s="111">
        <f>G71*AO71</f>
      </c>
      <c r="BI71" s="111">
        <f>G71*AP71</f>
      </c>
      <c r="BJ71" s="111">
        <f>G71*H71</f>
      </c>
      <c r="BK71" s="111"/>
      <c r="BL71" s="111" t="n">
        <v>732</v>
      </c>
      <c r="BW71" s="111" t="n">
        <v>21</v>
      </c>
      <c r="BX71" s="14" t="s">
        <v>4267</v>
      </c>
    </row>
    <row r="72">
      <c r="A72" s="9" t="s">
        <v>381</v>
      </c>
      <c r="B72" s="10" t="s">
        <v>91</v>
      </c>
      <c r="C72" s="10" t="s">
        <v>4269</v>
      </c>
      <c r="D72" s="14" t="s">
        <v>4270</v>
      </c>
      <c r="E72" s="10"/>
      <c r="F72" s="10" t="s">
        <v>4271</v>
      </c>
      <c r="G72" s="111">
        <f>'Stavební rozpočet'!G2712</f>
      </c>
      <c r="H72" s="111">
        <f>'Stavební rozpočet'!H2712</f>
      </c>
      <c r="I72" s="111">
        <f>G72*H72</f>
      </c>
      <c r="J72" s="153" t="s">
        <v>4</v>
      </c>
      <c r="K72" s="146"/>
      <c r="Z72" s="111">
        <f>IF(AQ72="5",BJ72,0)</f>
      </c>
      <c r="AB72" s="111">
        <f>IF(AQ72="1",BH72,0)</f>
      </c>
      <c r="AC72" s="111">
        <f>IF(AQ72="1",BI72,0)</f>
      </c>
      <c r="AD72" s="111">
        <f>IF(AQ72="7",BH72,0)</f>
      </c>
      <c r="AE72" s="111">
        <f>IF(AQ72="7",BI72,0)</f>
      </c>
      <c r="AF72" s="111">
        <f>IF(AQ72="2",BH72,0)</f>
      </c>
      <c r="AG72" s="111">
        <f>IF(AQ72="2",BI72,0)</f>
      </c>
      <c r="AH72" s="111">
        <f>IF(AQ72="0",BJ72,0)</f>
      </c>
      <c r="AI72" s="132" t="s">
        <v>91</v>
      </c>
      <c r="AJ72" s="111">
        <f>IF(AN72=0,I72,0)</f>
      </c>
      <c r="AK72" s="111">
        <f>IF(AN72=12,I72,0)</f>
      </c>
      <c r="AL72" s="111">
        <f>IF(AN72=21,I72,0)</f>
      </c>
      <c r="AN72" s="111" t="n">
        <v>21</v>
      </c>
      <c r="AO72" s="111">
        <f>H72*0</f>
      </c>
      <c r="AP72" s="111">
        <f>H72*(1-0)</f>
      </c>
      <c r="AQ72" s="153" t="s">
        <v>173</v>
      </c>
      <c r="AV72" s="111">
        <f>AW72+AX72</f>
      </c>
      <c r="AW72" s="111">
        <f>G72*AO72</f>
      </c>
      <c r="AX72" s="111">
        <f>G72*AP72</f>
      </c>
      <c r="AY72" s="153" t="s">
        <v>3728</v>
      </c>
      <c r="AZ72" s="153" t="s">
        <v>4215</v>
      </c>
      <c r="BA72" s="132" t="s">
        <v>4138</v>
      </c>
      <c r="BC72" s="111">
        <f>AW72+AX72</f>
      </c>
      <c r="BD72" s="111">
        <f>H72/(100-BE72)*100</f>
      </c>
      <c r="BE72" s="111" t="n">
        <v>0</v>
      </c>
      <c r="BF72" s="111">
        <f>72</f>
      </c>
      <c r="BH72" s="111">
        <f>G72*AO72</f>
      </c>
      <c r="BI72" s="111">
        <f>G72*AP72</f>
      </c>
      <c r="BJ72" s="111">
        <f>G72*H72</f>
      </c>
      <c r="BK72" s="111"/>
      <c r="BL72" s="111" t="n">
        <v>732</v>
      </c>
      <c r="BW72" s="111" t="n">
        <v>21</v>
      </c>
      <c r="BX72" s="14" t="s">
        <v>4270</v>
      </c>
    </row>
    <row r="73">
      <c r="A73" s="9" t="s">
        <v>387</v>
      </c>
      <c r="B73" s="10" t="s">
        <v>91</v>
      </c>
      <c r="C73" s="10" t="s">
        <v>4273</v>
      </c>
      <c r="D73" s="14" t="s">
        <v>4274</v>
      </c>
      <c r="E73" s="10"/>
      <c r="F73" s="10" t="s">
        <v>133</v>
      </c>
      <c r="G73" s="111">
        <f>'Stavební rozpočet'!G2713</f>
      </c>
      <c r="H73" s="111">
        <f>'Stavební rozpočet'!H2713</f>
      </c>
      <c r="I73" s="111">
        <f>G73*H73</f>
      </c>
      <c r="J73" s="153" t="s">
        <v>4</v>
      </c>
      <c r="K73" s="146"/>
      <c r="Z73" s="111">
        <f>IF(AQ73="5",BJ73,0)</f>
      </c>
      <c r="AB73" s="111">
        <f>IF(AQ73="1",BH73,0)</f>
      </c>
      <c r="AC73" s="111">
        <f>IF(AQ73="1",BI73,0)</f>
      </c>
      <c r="AD73" s="111">
        <f>IF(AQ73="7",BH73,0)</f>
      </c>
      <c r="AE73" s="111">
        <f>IF(AQ73="7",BI73,0)</f>
      </c>
      <c r="AF73" s="111">
        <f>IF(AQ73="2",BH73,0)</f>
      </c>
      <c r="AG73" s="111">
        <f>IF(AQ73="2",BI73,0)</f>
      </c>
      <c r="AH73" s="111">
        <f>IF(AQ73="0",BJ73,0)</f>
      </c>
      <c r="AI73" s="132" t="s">
        <v>91</v>
      </c>
      <c r="AJ73" s="111">
        <f>IF(AN73=0,I73,0)</f>
      </c>
      <c r="AK73" s="111">
        <f>IF(AN73=12,I73,0)</f>
      </c>
      <c r="AL73" s="111">
        <f>IF(AN73=21,I73,0)</f>
      </c>
      <c r="AN73" s="111" t="n">
        <v>21</v>
      </c>
      <c r="AO73" s="111">
        <f>H73*1</f>
      </c>
      <c r="AP73" s="111">
        <f>H73*(1-1)</f>
      </c>
      <c r="AQ73" s="153" t="s">
        <v>173</v>
      </c>
      <c r="AV73" s="111">
        <f>AW73+AX73</f>
      </c>
      <c r="AW73" s="111">
        <f>G73*AO73</f>
      </c>
      <c r="AX73" s="111">
        <f>G73*AP73</f>
      </c>
      <c r="AY73" s="153" t="s">
        <v>3728</v>
      </c>
      <c r="AZ73" s="153" t="s">
        <v>4215</v>
      </c>
      <c r="BA73" s="132" t="s">
        <v>4138</v>
      </c>
      <c r="BC73" s="111">
        <f>AW73+AX73</f>
      </c>
      <c r="BD73" s="111">
        <f>H73/(100-BE73)*100</f>
      </c>
      <c r="BE73" s="111" t="n">
        <v>0</v>
      </c>
      <c r="BF73" s="111">
        <f>73</f>
      </c>
      <c r="BH73" s="111">
        <f>G73*AO73</f>
      </c>
      <c r="BI73" s="111">
        <f>G73*AP73</f>
      </c>
      <c r="BJ73" s="111">
        <f>G73*H73</f>
      </c>
      <c r="BK73" s="111"/>
      <c r="BL73" s="111" t="n">
        <v>732</v>
      </c>
      <c r="BW73" s="111" t="n">
        <v>21</v>
      </c>
      <c r="BX73" s="14" t="s">
        <v>4274</v>
      </c>
    </row>
    <row r="74">
      <c r="A74" s="9" t="s">
        <v>392</v>
      </c>
      <c r="B74" s="10" t="s">
        <v>91</v>
      </c>
      <c r="C74" s="10" t="s">
        <v>4273</v>
      </c>
      <c r="D74" s="14" t="s">
        <v>4274</v>
      </c>
      <c r="E74" s="10"/>
      <c r="F74" s="10" t="s">
        <v>133</v>
      </c>
      <c r="G74" s="111">
        <f>'Stavební rozpočet'!G2714</f>
      </c>
      <c r="H74" s="111">
        <f>'Stavební rozpočet'!H2714</f>
      </c>
      <c r="I74" s="111">
        <f>G74*H74</f>
      </c>
      <c r="J74" s="153" t="s">
        <v>4</v>
      </c>
      <c r="K74" s="146"/>
      <c r="Z74" s="111">
        <f>IF(AQ74="5",BJ74,0)</f>
      </c>
      <c r="AB74" s="111">
        <f>IF(AQ74="1",BH74,0)</f>
      </c>
      <c r="AC74" s="111">
        <f>IF(AQ74="1",BI74,0)</f>
      </c>
      <c r="AD74" s="111">
        <f>IF(AQ74="7",BH74,0)</f>
      </c>
      <c r="AE74" s="111">
        <f>IF(AQ74="7",BI74,0)</f>
      </c>
      <c r="AF74" s="111">
        <f>IF(AQ74="2",BH74,0)</f>
      </c>
      <c r="AG74" s="111">
        <f>IF(AQ74="2",BI74,0)</f>
      </c>
      <c r="AH74" s="111">
        <f>IF(AQ74="0",BJ74,0)</f>
      </c>
      <c r="AI74" s="132" t="s">
        <v>91</v>
      </c>
      <c r="AJ74" s="111">
        <f>IF(AN74=0,I74,0)</f>
      </c>
      <c r="AK74" s="111">
        <f>IF(AN74=12,I74,0)</f>
      </c>
      <c r="AL74" s="111">
        <f>IF(AN74=21,I74,0)</f>
      </c>
      <c r="AN74" s="111" t="n">
        <v>21</v>
      </c>
      <c r="AO74" s="111">
        <f>H74*1</f>
      </c>
      <c r="AP74" s="111">
        <f>H74*(1-1)</f>
      </c>
      <c r="AQ74" s="153" t="s">
        <v>173</v>
      </c>
      <c r="AV74" s="111">
        <f>AW74+AX74</f>
      </c>
      <c r="AW74" s="111">
        <f>G74*AO74</f>
      </c>
      <c r="AX74" s="111">
        <f>G74*AP74</f>
      </c>
      <c r="AY74" s="153" t="s">
        <v>3728</v>
      </c>
      <c r="AZ74" s="153" t="s">
        <v>4215</v>
      </c>
      <c r="BA74" s="132" t="s">
        <v>4138</v>
      </c>
      <c r="BC74" s="111">
        <f>AW74+AX74</f>
      </c>
      <c r="BD74" s="111">
        <f>H74/(100-BE74)*100</f>
      </c>
      <c r="BE74" s="111" t="n">
        <v>0</v>
      </c>
      <c r="BF74" s="111">
        <f>74</f>
      </c>
      <c r="BH74" s="111">
        <f>G74*AO74</f>
      </c>
      <c r="BI74" s="111">
        <f>G74*AP74</f>
      </c>
      <c r="BJ74" s="111">
        <f>G74*H74</f>
      </c>
      <c r="BK74" s="111"/>
      <c r="BL74" s="111" t="n">
        <v>732</v>
      </c>
      <c r="BW74" s="111" t="n">
        <v>21</v>
      </c>
      <c r="BX74" s="14" t="s">
        <v>4274</v>
      </c>
    </row>
    <row r="75">
      <c r="A75" s="9" t="s">
        <v>395</v>
      </c>
      <c r="B75" s="10" t="s">
        <v>91</v>
      </c>
      <c r="C75" s="10" t="s">
        <v>4277</v>
      </c>
      <c r="D75" s="14" t="s">
        <v>4278</v>
      </c>
      <c r="E75" s="10"/>
      <c r="F75" s="10" t="s">
        <v>133</v>
      </c>
      <c r="G75" s="111">
        <f>'Stavební rozpočet'!G2715</f>
      </c>
      <c r="H75" s="111">
        <f>'Stavební rozpočet'!H2715</f>
      </c>
      <c r="I75" s="111">
        <f>G75*H75</f>
      </c>
      <c r="J75" s="153" t="s">
        <v>4</v>
      </c>
      <c r="K75" s="146"/>
      <c r="Z75" s="111">
        <f>IF(AQ75="5",BJ75,0)</f>
      </c>
      <c r="AB75" s="111">
        <f>IF(AQ75="1",BH75,0)</f>
      </c>
      <c r="AC75" s="111">
        <f>IF(AQ75="1",BI75,0)</f>
      </c>
      <c r="AD75" s="111">
        <f>IF(AQ75="7",BH75,0)</f>
      </c>
      <c r="AE75" s="111">
        <f>IF(AQ75="7",BI75,0)</f>
      </c>
      <c r="AF75" s="111">
        <f>IF(AQ75="2",BH75,0)</f>
      </c>
      <c r="AG75" s="111">
        <f>IF(AQ75="2",BI75,0)</f>
      </c>
      <c r="AH75" s="111">
        <f>IF(AQ75="0",BJ75,0)</f>
      </c>
      <c r="AI75" s="132" t="s">
        <v>91</v>
      </c>
      <c r="AJ75" s="111">
        <f>IF(AN75=0,I75,0)</f>
      </c>
      <c r="AK75" s="111">
        <f>IF(AN75=12,I75,0)</f>
      </c>
      <c r="AL75" s="111">
        <f>IF(AN75=21,I75,0)</f>
      </c>
      <c r="AN75" s="111" t="n">
        <v>21</v>
      </c>
      <c r="AO75" s="111">
        <f>H75*1</f>
      </c>
      <c r="AP75" s="111">
        <f>H75*(1-1)</f>
      </c>
      <c r="AQ75" s="153" t="s">
        <v>173</v>
      </c>
      <c r="AV75" s="111">
        <f>AW75+AX75</f>
      </c>
      <c r="AW75" s="111">
        <f>G75*AO75</f>
      </c>
      <c r="AX75" s="111">
        <f>G75*AP75</f>
      </c>
      <c r="AY75" s="153" t="s">
        <v>3728</v>
      </c>
      <c r="AZ75" s="153" t="s">
        <v>4215</v>
      </c>
      <c r="BA75" s="132" t="s">
        <v>4138</v>
      </c>
      <c r="BC75" s="111">
        <f>AW75+AX75</f>
      </c>
      <c r="BD75" s="111">
        <f>H75/(100-BE75)*100</f>
      </c>
      <c r="BE75" s="111" t="n">
        <v>0</v>
      </c>
      <c r="BF75" s="111">
        <f>75</f>
      </c>
      <c r="BH75" s="111">
        <f>G75*AO75</f>
      </c>
      <c r="BI75" s="111">
        <f>G75*AP75</f>
      </c>
      <c r="BJ75" s="111">
        <f>G75*H75</f>
      </c>
      <c r="BK75" s="111"/>
      <c r="BL75" s="111" t="n">
        <v>732</v>
      </c>
      <c r="BW75" s="111" t="n">
        <v>21</v>
      </c>
      <c r="BX75" s="14" t="s">
        <v>4278</v>
      </c>
    </row>
    <row r="76">
      <c r="A76" s="9" t="s">
        <v>407</v>
      </c>
      <c r="B76" s="10" t="s">
        <v>91</v>
      </c>
      <c r="C76" s="10" t="s">
        <v>4280</v>
      </c>
      <c r="D76" s="14" t="s">
        <v>4281</v>
      </c>
      <c r="E76" s="10"/>
      <c r="F76" s="10" t="s">
        <v>133</v>
      </c>
      <c r="G76" s="111">
        <f>'Stavební rozpočet'!G2716</f>
      </c>
      <c r="H76" s="111">
        <f>'Stavební rozpočet'!H2716</f>
      </c>
      <c r="I76" s="111">
        <f>G76*H76</f>
      </c>
      <c r="J76" s="153" t="s">
        <v>4</v>
      </c>
      <c r="K76" s="146"/>
      <c r="Z76" s="111">
        <f>IF(AQ76="5",BJ76,0)</f>
      </c>
      <c r="AB76" s="111">
        <f>IF(AQ76="1",BH76,0)</f>
      </c>
      <c r="AC76" s="111">
        <f>IF(AQ76="1",BI76,0)</f>
      </c>
      <c r="AD76" s="111">
        <f>IF(AQ76="7",BH76,0)</f>
      </c>
      <c r="AE76" s="111">
        <f>IF(AQ76="7",BI76,0)</f>
      </c>
      <c r="AF76" s="111">
        <f>IF(AQ76="2",BH76,0)</f>
      </c>
      <c r="AG76" s="111">
        <f>IF(AQ76="2",BI76,0)</f>
      </c>
      <c r="AH76" s="111">
        <f>IF(AQ76="0",BJ76,0)</f>
      </c>
      <c r="AI76" s="132" t="s">
        <v>91</v>
      </c>
      <c r="AJ76" s="111">
        <f>IF(AN76=0,I76,0)</f>
      </c>
      <c r="AK76" s="111">
        <f>IF(AN76=12,I76,0)</f>
      </c>
      <c r="AL76" s="111">
        <f>IF(AN76=21,I76,0)</f>
      </c>
      <c r="AN76" s="111" t="n">
        <v>21</v>
      </c>
      <c r="AO76" s="111">
        <f>H76*1</f>
      </c>
      <c r="AP76" s="111">
        <f>H76*(1-1)</f>
      </c>
      <c r="AQ76" s="153" t="s">
        <v>173</v>
      </c>
      <c r="AV76" s="111">
        <f>AW76+AX76</f>
      </c>
      <c r="AW76" s="111">
        <f>G76*AO76</f>
      </c>
      <c r="AX76" s="111">
        <f>G76*AP76</f>
      </c>
      <c r="AY76" s="153" t="s">
        <v>3728</v>
      </c>
      <c r="AZ76" s="153" t="s">
        <v>4215</v>
      </c>
      <c r="BA76" s="132" t="s">
        <v>4138</v>
      </c>
      <c r="BC76" s="111">
        <f>AW76+AX76</f>
      </c>
      <c r="BD76" s="111">
        <f>H76/(100-BE76)*100</f>
      </c>
      <c r="BE76" s="111" t="n">
        <v>0</v>
      </c>
      <c r="BF76" s="111">
        <f>76</f>
      </c>
      <c r="BH76" s="111">
        <f>G76*AO76</f>
      </c>
      <c r="BI76" s="111">
        <f>G76*AP76</f>
      </c>
      <c r="BJ76" s="111">
        <f>G76*H76</f>
      </c>
      <c r="BK76" s="111"/>
      <c r="BL76" s="111" t="n">
        <v>732</v>
      </c>
      <c r="BW76" s="111" t="n">
        <v>21</v>
      </c>
      <c r="BX76" s="14" t="s">
        <v>4281</v>
      </c>
    </row>
    <row r="77">
      <c r="A77" s="9" t="s">
        <v>411</v>
      </c>
      <c r="B77" s="10" t="s">
        <v>91</v>
      </c>
      <c r="C77" s="10" t="s">
        <v>4283</v>
      </c>
      <c r="D77" s="14" t="s">
        <v>4284</v>
      </c>
      <c r="E77" s="10"/>
      <c r="F77" s="10" t="s">
        <v>2277</v>
      </c>
      <c r="G77" s="111">
        <f>'Stavební rozpočet'!G2717</f>
      </c>
      <c r="H77" s="111">
        <f>'Stavební rozpočet'!H2717</f>
      </c>
      <c r="I77" s="111">
        <f>G77*H77</f>
      </c>
      <c r="J77" s="153" t="s">
        <v>4</v>
      </c>
      <c r="K77" s="146"/>
      <c r="Z77" s="111">
        <f>IF(AQ77="5",BJ77,0)</f>
      </c>
      <c r="AB77" s="111">
        <f>IF(AQ77="1",BH77,0)</f>
      </c>
      <c r="AC77" s="111">
        <f>IF(AQ77="1",BI77,0)</f>
      </c>
      <c r="AD77" s="111">
        <f>IF(AQ77="7",BH77,0)</f>
      </c>
      <c r="AE77" s="111">
        <f>IF(AQ77="7",BI77,0)</f>
      </c>
      <c r="AF77" s="111">
        <f>IF(AQ77="2",BH77,0)</f>
      </c>
      <c r="AG77" s="111">
        <f>IF(AQ77="2",BI77,0)</f>
      </c>
      <c r="AH77" s="111">
        <f>IF(AQ77="0",BJ77,0)</f>
      </c>
      <c r="AI77" s="132" t="s">
        <v>91</v>
      </c>
      <c r="AJ77" s="111">
        <f>IF(AN77=0,I77,0)</f>
      </c>
      <c r="AK77" s="111">
        <f>IF(AN77=12,I77,0)</f>
      </c>
      <c r="AL77" s="111">
        <f>IF(AN77=21,I77,0)</f>
      </c>
      <c r="AN77" s="111" t="n">
        <v>21</v>
      </c>
      <c r="AO77" s="111">
        <f>H77*1</f>
      </c>
      <c r="AP77" s="111">
        <f>H77*(1-1)</f>
      </c>
      <c r="AQ77" s="153" t="s">
        <v>173</v>
      </c>
      <c r="AV77" s="111">
        <f>AW77+AX77</f>
      </c>
      <c r="AW77" s="111">
        <f>G77*AO77</f>
      </c>
      <c r="AX77" s="111">
        <f>G77*AP77</f>
      </c>
      <c r="AY77" s="153" t="s">
        <v>3728</v>
      </c>
      <c r="AZ77" s="153" t="s">
        <v>4215</v>
      </c>
      <c r="BA77" s="132" t="s">
        <v>4138</v>
      </c>
      <c r="BC77" s="111">
        <f>AW77+AX77</f>
      </c>
      <c r="BD77" s="111">
        <f>H77/(100-BE77)*100</f>
      </c>
      <c r="BE77" s="111" t="n">
        <v>0</v>
      </c>
      <c r="BF77" s="111">
        <f>77</f>
      </c>
      <c r="BH77" s="111">
        <f>G77*AO77</f>
      </c>
      <c r="BI77" s="111">
        <f>G77*AP77</f>
      </c>
      <c r="BJ77" s="111">
        <f>G77*H77</f>
      </c>
      <c r="BK77" s="111"/>
      <c r="BL77" s="111" t="n">
        <v>732</v>
      </c>
      <c r="BW77" s="111" t="n">
        <v>21</v>
      </c>
      <c r="BX77" s="14" t="s">
        <v>4284</v>
      </c>
    </row>
    <row r="78">
      <c r="A78" s="9" t="s">
        <v>416</v>
      </c>
      <c r="B78" s="10" t="s">
        <v>91</v>
      </c>
      <c r="C78" s="10" t="s">
        <v>4286</v>
      </c>
      <c r="D78" s="14" t="s">
        <v>4287</v>
      </c>
      <c r="E78" s="10"/>
      <c r="F78" s="10" t="s">
        <v>2277</v>
      </c>
      <c r="G78" s="111">
        <f>'Stavební rozpočet'!G2718</f>
      </c>
      <c r="H78" s="111">
        <f>'Stavební rozpočet'!H2718</f>
      </c>
      <c r="I78" s="111">
        <f>G78*H78</f>
      </c>
      <c r="J78" s="153" t="s">
        <v>4</v>
      </c>
      <c r="K78" s="146"/>
      <c r="Z78" s="111">
        <f>IF(AQ78="5",BJ78,0)</f>
      </c>
      <c r="AB78" s="111">
        <f>IF(AQ78="1",BH78,0)</f>
      </c>
      <c r="AC78" s="111">
        <f>IF(AQ78="1",BI78,0)</f>
      </c>
      <c r="AD78" s="111">
        <f>IF(AQ78="7",BH78,0)</f>
      </c>
      <c r="AE78" s="111">
        <f>IF(AQ78="7",BI78,0)</f>
      </c>
      <c r="AF78" s="111">
        <f>IF(AQ78="2",BH78,0)</f>
      </c>
      <c r="AG78" s="111">
        <f>IF(AQ78="2",BI78,0)</f>
      </c>
      <c r="AH78" s="111">
        <f>IF(AQ78="0",BJ78,0)</f>
      </c>
      <c r="AI78" s="132" t="s">
        <v>91</v>
      </c>
      <c r="AJ78" s="111">
        <f>IF(AN78=0,I78,0)</f>
      </c>
      <c r="AK78" s="111">
        <f>IF(AN78=12,I78,0)</f>
      </c>
      <c r="AL78" s="111">
        <f>IF(AN78=21,I78,0)</f>
      </c>
      <c r="AN78" s="111" t="n">
        <v>21</v>
      </c>
      <c r="AO78" s="111">
        <f>H78*1</f>
      </c>
      <c r="AP78" s="111">
        <f>H78*(1-1)</f>
      </c>
      <c r="AQ78" s="153" t="s">
        <v>173</v>
      </c>
      <c r="AV78" s="111">
        <f>AW78+AX78</f>
      </c>
      <c r="AW78" s="111">
        <f>G78*AO78</f>
      </c>
      <c r="AX78" s="111">
        <f>G78*AP78</f>
      </c>
      <c r="AY78" s="153" t="s">
        <v>3728</v>
      </c>
      <c r="AZ78" s="153" t="s">
        <v>4215</v>
      </c>
      <c r="BA78" s="132" t="s">
        <v>4138</v>
      </c>
      <c r="BC78" s="111">
        <f>AW78+AX78</f>
      </c>
      <c r="BD78" s="111">
        <f>H78/(100-BE78)*100</f>
      </c>
      <c r="BE78" s="111" t="n">
        <v>0</v>
      </c>
      <c r="BF78" s="111">
        <f>78</f>
      </c>
      <c r="BH78" s="111">
        <f>G78*AO78</f>
      </c>
      <c r="BI78" s="111">
        <f>G78*AP78</f>
      </c>
      <c r="BJ78" s="111">
        <f>G78*H78</f>
      </c>
      <c r="BK78" s="111"/>
      <c r="BL78" s="111" t="n">
        <v>732</v>
      </c>
      <c r="BW78" s="111" t="n">
        <v>21</v>
      </c>
      <c r="BX78" s="14" t="s">
        <v>4287</v>
      </c>
    </row>
    <row r="79" ht="24.75">
      <c r="A79" s="9" t="s">
        <v>444</v>
      </c>
      <c r="B79" s="10" t="s">
        <v>91</v>
      </c>
      <c r="C79" s="10" t="s">
        <v>4289</v>
      </c>
      <c r="D79" s="14" t="s">
        <v>4290</v>
      </c>
      <c r="E79" s="10"/>
      <c r="F79" s="10" t="s">
        <v>2277</v>
      </c>
      <c r="G79" s="111">
        <f>'Stavební rozpočet'!G2719</f>
      </c>
      <c r="H79" s="111">
        <f>'Stavební rozpočet'!H2719</f>
      </c>
      <c r="I79" s="111">
        <f>G79*H79</f>
      </c>
      <c r="J79" s="153" t="s">
        <v>4</v>
      </c>
      <c r="K79" s="146"/>
      <c r="Z79" s="111">
        <f>IF(AQ79="5",BJ79,0)</f>
      </c>
      <c r="AB79" s="111">
        <f>IF(AQ79="1",BH79,0)</f>
      </c>
      <c r="AC79" s="111">
        <f>IF(AQ79="1",BI79,0)</f>
      </c>
      <c r="AD79" s="111">
        <f>IF(AQ79="7",BH79,0)</f>
      </c>
      <c r="AE79" s="111">
        <f>IF(AQ79="7",BI79,0)</f>
      </c>
      <c r="AF79" s="111">
        <f>IF(AQ79="2",BH79,0)</f>
      </c>
      <c r="AG79" s="111">
        <f>IF(AQ79="2",BI79,0)</f>
      </c>
      <c r="AH79" s="111">
        <f>IF(AQ79="0",BJ79,0)</f>
      </c>
      <c r="AI79" s="132" t="s">
        <v>91</v>
      </c>
      <c r="AJ79" s="111">
        <f>IF(AN79=0,I79,0)</f>
      </c>
      <c r="AK79" s="111">
        <f>IF(AN79=12,I79,0)</f>
      </c>
      <c r="AL79" s="111">
        <f>IF(AN79=21,I79,0)</f>
      </c>
      <c r="AN79" s="111" t="n">
        <v>21</v>
      </c>
      <c r="AO79" s="111">
        <f>H79*1</f>
      </c>
      <c r="AP79" s="111">
        <f>H79*(1-1)</f>
      </c>
      <c r="AQ79" s="153" t="s">
        <v>173</v>
      </c>
      <c r="AV79" s="111">
        <f>AW79+AX79</f>
      </c>
      <c r="AW79" s="111">
        <f>G79*AO79</f>
      </c>
      <c r="AX79" s="111">
        <f>G79*AP79</f>
      </c>
      <c r="AY79" s="153" t="s">
        <v>3728</v>
      </c>
      <c r="AZ79" s="153" t="s">
        <v>4215</v>
      </c>
      <c r="BA79" s="132" t="s">
        <v>4138</v>
      </c>
      <c r="BC79" s="111">
        <f>AW79+AX79</f>
      </c>
      <c r="BD79" s="111">
        <f>H79/(100-BE79)*100</f>
      </c>
      <c r="BE79" s="111" t="n">
        <v>0</v>
      </c>
      <c r="BF79" s="111">
        <f>79</f>
      </c>
      <c r="BH79" s="111">
        <f>G79*AO79</f>
      </c>
      <c r="BI79" s="111">
        <f>G79*AP79</f>
      </c>
      <c r="BJ79" s="111">
        <f>G79*H79</f>
      </c>
      <c r="BK79" s="111"/>
      <c r="BL79" s="111" t="n">
        <v>732</v>
      </c>
      <c r="BW79" s="111" t="n">
        <v>21</v>
      </c>
      <c r="BX79" s="14" t="s">
        <v>4290</v>
      </c>
    </row>
    <row r="80" ht="24.75">
      <c r="A80" s="9" t="s">
        <v>450</v>
      </c>
      <c r="B80" s="10" t="s">
        <v>91</v>
      </c>
      <c r="C80" s="10" t="s">
        <v>4292</v>
      </c>
      <c r="D80" s="14" t="s">
        <v>4293</v>
      </c>
      <c r="E80" s="10"/>
      <c r="F80" s="10" t="s">
        <v>2277</v>
      </c>
      <c r="G80" s="111">
        <f>'Stavební rozpočet'!G2720</f>
      </c>
      <c r="H80" s="111">
        <f>'Stavební rozpočet'!H2720</f>
      </c>
      <c r="I80" s="111">
        <f>G80*H80</f>
      </c>
      <c r="J80" s="153" t="s">
        <v>4</v>
      </c>
      <c r="K80" s="146"/>
      <c r="Z80" s="111">
        <f>IF(AQ80="5",BJ80,0)</f>
      </c>
      <c r="AB80" s="111">
        <f>IF(AQ80="1",BH80,0)</f>
      </c>
      <c r="AC80" s="111">
        <f>IF(AQ80="1",BI80,0)</f>
      </c>
      <c r="AD80" s="111">
        <f>IF(AQ80="7",BH80,0)</f>
      </c>
      <c r="AE80" s="111">
        <f>IF(AQ80="7",BI80,0)</f>
      </c>
      <c r="AF80" s="111">
        <f>IF(AQ80="2",BH80,0)</f>
      </c>
      <c r="AG80" s="111">
        <f>IF(AQ80="2",BI80,0)</f>
      </c>
      <c r="AH80" s="111">
        <f>IF(AQ80="0",BJ80,0)</f>
      </c>
      <c r="AI80" s="132" t="s">
        <v>91</v>
      </c>
      <c r="AJ80" s="111">
        <f>IF(AN80=0,I80,0)</f>
      </c>
      <c r="AK80" s="111">
        <f>IF(AN80=12,I80,0)</f>
      </c>
      <c r="AL80" s="111">
        <f>IF(AN80=21,I80,0)</f>
      </c>
      <c r="AN80" s="111" t="n">
        <v>21</v>
      </c>
      <c r="AO80" s="111">
        <f>H80*1</f>
      </c>
      <c r="AP80" s="111">
        <f>H80*(1-1)</f>
      </c>
      <c r="AQ80" s="153" t="s">
        <v>173</v>
      </c>
      <c r="AV80" s="111">
        <f>AW80+AX80</f>
      </c>
      <c r="AW80" s="111">
        <f>G80*AO80</f>
      </c>
      <c r="AX80" s="111">
        <f>G80*AP80</f>
      </c>
      <c r="AY80" s="153" t="s">
        <v>3728</v>
      </c>
      <c r="AZ80" s="153" t="s">
        <v>4215</v>
      </c>
      <c r="BA80" s="132" t="s">
        <v>4138</v>
      </c>
      <c r="BC80" s="111">
        <f>AW80+AX80</f>
      </c>
      <c r="BD80" s="111">
        <f>H80/(100-BE80)*100</f>
      </c>
      <c r="BE80" s="111" t="n">
        <v>0</v>
      </c>
      <c r="BF80" s="111">
        <f>80</f>
      </c>
      <c r="BH80" s="111">
        <f>G80*AO80</f>
      </c>
      <c r="BI80" s="111">
        <f>G80*AP80</f>
      </c>
      <c r="BJ80" s="111">
        <f>G80*H80</f>
      </c>
      <c r="BK80" s="111"/>
      <c r="BL80" s="111" t="n">
        <v>732</v>
      </c>
      <c r="BW80" s="111" t="n">
        <v>21</v>
      </c>
      <c r="BX80" s="14" t="s">
        <v>4293</v>
      </c>
    </row>
    <row r="81">
      <c r="A81" s="9" t="s">
        <v>455</v>
      </c>
      <c r="B81" s="10" t="s">
        <v>91</v>
      </c>
      <c r="C81" s="10" t="s">
        <v>4295</v>
      </c>
      <c r="D81" s="14" t="s">
        <v>4296</v>
      </c>
      <c r="E81" s="10"/>
      <c r="F81" s="10" t="s">
        <v>3860</v>
      </c>
      <c r="G81" s="111">
        <f>'Stavební rozpočet'!G2721</f>
      </c>
      <c r="H81" s="111">
        <f>'Stavební rozpočet'!H2721</f>
      </c>
      <c r="I81" s="111">
        <f>G81*H81</f>
      </c>
      <c r="J81" s="153" t="s">
        <v>4</v>
      </c>
      <c r="K81" s="146"/>
      <c r="Z81" s="111">
        <f>IF(AQ81="5",BJ81,0)</f>
      </c>
      <c r="AB81" s="111">
        <f>IF(AQ81="1",BH81,0)</f>
      </c>
      <c r="AC81" s="111">
        <f>IF(AQ81="1",BI81,0)</f>
      </c>
      <c r="AD81" s="111">
        <f>IF(AQ81="7",BH81,0)</f>
      </c>
      <c r="AE81" s="111">
        <f>IF(AQ81="7",BI81,0)</f>
      </c>
      <c r="AF81" s="111">
        <f>IF(AQ81="2",BH81,0)</f>
      </c>
      <c r="AG81" s="111">
        <f>IF(AQ81="2",BI81,0)</f>
      </c>
      <c r="AH81" s="111">
        <f>IF(AQ81="0",BJ81,0)</f>
      </c>
      <c r="AI81" s="132" t="s">
        <v>91</v>
      </c>
      <c r="AJ81" s="111">
        <f>IF(AN81=0,I81,0)</f>
      </c>
      <c r="AK81" s="111">
        <f>IF(AN81=12,I81,0)</f>
      </c>
      <c r="AL81" s="111">
        <f>IF(AN81=21,I81,0)</f>
      </c>
      <c r="AN81" s="111" t="n">
        <v>21</v>
      </c>
      <c r="AO81" s="111">
        <f>H81*1</f>
      </c>
      <c r="AP81" s="111">
        <f>H81*(1-1)</f>
      </c>
      <c r="AQ81" s="153" t="s">
        <v>173</v>
      </c>
      <c r="AV81" s="111">
        <f>AW81+AX81</f>
      </c>
      <c r="AW81" s="111">
        <f>G81*AO81</f>
      </c>
      <c r="AX81" s="111">
        <f>G81*AP81</f>
      </c>
      <c r="AY81" s="153" t="s">
        <v>3728</v>
      </c>
      <c r="AZ81" s="153" t="s">
        <v>4215</v>
      </c>
      <c r="BA81" s="132" t="s">
        <v>4138</v>
      </c>
      <c r="BC81" s="111">
        <f>AW81+AX81</f>
      </c>
      <c r="BD81" s="111">
        <f>H81/(100-BE81)*100</f>
      </c>
      <c r="BE81" s="111" t="n">
        <v>0</v>
      </c>
      <c r="BF81" s="111">
        <f>81</f>
      </c>
      <c r="BH81" s="111">
        <f>G81*AO81</f>
      </c>
      <c r="BI81" s="111">
        <f>G81*AP81</f>
      </c>
      <c r="BJ81" s="111">
        <f>G81*H81</f>
      </c>
      <c r="BK81" s="111"/>
      <c r="BL81" s="111" t="n">
        <v>732</v>
      </c>
      <c r="BW81" s="111" t="n">
        <v>21</v>
      </c>
      <c r="BX81" s="14" t="s">
        <v>4296</v>
      </c>
    </row>
    <row r="82">
      <c r="A82" s="9" t="s">
        <v>460</v>
      </c>
      <c r="B82" s="10" t="s">
        <v>91</v>
      </c>
      <c r="C82" s="10" t="s">
        <v>4298</v>
      </c>
      <c r="D82" s="14" t="s">
        <v>4299</v>
      </c>
      <c r="E82" s="10"/>
      <c r="F82" s="10" t="s">
        <v>1421</v>
      </c>
      <c r="G82" s="111">
        <f>'Stavební rozpočet'!G2722</f>
      </c>
      <c r="H82" s="111">
        <f>'Stavební rozpočet'!H2722</f>
      </c>
      <c r="I82" s="111">
        <f>G82*H82</f>
      </c>
      <c r="J82" s="153" t="s">
        <v>4</v>
      </c>
      <c r="K82" s="146"/>
      <c r="Z82" s="111">
        <f>IF(AQ82="5",BJ82,0)</f>
      </c>
      <c r="AB82" s="111">
        <f>IF(AQ82="1",BH82,0)</f>
      </c>
      <c r="AC82" s="111">
        <f>IF(AQ82="1",BI82,0)</f>
      </c>
      <c r="AD82" s="111">
        <f>IF(AQ82="7",BH82,0)</f>
      </c>
      <c r="AE82" s="111">
        <f>IF(AQ82="7",BI82,0)</f>
      </c>
      <c r="AF82" s="111">
        <f>IF(AQ82="2",BH82,0)</f>
      </c>
      <c r="AG82" s="111">
        <f>IF(AQ82="2",BI82,0)</f>
      </c>
      <c r="AH82" s="111">
        <f>IF(AQ82="0",BJ82,0)</f>
      </c>
      <c r="AI82" s="132" t="s">
        <v>91</v>
      </c>
      <c r="AJ82" s="111">
        <f>IF(AN82=0,I82,0)</f>
      </c>
      <c r="AK82" s="111">
        <f>IF(AN82=12,I82,0)</f>
      </c>
      <c r="AL82" s="111">
        <f>IF(AN82=21,I82,0)</f>
      </c>
      <c r="AN82" s="111" t="n">
        <v>21</v>
      </c>
      <c r="AO82" s="111">
        <f>H82*1</f>
      </c>
      <c r="AP82" s="111">
        <f>H82*(1-1)</f>
      </c>
      <c r="AQ82" s="153" t="s">
        <v>173</v>
      </c>
      <c r="AV82" s="111">
        <f>AW82+AX82</f>
      </c>
      <c r="AW82" s="111">
        <f>G82*AO82</f>
      </c>
      <c r="AX82" s="111">
        <f>G82*AP82</f>
      </c>
      <c r="AY82" s="153" t="s">
        <v>3728</v>
      </c>
      <c r="AZ82" s="153" t="s">
        <v>4215</v>
      </c>
      <c r="BA82" s="132" t="s">
        <v>4138</v>
      </c>
      <c r="BC82" s="111">
        <f>AW82+AX82</f>
      </c>
      <c r="BD82" s="111">
        <f>H82/(100-BE82)*100</f>
      </c>
      <c r="BE82" s="111" t="n">
        <v>0</v>
      </c>
      <c r="BF82" s="111">
        <f>82</f>
      </c>
      <c r="BH82" s="111">
        <f>G82*AO82</f>
      </c>
      <c r="BI82" s="111">
        <f>G82*AP82</f>
      </c>
      <c r="BJ82" s="111">
        <f>G82*H82</f>
      </c>
      <c r="BK82" s="111"/>
      <c r="BL82" s="111" t="n">
        <v>732</v>
      </c>
      <c r="BW82" s="111" t="n">
        <v>21</v>
      </c>
      <c r="BX82" s="14" t="s">
        <v>4299</v>
      </c>
    </row>
    <row r="83">
      <c r="A83" s="9" t="s">
        <v>466</v>
      </c>
      <c r="B83" s="10" t="s">
        <v>91</v>
      </c>
      <c r="C83" s="10" t="s">
        <v>4301</v>
      </c>
      <c r="D83" s="14" t="s">
        <v>4302</v>
      </c>
      <c r="E83" s="10"/>
      <c r="F83" s="10" t="s">
        <v>2277</v>
      </c>
      <c r="G83" s="111">
        <f>'Stavební rozpočet'!G2723</f>
      </c>
      <c r="H83" s="111">
        <f>'Stavební rozpočet'!H2723</f>
      </c>
      <c r="I83" s="111">
        <f>G83*H83</f>
      </c>
      <c r="J83" s="153" t="s">
        <v>4</v>
      </c>
      <c r="K83" s="146"/>
      <c r="Z83" s="111">
        <f>IF(AQ83="5",BJ83,0)</f>
      </c>
      <c r="AB83" s="111">
        <f>IF(AQ83="1",BH83,0)</f>
      </c>
      <c r="AC83" s="111">
        <f>IF(AQ83="1",BI83,0)</f>
      </c>
      <c r="AD83" s="111">
        <f>IF(AQ83="7",BH83,0)</f>
      </c>
      <c r="AE83" s="111">
        <f>IF(AQ83="7",BI83,0)</f>
      </c>
      <c r="AF83" s="111">
        <f>IF(AQ83="2",BH83,0)</f>
      </c>
      <c r="AG83" s="111">
        <f>IF(AQ83="2",BI83,0)</f>
      </c>
      <c r="AH83" s="111">
        <f>IF(AQ83="0",BJ83,0)</f>
      </c>
      <c r="AI83" s="132" t="s">
        <v>91</v>
      </c>
      <c r="AJ83" s="111">
        <f>IF(AN83=0,I83,0)</f>
      </c>
      <c r="AK83" s="111">
        <f>IF(AN83=12,I83,0)</f>
      </c>
      <c r="AL83" s="111">
        <f>IF(AN83=21,I83,0)</f>
      </c>
      <c r="AN83" s="111" t="n">
        <v>21</v>
      </c>
      <c r="AO83" s="111">
        <f>H83*1</f>
      </c>
      <c r="AP83" s="111">
        <f>H83*(1-1)</f>
      </c>
      <c r="AQ83" s="153" t="s">
        <v>173</v>
      </c>
      <c r="AV83" s="111">
        <f>AW83+AX83</f>
      </c>
      <c r="AW83" s="111">
        <f>G83*AO83</f>
      </c>
      <c r="AX83" s="111">
        <f>G83*AP83</f>
      </c>
      <c r="AY83" s="153" t="s">
        <v>3728</v>
      </c>
      <c r="AZ83" s="153" t="s">
        <v>4215</v>
      </c>
      <c r="BA83" s="132" t="s">
        <v>4138</v>
      </c>
      <c r="BC83" s="111">
        <f>AW83+AX83</f>
      </c>
      <c r="BD83" s="111">
        <f>H83/(100-BE83)*100</f>
      </c>
      <c r="BE83" s="111" t="n">
        <v>0</v>
      </c>
      <c r="BF83" s="111">
        <f>83</f>
      </c>
      <c r="BH83" s="111">
        <f>G83*AO83</f>
      </c>
      <c r="BI83" s="111">
        <f>G83*AP83</f>
      </c>
      <c r="BJ83" s="111">
        <f>G83*H83</f>
      </c>
      <c r="BK83" s="111"/>
      <c r="BL83" s="111" t="n">
        <v>732</v>
      </c>
      <c r="BW83" s="111" t="n">
        <v>21</v>
      </c>
      <c r="BX83" s="14" t="s">
        <v>4302</v>
      </c>
    </row>
    <row r="84">
      <c r="A84" s="9" t="s">
        <v>472</v>
      </c>
      <c r="B84" s="10" t="s">
        <v>91</v>
      </c>
      <c r="C84" s="10" t="s">
        <v>4304</v>
      </c>
      <c r="D84" s="14" t="s">
        <v>4305</v>
      </c>
      <c r="E84" s="10"/>
      <c r="F84" s="10" t="s">
        <v>2277</v>
      </c>
      <c r="G84" s="111">
        <f>'Stavební rozpočet'!G2724</f>
      </c>
      <c r="H84" s="111">
        <f>'Stavební rozpočet'!H2724</f>
      </c>
      <c r="I84" s="111">
        <f>G84*H84</f>
      </c>
      <c r="J84" s="153" t="s">
        <v>4</v>
      </c>
      <c r="K84" s="146"/>
      <c r="Z84" s="111">
        <f>IF(AQ84="5",BJ84,0)</f>
      </c>
      <c r="AB84" s="111">
        <f>IF(AQ84="1",BH84,0)</f>
      </c>
      <c r="AC84" s="111">
        <f>IF(AQ84="1",BI84,0)</f>
      </c>
      <c r="AD84" s="111">
        <f>IF(AQ84="7",BH84,0)</f>
      </c>
      <c r="AE84" s="111">
        <f>IF(AQ84="7",BI84,0)</f>
      </c>
      <c r="AF84" s="111">
        <f>IF(AQ84="2",BH84,0)</f>
      </c>
      <c r="AG84" s="111">
        <f>IF(AQ84="2",BI84,0)</f>
      </c>
      <c r="AH84" s="111">
        <f>IF(AQ84="0",BJ84,0)</f>
      </c>
      <c r="AI84" s="132" t="s">
        <v>91</v>
      </c>
      <c r="AJ84" s="111">
        <f>IF(AN84=0,I84,0)</f>
      </c>
      <c r="AK84" s="111">
        <f>IF(AN84=12,I84,0)</f>
      </c>
      <c r="AL84" s="111">
        <f>IF(AN84=21,I84,0)</f>
      </c>
      <c r="AN84" s="111" t="n">
        <v>21</v>
      </c>
      <c r="AO84" s="111">
        <f>H84*1</f>
      </c>
      <c r="AP84" s="111">
        <f>H84*(1-1)</f>
      </c>
      <c r="AQ84" s="153" t="s">
        <v>173</v>
      </c>
      <c r="AV84" s="111">
        <f>AW84+AX84</f>
      </c>
      <c r="AW84" s="111">
        <f>G84*AO84</f>
      </c>
      <c r="AX84" s="111">
        <f>G84*AP84</f>
      </c>
      <c r="AY84" s="153" t="s">
        <v>3728</v>
      </c>
      <c r="AZ84" s="153" t="s">
        <v>4215</v>
      </c>
      <c r="BA84" s="132" t="s">
        <v>4138</v>
      </c>
      <c r="BC84" s="111">
        <f>AW84+AX84</f>
      </c>
      <c r="BD84" s="111">
        <f>H84/(100-BE84)*100</f>
      </c>
      <c r="BE84" s="111" t="n">
        <v>0</v>
      </c>
      <c r="BF84" s="111">
        <f>84</f>
      </c>
      <c r="BH84" s="111">
        <f>G84*AO84</f>
      </c>
      <c r="BI84" s="111">
        <f>G84*AP84</f>
      </c>
      <c r="BJ84" s="111">
        <f>G84*H84</f>
      </c>
      <c r="BK84" s="111"/>
      <c r="BL84" s="111" t="n">
        <v>732</v>
      </c>
      <c r="BW84" s="111" t="n">
        <v>21</v>
      </c>
      <c r="BX84" s="14" t="s">
        <v>4305</v>
      </c>
    </row>
    <row r="85" ht="24.75">
      <c r="A85" s="9" t="s">
        <v>148</v>
      </c>
      <c r="B85" s="10" t="s">
        <v>91</v>
      </c>
      <c r="C85" s="10" t="s">
        <v>4307</v>
      </c>
      <c r="D85" s="14" t="s">
        <v>4308</v>
      </c>
      <c r="E85" s="10"/>
      <c r="F85" s="10" t="s">
        <v>2277</v>
      </c>
      <c r="G85" s="111">
        <f>'Stavební rozpočet'!G2725</f>
      </c>
      <c r="H85" s="111">
        <f>'Stavební rozpočet'!H2725</f>
      </c>
      <c r="I85" s="111">
        <f>G85*H85</f>
      </c>
      <c r="J85" s="153" t="s">
        <v>4</v>
      </c>
      <c r="K85" s="146"/>
      <c r="Z85" s="111">
        <f>IF(AQ85="5",BJ85,0)</f>
      </c>
      <c r="AB85" s="111">
        <f>IF(AQ85="1",BH85,0)</f>
      </c>
      <c r="AC85" s="111">
        <f>IF(AQ85="1",BI85,0)</f>
      </c>
      <c r="AD85" s="111">
        <f>IF(AQ85="7",BH85,0)</f>
      </c>
      <c r="AE85" s="111">
        <f>IF(AQ85="7",BI85,0)</f>
      </c>
      <c r="AF85" s="111">
        <f>IF(AQ85="2",BH85,0)</f>
      </c>
      <c r="AG85" s="111">
        <f>IF(AQ85="2",BI85,0)</f>
      </c>
      <c r="AH85" s="111">
        <f>IF(AQ85="0",BJ85,0)</f>
      </c>
      <c r="AI85" s="132" t="s">
        <v>91</v>
      </c>
      <c r="AJ85" s="111">
        <f>IF(AN85=0,I85,0)</f>
      </c>
      <c r="AK85" s="111">
        <f>IF(AN85=12,I85,0)</f>
      </c>
      <c r="AL85" s="111">
        <f>IF(AN85=21,I85,0)</f>
      </c>
      <c r="AN85" s="111" t="n">
        <v>21</v>
      </c>
      <c r="AO85" s="111">
        <f>H85*1</f>
      </c>
      <c r="AP85" s="111">
        <f>H85*(1-1)</f>
      </c>
      <c r="AQ85" s="153" t="s">
        <v>173</v>
      </c>
      <c r="AV85" s="111">
        <f>AW85+AX85</f>
      </c>
      <c r="AW85" s="111">
        <f>G85*AO85</f>
      </c>
      <c r="AX85" s="111">
        <f>G85*AP85</f>
      </c>
      <c r="AY85" s="153" t="s">
        <v>3728</v>
      </c>
      <c r="AZ85" s="153" t="s">
        <v>4215</v>
      </c>
      <c r="BA85" s="132" t="s">
        <v>4138</v>
      </c>
      <c r="BC85" s="111">
        <f>AW85+AX85</f>
      </c>
      <c r="BD85" s="111">
        <f>H85/(100-BE85)*100</f>
      </c>
      <c r="BE85" s="111" t="n">
        <v>0</v>
      </c>
      <c r="BF85" s="111">
        <f>85</f>
      </c>
      <c r="BH85" s="111">
        <f>G85*AO85</f>
      </c>
      <c r="BI85" s="111">
        <f>G85*AP85</f>
      </c>
      <c r="BJ85" s="111">
        <f>G85*H85</f>
      </c>
      <c r="BK85" s="111"/>
      <c r="BL85" s="111" t="n">
        <v>732</v>
      </c>
      <c r="BW85" s="111" t="n">
        <v>21</v>
      </c>
      <c r="BX85" s="14" t="s">
        <v>4308</v>
      </c>
    </row>
    <row r="86" ht="24.75">
      <c r="A86" s="9" t="s">
        <v>480</v>
      </c>
      <c r="B86" s="10" t="s">
        <v>91</v>
      </c>
      <c r="C86" s="10" t="s">
        <v>4310</v>
      </c>
      <c r="D86" s="14" t="s">
        <v>4311</v>
      </c>
      <c r="E86" s="10"/>
      <c r="F86" s="10" t="s">
        <v>2277</v>
      </c>
      <c r="G86" s="111">
        <f>'Stavební rozpočet'!G2726</f>
      </c>
      <c r="H86" s="111">
        <f>'Stavební rozpočet'!H2726</f>
      </c>
      <c r="I86" s="111">
        <f>G86*H86</f>
      </c>
      <c r="J86" s="153" t="s">
        <v>4</v>
      </c>
      <c r="K86" s="146"/>
      <c r="Z86" s="111">
        <f>IF(AQ86="5",BJ86,0)</f>
      </c>
      <c r="AB86" s="111">
        <f>IF(AQ86="1",BH86,0)</f>
      </c>
      <c r="AC86" s="111">
        <f>IF(AQ86="1",BI86,0)</f>
      </c>
      <c r="AD86" s="111">
        <f>IF(AQ86="7",BH86,0)</f>
      </c>
      <c r="AE86" s="111">
        <f>IF(AQ86="7",BI86,0)</f>
      </c>
      <c r="AF86" s="111">
        <f>IF(AQ86="2",BH86,0)</f>
      </c>
      <c r="AG86" s="111">
        <f>IF(AQ86="2",BI86,0)</f>
      </c>
      <c r="AH86" s="111">
        <f>IF(AQ86="0",BJ86,0)</f>
      </c>
      <c r="AI86" s="132" t="s">
        <v>91</v>
      </c>
      <c r="AJ86" s="111">
        <f>IF(AN86=0,I86,0)</f>
      </c>
      <c r="AK86" s="111">
        <f>IF(AN86=12,I86,0)</f>
      </c>
      <c r="AL86" s="111">
        <f>IF(AN86=21,I86,0)</f>
      </c>
      <c r="AN86" s="111" t="n">
        <v>21</v>
      </c>
      <c r="AO86" s="111">
        <f>H86*1</f>
      </c>
      <c r="AP86" s="111">
        <f>H86*(1-1)</f>
      </c>
      <c r="AQ86" s="153" t="s">
        <v>173</v>
      </c>
      <c r="AV86" s="111">
        <f>AW86+AX86</f>
      </c>
      <c r="AW86" s="111">
        <f>G86*AO86</f>
      </c>
      <c r="AX86" s="111">
        <f>G86*AP86</f>
      </c>
      <c r="AY86" s="153" t="s">
        <v>3728</v>
      </c>
      <c r="AZ86" s="153" t="s">
        <v>4215</v>
      </c>
      <c r="BA86" s="132" t="s">
        <v>4138</v>
      </c>
      <c r="BC86" s="111">
        <f>AW86+AX86</f>
      </c>
      <c r="BD86" s="111">
        <f>H86/(100-BE86)*100</f>
      </c>
      <c r="BE86" s="111" t="n">
        <v>0</v>
      </c>
      <c r="BF86" s="111">
        <f>86</f>
      </c>
      <c r="BH86" s="111">
        <f>G86*AO86</f>
      </c>
      <c r="BI86" s="111">
        <f>G86*AP86</f>
      </c>
      <c r="BJ86" s="111">
        <f>G86*H86</f>
      </c>
      <c r="BK86" s="111"/>
      <c r="BL86" s="111" t="n">
        <v>732</v>
      </c>
      <c r="BW86" s="111" t="n">
        <v>21</v>
      </c>
      <c r="BX86" s="14" t="s">
        <v>4311</v>
      </c>
    </row>
    <row r="87" ht="24.75">
      <c r="A87" s="9" t="s">
        <v>484</v>
      </c>
      <c r="B87" s="10" t="s">
        <v>91</v>
      </c>
      <c r="C87" s="10" t="s">
        <v>4313</v>
      </c>
      <c r="D87" s="14" t="s">
        <v>4314</v>
      </c>
      <c r="E87" s="10"/>
      <c r="F87" s="10" t="s">
        <v>2277</v>
      </c>
      <c r="G87" s="111">
        <f>'Stavební rozpočet'!G2727</f>
      </c>
      <c r="H87" s="111">
        <f>'Stavební rozpočet'!H2727</f>
      </c>
      <c r="I87" s="111">
        <f>G87*H87</f>
      </c>
      <c r="J87" s="153" t="s">
        <v>4</v>
      </c>
      <c r="K87" s="146"/>
      <c r="Z87" s="111">
        <f>IF(AQ87="5",BJ87,0)</f>
      </c>
      <c r="AB87" s="111">
        <f>IF(AQ87="1",BH87,0)</f>
      </c>
      <c r="AC87" s="111">
        <f>IF(AQ87="1",BI87,0)</f>
      </c>
      <c r="AD87" s="111">
        <f>IF(AQ87="7",BH87,0)</f>
      </c>
      <c r="AE87" s="111">
        <f>IF(AQ87="7",BI87,0)</f>
      </c>
      <c r="AF87" s="111">
        <f>IF(AQ87="2",BH87,0)</f>
      </c>
      <c r="AG87" s="111">
        <f>IF(AQ87="2",BI87,0)</f>
      </c>
      <c r="AH87" s="111">
        <f>IF(AQ87="0",BJ87,0)</f>
      </c>
      <c r="AI87" s="132" t="s">
        <v>91</v>
      </c>
      <c r="AJ87" s="111">
        <f>IF(AN87=0,I87,0)</f>
      </c>
      <c r="AK87" s="111">
        <f>IF(AN87=12,I87,0)</f>
      </c>
      <c r="AL87" s="111">
        <f>IF(AN87=21,I87,0)</f>
      </c>
      <c r="AN87" s="111" t="n">
        <v>21</v>
      </c>
      <c r="AO87" s="111">
        <f>H87*1</f>
      </c>
      <c r="AP87" s="111">
        <f>H87*(1-1)</f>
      </c>
      <c r="AQ87" s="153" t="s">
        <v>173</v>
      </c>
      <c r="AV87" s="111">
        <f>AW87+AX87</f>
      </c>
      <c r="AW87" s="111">
        <f>G87*AO87</f>
      </c>
      <c r="AX87" s="111">
        <f>G87*AP87</f>
      </c>
      <c r="AY87" s="153" t="s">
        <v>3728</v>
      </c>
      <c r="AZ87" s="153" t="s">
        <v>4215</v>
      </c>
      <c r="BA87" s="132" t="s">
        <v>4138</v>
      </c>
      <c r="BC87" s="111">
        <f>AW87+AX87</f>
      </c>
      <c r="BD87" s="111">
        <f>H87/(100-BE87)*100</f>
      </c>
      <c r="BE87" s="111" t="n">
        <v>0</v>
      </c>
      <c r="BF87" s="111">
        <f>87</f>
      </c>
      <c r="BH87" s="111">
        <f>G87*AO87</f>
      </c>
      <c r="BI87" s="111">
        <f>G87*AP87</f>
      </c>
      <c r="BJ87" s="111">
        <f>G87*H87</f>
      </c>
      <c r="BK87" s="111"/>
      <c r="BL87" s="111" t="n">
        <v>732</v>
      </c>
      <c r="BW87" s="111" t="n">
        <v>21</v>
      </c>
      <c r="BX87" s="14" t="s">
        <v>4314</v>
      </c>
    </row>
    <row r="88">
      <c r="A88" s="147" t="s">
        <v>4</v>
      </c>
      <c r="B88" s="148" t="s">
        <v>91</v>
      </c>
      <c r="C88" s="148" t="s">
        <v>3907</v>
      </c>
      <c r="D88" s="149" t="s">
        <v>4078</v>
      </c>
      <c r="E88" s="148"/>
      <c r="F88" s="150" t="s">
        <v>79</v>
      </c>
      <c r="G88" s="150" t="s">
        <v>79</v>
      </c>
      <c r="H88" s="150" t="s">
        <v>79</v>
      </c>
      <c r="I88" s="117">
        <f>SUM(I89:I106)</f>
      </c>
      <c r="J88" s="132" t="s">
        <v>4</v>
      </c>
      <c r="K88" s="146"/>
      <c r="AI88" s="132" t="s">
        <v>91</v>
      </c>
      <c r="AS88" s="117">
        <f>SUM(AJ89:AJ106)</f>
      </c>
      <c r="AT88" s="117">
        <f>SUM(AK89:AK106)</f>
      </c>
      <c r="AU88" s="117">
        <f>SUM(AL89:AL106)</f>
      </c>
    </row>
    <row r="89" ht="24.75">
      <c r="A89" s="9" t="s">
        <v>488</v>
      </c>
      <c r="B89" s="10" t="s">
        <v>91</v>
      </c>
      <c r="C89" s="10" t="s">
        <v>4316</v>
      </c>
      <c r="D89" s="14" t="s">
        <v>4317</v>
      </c>
      <c r="E89" s="10"/>
      <c r="F89" s="10" t="s">
        <v>133</v>
      </c>
      <c r="G89" s="111">
        <f>'Stavební rozpočet'!G2729</f>
      </c>
      <c r="H89" s="111">
        <f>'Stavební rozpočet'!H2729</f>
      </c>
      <c r="I89" s="111">
        <f>G89*H89</f>
      </c>
      <c r="J89" s="153" t="s">
        <v>4</v>
      </c>
      <c r="K89" s="146"/>
      <c r="Z89" s="111">
        <f>IF(AQ89="5",BJ89,0)</f>
      </c>
      <c r="AB89" s="111">
        <f>IF(AQ89="1",BH89,0)</f>
      </c>
      <c r="AC89" s="111">
        <f>IF(AQ89="1",BI89,0)</f>
      </c>
      <c r="AD89" s="111">
        <f>IF(AQ89="7",BH89,0)</f>
      </c>
      <c r="AE89" s="111">
        <f>IF(AQ89="7",BI89,0)</f>
      </c>
      <c r="AF89" s="111">
        <f>IF(AQ89="2",BH89,0)</f>
      </c>
      <c r="AG89" s="111">
        <f>IF(AQ89="2",BI89,0)</f>
      </c>
      <c r="AH89" s="111">
        <f>IF(AQ89="0",BJ89,0)</f>
      </c>
      <c r="AI89" s="132" t="s">
        <v>91</v>
      </c>
      <c r="AJ89" s="111">
        <f>IF(AN89=0,I89,0)</f>
      </c>
      <c r="AK89" s="111">
        <f>IF(AN89=12,I89,0)</f>
      </c>
      <c r="AL89" s="111">
        <f>IF(AN89=21,I89,0)</f>
      </c>
      <c r="AN89" s="111" t="n">
        <v>21</v>
      </c>
      <c r="AO89" s="111">
        <f>H89*0</f>
      </c>
      <c r="AP89" s="111">
        <f>H89*(1-0)</f>
      </c>
      <c r="AQ89" s="153" t="s">
        <v>173</v>
      </c>
      <c r="AV89" s="111">
        <f>AW89+AX89</f>
      </c>
      <c r="AW89" s="111">
        <f>G89*AO89</f>
      </c>
      <c r="AX89" s="111">
        <f>G89*AP89</f>
      </c>
      <c r="AY89" s="153" t="s">
        <v>4082</v>
      </c>
      <c r="AZ89" s="153" t="s">
        <v>4215</v>
      </c>
      <c r="BA89" s="132" t="s">
        <v>4138</v>
      </c>
      <c r="BC89" s="111">
        <f>AW89+AX89</f>
      </c>
      <c r="BD89" s="111">
        <f>H89/(100-BE89)*100</f>
      </c>
      <c r="BE89" s="111" t="n">
        <v>0</v>
      </c>
      <c r="BF89" s="111">
        <f>89</f>
      </c>
      <c r="BH89" s="111">
        <f>G89*AO89</f>
      </c>
      <c r="BI89" s="111">
        <f>G89*AP89</f>
      </c>
      <c r="BJ89" s="111">
        <f>G89*H89</f>
      </c>
      <c r="BK89" s="111"/>
      <c r="BL89" s="111" t="n">
        <v>733</v>
      </c>
      <c r="BW89" s="111" t="n">
        <v>21</v>
      </c>
      <c r="BX89" s="14" t="s">
        <v>4317</v>
      </c>
    </row>
    <row r="90" ht="24.75">
      <c r="A90" s="9" t="s">
        <v>494</v>
      </c>
      <c r="B90" s="10" t="s">
        <v>91</v>
      </c>
      <c r="C90" s="10" t="s">
        <v>4319</v>
      </c>
      <c r="D90" s="14" t="s">
        <v>4320</v>
      </c>
      <c r="E90" s="10"/>
      <c r="F90" s="10" t="s">
        <v>133</v>
      </c>
      <c r="G90" s="111">
        <f>'Stavební rozpočet'!G2730</f>
      </c>
      <c r="H90" s="111">
        <f>'Stavební rozpočet'!H2730</f>
      </c>
      <c r="I90" s="111">
        <f>G90*H90</f>
      </c>
      <c r="J90" s="153" t="s">
        <v>4</v>
      </c>
      <c r="K90" s="146"/>
      <c r="Z90" s="111">
        <f>IF(AQ90="5",BJ90,0)</f>
      </c>
      <c r="AB90" s="111">
        <f>IF(AQ90="1",BH90,0)</f>
      </c>
      <c r="AC90" s="111">
        <f>IF(AQ90="1",BI90,0)</f>
      </c>
      <c r="AD90" s="111">
        <f>IF(AQ90="7",BH90,0)</f>
      </c>
      <c r="AE90" s="111">
        <f>IF(AQ90="7",BI90,0)</f>
      </c>
      <c r="AF90" s="111">
        <f>IF(AQ90="2",BH90,0)</f>
      </c>
      <c r="AG90" s="111">
        <f>IF(AQ90="2",BI90,0)</f>
      </c>
      <c r="AH90" s="111">
        <f>IF(AQ90="0",BJ90,0)</f>
      </c>
      <c r="AI90" s="132" t="s">
        <v>91</v>
      </c>
      <c r="AJ90" s="111">
        <f>IF(AN90=0,I90,0)</f>
      </c>
      <c r="AK90" s="111">
        <f>IF(AN90=12,I90,0)</f>
      </c>
      <c r="AL90" s="111">
        <f>IF(AN90=21,I90,0)</f>
      </c>
      <c r="AN90" s="111" t="n">
        <v>21</v>
      </c>
      <c r="AO90" s="111">
        <f>H90*0</f>
      </c>
      <c r="AP90" s="111">
        <f>H90*(1-0)</f>
      </c>
      <c r="AQ90" s="153" t="s">
        <v>173</v>
      </c>
      <c r="AV90" s="111">
        <f>AW90+AX90</f>
      </c>
      <c r="AW90" s="111">
        <f>G90*AO90</f>
      </c>
      <c r="AX90" s="111">
        <f>G90*AP90</f>
      </c>
      <c r="AY90" s="153" t="s">
        <v>4082</v>
      </c>
      <c r="AZ90" s="153" t="s">
        <v>4215</v>
      </c>
      <c r="BA90" s="132" t="s">
        <v>4138</v>
      </c>
      <c r="BC90" s="111">
        <f>AW90+AX90</f>
      </c>
      <c r="BD90" s="111">
        <f>H90/(100-BE90)*100</f>
      </c>
      <c r="BE90" s="111" t="n">
        <v>0</v>
      </c>
      <c r="BF90" s="111">
        <f>90</f>
      </c>
      <c r="BH90" s="111">
        <f>G90*AO90</f>
      </c>
      <c r="BI90" s="111">
        <f>G90*AP90</f>
      </c>
      <c r="BJ90" s="111">
        <f>G90*H90</f>
      </c>
      <c r="BK90" s="111"/>
      <c r="BL90" s="111" t="n">
        <v>733</v>
      </c>
      <c r="BW90" s="111" t="n">
        <v>21</v>
      </c>
      <c r="BX90" s="14" t="s">
        <v>4320</v>
      </c>
    </row>
    <row r="91" ht="24.75">
      <c r="A91" s="9" t="s">
        <v>498</v>
      </c>
      <c r="B91" s="10" t="s">
        <v>91</v>
      </c>
      <c r="C91" s="10" t="s">
        <v>4322</v>
      </c>
      <c r="D91" s="14" t="s">
        <v>4323</v>
      </c>
      <c r="E91" s="10"/>
      <c r="F91" s="10" t="s">
        <v>133</v>
      </c>
      <c r="G91" s="111">
        <f>'Stavební rozpočet'!G2731</f>
      </c>
      <c r="H91" s="111">
        <f>'Stavební rozpočet'!H2731</f>
      </c>
      <c r="I91" s="111">
        <f>G91*H91</f>
      </c>
      <c r="J91" s="153" t="s">
        <v>4</v>
      </c>
      <c r="K91" s="146"/>
      <c r="Z91" s="111">
        <f>IF(AQ91="5",BJ91,0)</f>
      </c>
      <c r="AB91" s="111">
        <f>IF(AQ91="1",BH91,0)</f>
      </c>
      <c r="AC91" s="111">
        <f>IF(AQ91="1",BI91,0)</f>
      </c>
      <c r="AD91" s="111">
        <f>IF(AQ91="7",BH91,0)</f>
      </c>
      <c r="AE91" s="111">
        <f>IF(AQ91="7",BI91,0)</f>
      </c>
      <c r="AF91" s="111">
        <f>IF(AQ91="2",BH91,0)</f>
      </c>
      <c r="AG91" s="111">
        <f>IF(AQ91="2",BI91,0)</f>
      </c>
      <c r="AH91" s="111">
        <f>IF(AQ91="0",BJ91,0)</f>
      </c>
      <c r="AI91" s="132" t="s">
        <v>91</v>
      </c>
      <c r="AJ91" s="111">
        <f>IF(AN91=0,I91,0)</f>
      </c>
      <c r="AK91" s="111">
        <f>IF(AN91=12,I91,0)</f>
      </c>
      <c r="AL91" s="111">
        <f>IF(AN91=21,I91,0)</f>
      </c>
      <c r="AN91" s="111" t="n">
        <v>21</v>
      </c>
      <c r="AO91" s="111">
        <f>H91*0</f>
      </c>
      <c r="AP91" s="111">
        <f>H91*(1-0)</f>
      </c>
      <c r="AQ91" s="153" t="s">
        <v>173</v>
      </c>
      <c r="AV91" s="111">
        <f>AW91+AX91</f>
      </c>
      <c r="AW91" s="111">
        <f>G91*AO91</f>
      </c>
      <c r="AX91" s="111">
        <f>G91*AP91</f>
      </c>
      <c r="AY91" s="153" t="s">
        <v>4082</v>
      </c>
      <c r="AZ91" s="153" t="s">
        <v>4215</v>
      </c>
      <c r="BA91" s="132" t="s">
        <v>4138</v>
      </c>
      <c r="BC91" s="111">
        <f>AW91+AX91</f>
      </c>
      <c r="BD91" s="111">
        <f>H91/(100-BE91)*100</f>
      </c>
      <c r="BE91" s="111" t="n">
        <v>0</v>
      </c>
      <c r="BF91" s="111">
        <f>91</f>
      </c>
      <c r="BH91" s="111">
        <f>G91*AO91</f>
      </c>
      <c r="BI91" s="111">
        <f>G91*AP91</f>
      </c>
      <c r="BJ91" s="111">
        <f>G91*H91</f>
      </c>
      <c r="BK91" s="111"/>
      <c r="BL91" s="111" t="n">
        <v>733</v>
      </c>
      <c r="BW91" s="111" t="n">
        <v>21</v>
      </c>
      <c r="BX91" s="14" t="s">
        <v>4323</v>
      </c>
    </row>
    <row r="92">
      <c r="A92" s="9" t="s">
        <v>504</v>
      </c>
      <c r="B92" s="10" t="s">
        <v>91</v>
      </c>
      <c r="C92" s="10" t="s">
        <v>4325</v>
      </c>
      <c r="D92" s="14" t="s">
        <v>4326</v>
      </c>
      <c r="E92" s="10"/>
      <c r="F92" s="10" t="s">
        <v>133</v>
      </c>
      <c r="G92" s="111">
        <f>'Stavební rozpočet'!G2732</f>
      </c>
      <c r="H92" s="111">
        <f>'Stavební rozpočet'!H2732</f>
      </c>
      <c r="I92" s="111">
        <f>G92*H92</f>
      </c>
      <c r="J92" s="153" t="s">
        <v>4</v>
      </c>
      <c r="K92" s="146"/>
      <c r="Z92" s="111">
        <f>IF(AQ92="5",BJ92,0)</f>
      </c>
      <c r="AB92" s="111">
        <f>IF(AQ92="1",BH92,0)</f>
      </c>
      <c r="AC92" s="111">
        <f>IF(AQ92="1",BI92,0)</f>
      </c>
      <c r="AD92" s="111">
        <f>IF(AQ92="7",BH92,0)</f>
      </c>
      <c r="AE92" s="111">
        <f>IF(AQ92="7",BI92,0)</f>
      </c>
      <c r="AF92" s="111">
        <f>IF(AQ92="2",BH92,0)</f>
      </c>
      <c r="AG92" s="111">
        <f>IF(AQ92="2",BI92,0)</f>
      </c>
      <c r="AH92" s="111">
        <f>IF(AQ92="0",BJ92,0)</f>
      </c>
      <c r="AI92" s="132" t="s">
        <v>91</v>
      </c>
      <c r="AJ92" s="111">
        <f>IF(AN92=0,I92,0)</f>
      </c>
      <c r="AK92" s="111">
        <f>IF(AN92=12,I92,0)</f>
      </c>
      <c r="AL92" s="111">
        <f>IF(AN92=21,I92,0)</f>
      </c>
      <c r="AN92" s="111" t="n">
        <v>21</v>
      </c>
      <c r="AO92" s="111">
        <f>H92*0</f>
      </c>
      <c r="AP92" s="111">
        <f>H92*(1-0)</f>
      </c>
      <c r="AQ92" s="153" t="s">
        <v>173</v>
      </c>
      <c r="AV92" s="111">
        <f>AW92+AX92</f>
      </c>
      <c r="AW92" s="111">
        <f>G92*AO92</f>
      </c>
      <c r="AX92" s="111">
        <f>G92*AP92</f>
      </c>
      <c r="AY92" s="153" t="s">
        <v>4082</v>
      </c>
      <c r="AZ92" s="153" t="s">
        <v>4215</v>
      </c>
      <c r="BA92" s="132" t="s">
        <v>4138</v>
      </c>
      <c r="BC92" s="111">
        <f>AW92+AX92</f>
      </c>
      <c r="BD92" s="111">
        <f>H92/(100-BE92)*100</f>
      </c>
      <c r="BE92" s="111" t="n">
        <v>0</v>
      </c>
      <c r="BF92" s="111">
        <f>92</f>
      </c>
      <c r="BH92" s="111">
        <f>G92*AO92</f>
      </c>
      <c r="BI92" s="111">
        <f>G92*AP92</f>
      </c>
      <c r="BJ92" s="111">
        <f>G92*H92</f>
      </c>
      <c r="BK92" s="111"/>
      <c r="BL92" s="111" t="n">
        <v>733</v>
      </c>
      <c r="BW92" s="111" t="n">
        <v>21</v>
      </c>
      <c r="BX92" s="14" t="s">
        <v>4326</v>
      </c>
    </row>
    <row r="93" ht="24.75">
      <c r="A93" s="9" t="s">
        <v>509</v>
      </c>
      <c r="B93" s="10" t="s">
        <v>91</v>
      </c>
      <c r="C93" s="10" t="s">
        <v>4328</v>
      </c>
      <c r="D93" s="14" t="s">
        <v>4329</v>
      </c>
      <c r="E93" s="10"/>
      <c r="F93" s="10" t="s">
        <v>282</v>
      </c>
      <c r="G93" s="111">
        <f>'Stavební rozpočet'!G2733</f>
      </c>
      <c r="H93" s="111">
        <f>'Stavební rozpočet'!H2733</f>
      </c>
      <c r="I93" s="111">
        <f>G93*H93</f>
      </c>
      <c r="J93" s="153" t="s">
        <v>4</v>
      </c>
      <c r="K93" s="146"/>
      <c r="Z93" s="111">
        <f>IF(AQ93="5",BJ93,0)</f>
      </c>
      <c r="AB93" s="111">
        <f>IF(AQ93="1",BH93,0)</f>
      </c>
      <c r="AC93" s="111">
        <f>IF(AQ93="1",BI93,0)</f>
      </c>
      <c r="AD93" s="111">
        <f>IF(AQ93="7",BH93,0)</f>
      </c>
      <c r="AE93" s="111">
        <f>IF(AQ93="7",BI93,0)</f>
      </c>
      <c r="AF93" s="111">
        <f>IF(AQ93="2",BH93,0)</f>
      </c>
      <c r="AG93" s="111">
        <f>IF(AQ93="2",BI93,0)</f>
      </c>
      <c r="AH93" s="111">
        <f>IF(AQ93="0",BJ93,0)</f>
      </c>
      <c r="AI93" s="132" t="s">
        <v>91</v>
      </c>
      <c r="AJ93" s="111">
        <f>IF(AN93=0,I93,0)</f>
      </c>
      <c r="AK93" s="111">
        <f>IF(AN93=12,I93,0)</f>
      </c>
      <c r="AL93" s="111">
        <f>IF(AN93=21,I93,0)</f>
      </c>
      <c r="AN93" s="111" t="n">
        <v>21</v>
      </c>
      <c r="AO93" s="111">
        <f>H93*0</f>
      </c>
      <c r="AP93" s="111">
        <f>H93*(1-0)</f>
      </c>
      <c r="AQ93" s="153" t="s">
        <v>173</v>
      </c>
      <c r="AV93" s="111">
        <f>AW93+AX93</f>
      </c>
      <c r="AW93" s="111">
        <f>G93*AO93</f>
      </c>
      <c r="AX93" s="111">
        <f>G93*AP93</f>
      </c>
      <c r="AY93" s="153" t="s">
        <v>4082</v>
      </c>
      <c r="AZ93" s="153" t="s">
        <v>4215</v>
      </c>
      <c r="BA93" s="132" t="s">
        <v>4138</v>
      </c>
      <c r="BC93" s="111">
        <f>AW93+AX93</f>
      </c>
      <c r="BD93" s="111">
        <f>H93/(100-BE93)*100</f>
      </c>
      <c r="BE93" s="111" t="n">
        <v>0</v>
      </c>
      <c r="BF93" s="111">
        <f>93</f>
      </c>
      <c r="BH93" s="111">
        <f>G93*AO93</f>
      </c>
      <c r="BI93" s="111">
        <f>G93*AP93</f>
      </c>
      <c r="BJ93" s="111">
        <f>G93*H93</f>
      </c>
      <c r="BK93" s="111"/>
      <c r="BL93" s="111" t="n">
        <v>733</v>
      </c>
      <c r="BW93" s="111" t="n">
        <v>21</v>
      </c>
      <c r="BX93" s="14" t="s">
        <v>4329</v>
      </c>
    </row>
    <row r="94" ht="24.75">
      <c r="A94" s="9" t="s">
        <v>515</v>
      </c>
      <c r="B94" s="10" t="s">
        <v>91</v>
      </c>
      <c r="C94" s="10" t="s">
        <v>4331</v>
      </c>
      <c r="D94" s="14" t="s">
        <v>4332</v>
      </c>
      <c r="E94" s="10"/>
      <c r="F94" s="10" t="s">
        <v>282</v>
      </c>
      <c r="G94" s="111">
        <f>'Stavební rozpočet'!G2734</f>
      </c>
      <c r="H94" s="111">
        <f>'Stavební rozpočet'!H2734</f>
      </c>
      <c r="I94" s="111">
        <f>G94*H94</f>
      </c>
      <c r="J94" s="153" t="s">
        <v>4</v>
      </c>
      <c r="K94" s="146"/>
      <c r="Z94" s="111">
        <f>IF(AQ94="5",BJ94,0)</f>
      </c>
      <c r="AB94" s="111">
        <f>IF(AQ94="1",BH94,0)</f>
      </c>
      <c r="AC94" s="111">
        <f>IF(AQ94="1",BI94,0)</f>
      </c>
      <c r="AD94" s="111">
        <f>IF(AQ94="7",BH94,0)</f>
      </c>
      <c r="AE94" s="111">
        <f>IF(AQ94="7",BI94,0)</f>
      </c>
      <c r="AF94" s="111">
        <f>IF(AQ94="2",BH94,0)</f>
      </c>
      <c r="AG94" s="111">
        <f>IF(AQ94="2",BI94,0)</f>
      </c>
      <c r="AH94" s="111">
        <f>IF(AQ94="0",BJ94,0)</f>
      </c>
      <c r="AI94" s="132" t="s">
        <v>91</v>
      </c>
      <c r="AJ94" s="111">
        <f>IF(AN94=0,I94,0)</f>
      </c>
      <c r="AK94" s="111">
        <f>IF(AN94=12,I94,0)</f>
      </c>
      <c r="AL94" s="111">
        <f>IF(AN94=21,I94,0)</f>
      </c>
      <c r="AN94" s="111" t="n">
        <v>21</v>
      </c>
      <c r="AO94" s="111">
        <f>H94*0</f>
      </c>
      <c r="AP94" s="111">
        <f>H94*(1-0)</f>
      </c>
      <c r="AQ94" s="153" t="s">
        <v>173</v>
      </c>
      <c r="AV94" s="111">
        <f>AW94+AX94</f>
      </c>
      <c r="AW94" s="111">
        <f>G94*AO94</f>
      </c>
      <c r="AX94" s="111">
        <f>G94*AP94</f>
      </c>
      <c r="AY94" s="153" t="s">
        <v>4082</v>
      </c>
      <c r="AZ94" s="153" t="s">
        <v>4215</v>
      </c>
      <c r="BA94" s="132" t="s">
        <v>4138</v>
      </c>
      <c r="BC94" s="111">
        <f>AW94+AX94</f>
      </c>
      <c r="BD94" s="111">
        <f>H94/(100-BE94)*100</f>
      </c>
      <c r="BE94" s="111" t="n">
        <v>0</v>
      </c>
      <c r="BF94" s="111">
        <f>94</f>
      </c>
      <c r="BH94" s="111">
        <f>G94*AO94</f>
      </c>
      <c r="BI94" s="111">
        <f>G94*AP94</f>
      </c>
      <c r="BJ94" s="111">
        <f>G94*H94</f>
      </c>
      <c r="BK94" s="111"/>
      <c r="BL94" s="111" t="n">
        <v>733</v>
      </c>
      <c r="BW94" s="111" t="n">
        <v>21</v>
      </c>
      <c r="BX94" s="14" t="s">
        <v>4332</v>
      </c>
    </row>
    <row r="95" ht="24.75">
      <c r="A95" s="9" t="s">
        <v>525</v>
      </c>
      <c r="B95" s="10" t="s">
        <v>91</v>
      </c>
      <c r="C95" s="10" t="s">
        <v>4334</v>
      </c>
      <c r="D95" s="14" t="s">
        <v>4335</v>
      </c>
      <c r="E95" s="10"/>
      <c r="F95" s="10" t="s">
        <v>282</v>
      </c>
      <c r="G95" s="111">
        <f>'Stavební rozpočet'!G2735</f>
      </c>
      <c r="H95" s="111">
        <f>'Stavební rozpočet'!H2735</f>
      </c>
      <c r="I95" s="111">
        <f>G95*H95</f>
      </c>
      <c r="J95" s="153" t="s">
        <v>4</v>
      </c>
      <c r="K95" s="146"/>
      <c r="Z95" s="111">
        <f>IF(AQ95="5",BJ95,0)</f>
      </c>
      <c r="AB95" s="111">
        <f>IF(AQ95="1",BH95,0)</f>
      </c>
      <c r="AC95" s="111">
        <f>IF(AQ95="1",BI95,0)</f>
      </c>
      <c r="AD95" s="111">
        <f>IF(AQ95="7",BH95,0)</f>
      </c>
      <c r="AE95" s="111">
        <f>IF(AQ95="7",BI95,0)</f>
      </c>
      <c r="AF95" s="111">
        <f>IF(AQ95="2",BH95,0)</f>
      </c>
      <c r="AG95" s="111">
        <f>IF(AQ95="2",BI95,0)</f>
      </c>
      <c r="AH95" s="111">
        <f>IF(AQ95="0",BJ95,0)</f>
      </c>
      <c r="AI95" s="132" t="s">
        <v>91</v>
      </c>
      <c r="AJ95" s="111">
        <f>IF(AN95=0,I95,0)</f>
      </c>
      <c r="AK95" s="111">
        <f>IF(AN95=12,I95,0)</f>
      </c>
      <c r="AL95" s="111">
        <f>IF(AN95=21,I95,0)</f>
      </c>
      <c r="AN95" s="111" t="n">
        <v>21</v>
      </c>
      <c r="AO95" s="111">
        <f>H95*0</f>
      </c>
      <c r="AP95" s="111">
        <f>H95*(1-0)</f>
      </c>
      <c r="AQ95" s="153" t="s">
        <v>173</v>
      </c>
      <c r="AV95" s="111">
        <f>AW95+AX95</f>
      </c>
      <c r="AW95" s="111">
        <f>G95*AO95</f>
      </c>
      <c r="AX95" s="111">
        <f>G95*AP95</f>
      </c>
      <c r="AY95" s="153" t="s">
        <v>4082</v>
      </c>
      <c r="AZ95" s="153" t="s">
        <v>4215</v>
      </c>
      <c r="BA95" s="132" t="s">
        <v>4138</v>
      </c>
      <c r="BC95" s="111">
        <f>AW95+AX95</f>
      </c>
      <c r="BD95" s="111">
        <f>H95/(100-BE95)*100</f>
      </c>
      <c r="BE95" s="111" t="n">
        <v>0</v>
      </c>
      <c r="BF95" s="111">
        <f>95</f>
      </c>
      <c r="BH95" s="111">
        <f>G95*AO95</f>
      </c>
      <c r="BI95" s="111">
        <f>G95*AP95</f>
      </c>
      <c r="BJ95" s="111">
        <f>G95*H95</f>
      </c>
      <c r="BK95" s="111"/>
      <c r="BL95" s="111" t="n">
        <v>733</v>
      </c>
      <c r="BW95" s="111" t="n">
        <v>21</v>
      </c>
      <c r="BX95" s="14" t="s">
        <v>4335</v>
      </c>
    </row>
    <row r="96">
      <c r="A96" s="9" t="s">
        <v>531</v>
      </c>
      <c r="B96" s="10" t="s">
        <v>91</v>
      </c>
      <c r="C96" s="10" t="s">
        <v>4337</v>
      </c>
      <c r="D96" s="14" t="s">
        <v>4338</v>
      </c>
      <c r="E96" s="10"/>
      <c r="F96" s="10" t="s">
        <v>133</v>
      </c>
      <c r="G96" s="111">
        <f>'Stavební rozpočet'!G2736</f>
      </c>
      <c r="H96" s="111">
        <f>'Stavební rozpočet'!H2736</f>
      </c>
      <c r="I96" s="111">
        <f>G96*H96</f>
      </c>
      <c r="J96" s="153" t="s">
        <v>4</v>
      </c>
      <c r="K96" s="146"/>
      <c r="Z96" s="111">
        <f>IF(AQ96="5",BJ96,0)</f>
      </c>
      <c r="AB96" s="111">
        <f>IF(AQ96="1",BH96,0)</f>
      </c>
      <c r="AC96" s="111">
        <f>IF(AQ96="1",BI96,0)</f>
      </c>
      <c r="AD96" s="111">
        <f>IF(AQ96="7",BH96,0)</f>
      </c>
      <c r="AE96" s="111">
        <f>IF(AQ96="7",BI96,0)</f>
      </c>
      <c r="AF96" s="111">
        <f>IF(AQ96="2",BH96,0)</f>
      </c>
      <c r="AG96" s="111">
        <f>IF(AQ96="2",BI96,0)</f>
      </c>
      <c r="AH96" s="111">
        <f>IF(AQ96="0",BJ96,0)</f>
      </c>
      <c r="AI96" s="132" t="s">
        <v>91</v>
      </c>
      <c r="AJ96" s="111">
        <f>IF(AN96=0,I96,0)</f>
      </c>
      <c r="AK96" s="111">
        <f>IF(AN96=12,I96,0)</f>
      </c>
      <c r="AL96" s="111">
        <f>IF(AN96=21,I96,0)</f>
      </c>
      <c r="AN96" s="111" t="n">
        <v>21</v>
      </c>
      <c r="AO96" s="111">
        <f>H96*0</f>
      </c>
      <c r="AP96" s="111">
        <f>H96*(1-0)</f>
      </c>
      <c r="AQ96" s="153" t="s">
        <v>173</v>
      </c>
      <c r="AV96" s="111">
        <f>AW96+AX96</f>
      </c>
      <c r="AW96" s="111">
        <f>G96*AO96</f>
      </c>
      <c r="AX96" s="111">
        <f>G96*AP96</f>
      </c>
      <c r="AY96" s="153" t="s">
        <v>4082</v>
      </c>
      <c r="AZ96" s="153" t="s">
        <v>4215</v>
      </c>
      <c r="BA96" s="132" t="s">
        <v>4138</v>
      </c>
      <c r="BC96" s="111">
        <f>AW96+AX96</f>
      </c>
      <c r="BD96" s="111">
        <f>H96/(100-BE96)*100</f>
      </c>
      <c r="BE96" s="111" t="n">
        <v>0</v>
      </c>
      <c r="BF96" s="111">
        <f>96</f>
      </c>
      <c r="BH96" s="111">
        <f>G96*AO96</f>
      </c>
      <c r="BI96" s="111">
        <f>G96*AP96</f>
      </c>
      <c r="BJ96" s="111">
        <f>G96*H96</f>
      </c>
      <c r="BK96" s="111"/>
      <c r="BL96" s="111" t="n">
        <v>733</v>
      </c>
      <c r="BW96" s="111" t="n">
        <v>21</v>
      </c>
      <c r="BX96" s="14" t="s">
        <v>4338</v>
      </c>
    </row>
    <row r="97">
      <c r="A97" s="9" t="s">
        <v>534</v>
      </c>
      <c r="B97" s="10" t="s">
        <v>91</v>
      </c>
      <c r="C97" s="10" t="s">
        <v>4340</v>
      </c>
      <c r="D97" s="14" t="s">
        <v>4341</v>
      </c>
      <c r="E97" s="10"/>
      <c r="F97" s="10" t="s">
        <v>133</v>
      </c>
      <c r="G97" s="111">
        <f>'Stavební rozpočet'!G2737</f>
      </c>
      <c r="H97" s="111">
        <f>'Stavební rozpočet'!H2737</f>
      </c>
      <c r="I97" s="111">
        <f>G97*H97</f>
      </c>
      <c r="J97" s="153" t="s">
        <v>4</v>
      </c>
      <c r="K97" s="146"/>
      <c r="Z97" s="111">
        <f>IF(AQ97="5",BJ97,0)</f>
      </c>
      <c r="AB97" s="111">
        <f>IF(AQ97="1",BH97,0)</f>
      </c>
      <c r="AC97" s="111">
        <f>IF(AQ97="1",BI97,0)</f>
      </c>
      <c r="AD97" s="111">
        <f>IF(AQ97="7",BH97,0)</f>
      </c>
      <c r="AE97" s="111">
        <f>IF(AQ97="7",BI97,0)</f>
      </c>
      <c r="AF97" s="111">
        <f>IF(AQ97="2",BH97,0)</f>
      </c>
      <c r="AG97" s="111">
        <f>IF(AQ97="2",BI97,0)</f>
      </c>
      <c r="AH97" s="111">
        <f>IF(AQ97="0",BJ97,0)</f>
      </c>
      <c r="AI97" s="132" t="s">
        <v>91</v>
      </c>
      <c r="AJ97" s="111">
        <f>IF(AN97=0,I97,0)</f>
      </c>
      <c r="AK97" s="111">
        <f>IF(AN97=12,I97,0)</f>
      </c>
      <c r="AL97" s="111">
        <f>IF(AN97=21,I97,0)</f>
      </c>
      <c r="AN97" s="111" t="n">
        <v>21</v>
      </c>
      <c r="AO97" s="111">
        <f>H97*0</f>
      </c>
      <c r="AP97" s="111">
        <f>H97*(1-0)</f>
      </c>
      <c r="AQ97" s="153" t="s">
        <v>173</v>
      </c>
      <c r="AV97" s="111">
        <f>AW97+AX97</f>
      </c>
      <c r="AW97" s="111">
        <f>G97*AO97</f>
      </c>
      <c r="AX97" s="111">
        <f>G97*AP97</f>
      </c>
      <c r="AY97" s="153" t="s">
        <v>4082</v>
      </c>
      <c r="AZ97" s="153" t="s">
        <v>4215</v>
      </c>
      <c r="BA97" s="132" t="s">
        <v>4138</v>
      </c>
      <c r="BC97" s="111">
        <f>AW97+AX97</f>
      </c>
      <c r="BD97" s="111">
        <f>H97/(100-BE97)*100</f>
      </c>
      <c r="BE97" s="111" t="n">
        <v>0</v>
      </c>
      <c r="BF97" s="111">
        <f>97</f>
      </c>
      <c r="BH97" s="111">
        <f>G97*AO97</f>
      </c>
      <c r="BI97" s="111">
        <f>G97*AP97</f>
      </c>
      <c r="BJ97" s="111">
        <f>G97*H97</f>
      </c>
      <c r="BK97" s="111"/>
      <c r="BL97" s="111" t="n">
        <v>733</v>
      </c>
      <c r="BW97" s="111" t="n">
        <v>21</v>
      </c>
      <c r="BX97" s="14" t="s">
        <v>4341</v>
      </c>
    </row>
    <row r="98">
      <c r="A98" s="9" t="s">
        <v>539</v>
      </c>
      <c r="B98" s="10" t="s">
        <v>91</v>
      </c>
      <c r="C98" s="10" t="s">
        <v>4343</v>
      </c>
      <c r="D98" s="14" t="s">
        <v>4344</v>
      </c>
      <c r="E98" s="10"/>
      <c r="F98" s="10" t="s">
        <v>282</v>
      </c>
      <c r="G98" s="111">
        <f>'Stavební rozpočet'!G2738</f>
      </c>
      <c r="H98" s="111">
        <f>'Stavební rozpočet'!H2738</f>
      </c>
      <c r="I98" s="111">
        <f>G98*H98</f>
      </c>
      <c r="J98" s="153" t="s">
        <v>4</v>
      </c>
      <c r="K98" s="146"/>
      <c r="Z98" s="111">
        <f>IF(AQ98="5",BJ98,0)</f>
      </c>
      <c r="AB98" s="111">
        <f>IF(AQ98="1",BH98,0)</f>
      </c>
      <c r="AC98" s="111">
        <f>IF(AQ98="1",BI98,0)</f>
      </c>
      <c r="AD98" s="111">
        <f>IF(AQ98="7",BH98,0)</f>
      </c>
      <c r="AE98" s="111">
        <f>IF(AQ98="7",BI98,0)</f>
      </c>
      <c r="AF98" s="111">
        <f>IF(AQ98="2",BH98,0)</f>
      </c>
      <c r="AG98" s="111">
        <f>IF(AQ98="2",BI98,0)</f>
      </c>
      <c r="AH98" s="111">
        <f>IF(AQ98="0",BJ98,0)</f>
      </c>
      <c r="AI98" s="132" t="s">
        <v>91</v>
      </c>
      <c r="AJ98" s="111">
        <f>IF(AN98=0,I98,0)</f>
      </c>
      <c r="AK98" s="111">
        <f>IF(AN98=12,I98,0)</f>
      </c>
      <c r="AL98" s="111">
        <f>IF(AN98=21,I98,0)</f>
      </c>
      <c r="AN98" s="111" t="n">
        <v>21</v>
      </c>
      <c r="AO98" s="111">
        <f>H98*0</f>
      </c>
      <c r="AP98" s="111">
        <f>H98*(1-0)</f>
      </c>
      <c r="AQ98" s="153" t="s">
        <v>173</v>
      </c>
      <c r="AV98" s="111">
        <f>AW98+AX98</f>
      </c>
      <c r="AW98" s="111">
        <f>G98*AO98</f>
      </c>
      <c r="AX98" s="111">
        <f>G98*AP98</f>
      </c>
      <c r="AY98" s="153" t="s">
        <v>4082</v>
      </c>
      <c r="AZ98" s="153" t="s">
        <v>4215</v>
      </c>
      <c r="BA98" s="132" t="s">
        <v>4138</v>
      </c>
      <c r="BC98" s="111">
        <f>AW98+AX98</f>
      </c>
      <c r="BD98" s="111">
        <f>H98/(100-BE98)*100</f>
      </c>
      <c r="BE98" s="111" t="n">
        <v>0</v>
      </c>
      <c r="BF98" s="111">
        <f>98</f>
      </c>
      <c r="BH98" s="111">
        <f>G98*AO98</f>
      </c>
      <c r="BI98" s="111">
        <f>G98*AP98</f>
      </c>
      <c r="BJ98" s="111">
        <f>G98*H98</f>
      </c>
      <c r="BK98" s="111"/>
      <c r="BL98" s="111" t="n">
        <v>733</v>
      </c>
      <c r="BW98" s="111" t="n">
        <v>21</v>
      </c>
      <c r="BX98" s="14" t="s">
        <v>4344</v>
      </c>
    </row>
    <row r="99">
      <c r="A99" s="9" t="s">
        <v>543</v>
      </c>
      <c r="B99" s="10" t="s">
        <v>91</v>
      </c>
      <c r="C99" s="10" t="s">
        <v>4346</v>
      </c>
      <c r="D99" s="14" t="s">
        <v>4347</v>
      </c>
      <c r="E99" s="10"/>
      <c r="F99" s="10" t="s">
        <v>282</v>
      </c>
      <c r="G99" s="111">
        <f>'Stavební rozpočet'!G2739</f>
      </c>
      <c r="H99" s="111">
        <f>'Stavební rozpočet'!H2739</f>
      </c>
      <c r="I99" s="111">
        <f>G99*H99</f>
      </c>
      <c r="J99" s="153" t="s">
        <v>4</v>
      </c>
      <c r="K99" s="146"/>
      <c r="Z99" s="111">
        <f>IF(AQ99="5",BJ99,0)</f>
      </c>
      <c r="AB99" s="111">
        <f>IF(AQ99="1",BH99,0)</f>
      </c>
      <c r="AC99" s="111">
        <f>IF(AQ99="1",BI99,0)</f>
      </c>
      <c r="AD99" s="111">
        <f>IF(AQ99="7",BH99,0)</f>
      </c>
      <c r="AE99" s="111">
        <f>IF(AQ99="7",BI99,0)</f>
      </c>
      <c r="AF99" s="111">
        <f>IF(AQ99="2",BH99,0)</f>
      </c>
      <c r="AG99" s="111">
        <f>IF(AQ99="2",BI99,0)</f>
      </c>
      <c r="AH99" s="111">
        <f>IF(AQ99="0",BJ99,0)</f>
      </c>
      <c r="AI99" s="132" t="s">
        <v>91</v>
      </c>
      <c r="AJ99" s="111">
        <f>IF(AN99=0,I99,0)</f>
      </c>
      <c r="AK99" s="111">
        <f>IF(AN99=12,I99,0)</f>
      </c>
      <c r="AL99" s="111">
        <f>IF(AN99=21,I99,0)</f>
      </c>
      <c r="AN99" s="111" t="n">
        <v>21</v>
      </c>
      <c r="AO99" s="111">
        <f>H99*0</f>
      </c>
      <c r="AP99" s="111">
        <f>H99*(1-0)</f>
      </c>
      <c r="AQ99" s="153" t="s">
        <v>173</v>
      </c>
      <c r="AV99" s="111">
        <f>AW99+AX99</f>
      </c>
      <c r="AW99" s="111">
        <f>G99*AO99</f>
      </c>
      <c r="AX99" s="111">
        <f>G99*AP99</f>
      </c>
      <c r="AY99" s="153" t="s">
        <v>4082</v>
      </c>
      <c r="AZ99" s="153" t="s">
        <v>4215</v>
      </c>
      <c r="BA99" s="132" t="s">
        <v>4138</v>
      </c>
      <c r="BC99" s="111">
        <f>AW99+AX99</f>
      </c>
      <c r="BD99" s="111">
        <f>H99/(100-BE99)*100</f>
      </c>
      <c r="BE99" s="111" t="n">
        <v>0</v>
      </c>
      <c r="BF99" s="111">
        <f>99</f>
      </c>
      <c r="BH99" s="111">
        <f>G99*AO99</f>
      </c>
      <c r="BI99" s="111">
        <f>G99*AP99</f>
      </c>
      <c r="BJ99" s="111">
        <f>G99*H99</f>
      </c>
      <c r="BK99" s="111"/>
      <c r="BL99" s="111" t="n">
        <v>733</v>
      </c>
      <c r="BW99" s="111" t="n">
        <v>21</v>
      </c>
      <c r="BX99" s="14" t="s">
        <v>4347</v>
      </c>
    </row>
    <row r="100">
      <c r="A100" s="9" t="s">
        <v>546</v>
      </c>
      <c r="B100" s="10" t="s">
        <v>91</v>
      </c>
      <c r="C100" s="10" t="s">
        <v>4349</v>
      </c>
      <c r="D100" s="14" t="s">
        <v>4350</v>
      </c>
      <c r="E100" s="10"/>
      <c r="F100" s="10" t="s">
        <v>282</v>
      </c>
      <c r="G100" s="111">
        <f>'Stavební rozpočet'!G2740</f>
      </c>
      <c r="H100" s="111">
        <f>'Stavební rozpočet'!H2740</f>
      </c>
      <c r="I100" s="111">
        <f>G100*H100</f>
      </c>
      <c r="J100" s="153" t="s">
        <v>4</v>
      </c>
      <c r="K100" s="146"/>
      <c r="Z100" s="111">
        <f>IF(AQ100="5",BJ100,0)</f>
      </c>
      <c r="AB100" s="111">
        <f>IF(AQ100="1",BH100,0)</f>
      </c>
      <c r="AC100" s="111">
        <f>IF(AQ100="1",BI100,0)</f>
      </c>
      <c r="AD100" s="111">
        <f>IF(AQ100="7",BH100,0)</f>
      </c>
      <c r="AE100" s="111">
        <f>IF(AQ100="7",BI100,0)</f>
      </c>
      <c r="AF100" s="111">
        <f>IF(AQ100="2",BH100,0)</f>
      </c>
      <c r="AG100" s="111">
        <f>IF(AQ100="2",BI100,0)</f>
      </c>
      <c r="AH100" s="111">
        <f>IF(AQ100="0",BJ100,0)</f>
      </c>
      <c r="AI100" s="132" t="s">
        <v>91</v>
      </c>
      <c r="AJ100" s="111">
        <f>IF(AN100=0,I100,0)</f>
      </c>
      <c r="AK100" s="111">
        <f>IF(AN100=12,I100,0)</f>
      </c>
      <c r="AL100" s="111">
        <f>IF(AN100=21,I100,0)</f>
      </c>
      <c r="AN100" s="111" t="n">
        <v>21</v>
      </c>
      <c r="AO100" s="111">
        <f>H100*0</f>
      </c>
      <c r="AP100" s="111">
        <f>H100*(1-0)</f>
      </c>
      <c r="AQ100" s="153" t="s">
        <v>173</v>
      </c>
      <c r="AV100" s="111">
        <f>AW100+AX100</f>
      </c>
      <c r="AW100" s="111">
        <f>G100*AO100</f>
      </c>
      <c r="AX100" s="111">
        <f>G100*AP100</f>
      </c>
      <c r="AY100" s="153" t="s">
        <v>4082</v>
      </c>
      <c r="AZ100" s="153" t="s">
        <v>4215</v>
      </c>
      <c r="BA100" s="132" t="s">
        <v>4138</v>
      </c>
      <c r="BC100" s="111">
        <f>AW100+AX100</f>
      </c>
      <c r="BD100" s="111">
        <f>H100/(100-BE100)*100</f>
      </c>
      <c r="BE100" s="111" t="n">
        <v>0</v>
      </c>
      <c r="BF100" s="111">
        <f>100</f>
      </c>
      <c r="BH100" s="111">
        <f>G100*AO100</f>
      </c>
      <c r="BI100" s="111">
        <f>G100*AP100</f>
      </c>
      <c r="BJ100" s="111">
        <f>G100*H100</f>
      </c>
      <c r="BK100" s="111"/>
      <c r="BL100" s="111" t="n">
        <v>733</v>
      </c>
      <c r="BW100" s="111" t="n">
        <v>21</v>
      </c>
      <c r="BX100" s="14" t="s">
        <v>4350</v>
      </c>
    </row>
    <row r="101">
      <c r="A101" s="154"/>
      <c r="B101" s="155"/>
      <c r="C101" s="155"/>
      <c r="D101" s="156" t="s">
        <v>4198</v>
      </c>
      <c r="E101" s="156" t="s">
        <v>4</v>
      </c>
      <c r="F101" s="155"/>
      <c r="G101" s="157" t="n">
        <v>74</v>
      </c>
      <c r="H101" s="155"/>
      <c r="I101" s="155"/>
      <c r="J101" s="155"/>
      <c r="K101" s="146"/>
    </row>
    <row r="102">
      <c r="A102" s="154"/>
      <c r="B102" s="155"/>
      <c r="C102" s="155"/>
      <c r="D102" s="156" t="s">
        <v>4194</v>
      </c>
      <c r="E102" s="156" t="s">
        <v>4</v>
      </c>
      <c r="F102" s="155"/>
      <c r="G102" s="157" t="n">
        <v>10</v>
      </c>
      <c r="H102" s="155"/>
      <c r="I102" s="155"/>
      <c r="J102" s="155"/>
      <c r="K102" s="146"/>
    </row>
    <row r="103">
      <c r="A103" s="154"/>
      <c r="B103" s="155"/>
      <c r="C103" s="155"/>
      <c r="D103" s="156" t="s">
        <v>4189</v>
      </c>
      <c r="E103" s="156" t="s">
        <v>4</v>
      </c>
      <c r="F103" s="155"/>
      <c r="G103" s="157" t="n">
        <v>54</v>
      </c>
      <c r="H103" s="155"/>
      <c r="I103" s="155"/>
      <c r="J103" s="155"/>
      <c r="K103" s="146"/>
    </row>
    <row r="104">
      <c r="A104" s="154"/>
      <c r="B104" s="155"/>
      <c r="C104" s="155"/>
      <c r="D104" s="156" t="s">
        <v>4351</v>
      </c>
      <c r="E104" s="156" t="s">
        <v>4</v>
      </c>
      <c r="F104" s="155"/>
      <c r="G104" s="157" t="n">
        <v>122</v>
      </c>
      <c r="H104" s="155"/>
      <c r="I104" s="155"/>
      <c r="J104" s="155"/>
      <c r="K104" s="146"/>
    </row>
    <row r="105">
      <c r="A105" s="9" t="s">
        <v>549</v>
      </c>
      <c r="B105" s="10" t="s">
        <v>91</v>
      </c>
      <c r="C105" s="10" t="s">
        <v>4353</v>
      </c>
      <c r="D105" s="14" t="s">
        <v>4354</v>
      </c>
      <c r="E105" s="10"/>
      <c r="F105" s="10" t="s">
        <v>61</v>
      </c>
      <c r="G105" s="111">
        <f>'Stavební rozpočet'!G2745</f>
      </c>
      <c r="H105" s="111">
        <f>'Stavební rozpočet'!H2745</f>
      </c>
      <c r="I105" s="111">
        <f>G105*H105</f>
      </c>
      <c r="J105" s="153" t="s">
        <v>4</v>
      </c>
      <c r="K105" s="146"/>
      <c r="Z105" s="111">
        <f>IF(AQ105="5",BJ105,0)</f>
      </c>
      <c r="AB105" s="111">
        <f>IF(AQ105="1",BH105,0)</f>
      </c>
      <c r="AC105" s="111">
        <f>IF(AQ105="1",BI105,0)</f>
      </c>
      <c r="AD105" s="111">
        <f>IF(AQ105="7",BH105,0)</f>
      </c>
      <c r="AE105" s="111">
        <f>IF(AQ105="7",BI105,0)</f>
      </c>
      <c r="AF105" s="111">
        <f>IF(AQ105="2",BH105,0)</f>
      </c>
      <c r="AG105" s="111">
        <f>IF(AQ105="2",BI105,0)</f>
      </c>
      <c r="AH105" s="111">
        <f>IF(AQ105="0",BJ105,0)</f>
      </c>
      <c r="AI105" s="132" t="s">
        <v>91</v>
      </c>
      <c r="AJ105" s="111">
        <f>IF(AN105=0,I105,0)</f>
      </c>
      <c r="AK105" s="111">
        <f>IF(AN105=12,I105,0)</f>
      </c>
      <c r="AL105" s="111">
        <f>IF(AN105=21,I105,0)</f>
      </c>
      <c r="AN105" s="111" t="n">
        <v>21</v>
      </c>
      <c r="AO105" s="111">
        <f>H105*0</f>
      </c>
      <c r="AP105" s="111">
        <f>H105*(1-0)</f>
      </c>
      <c r="AQ105" s="153" t="s">
        <v>173</v>
      </c>
      <c r="AV105" s="111">
        <f>AW105+AX105</f>
      </c>
      <c r="AW105" s="111">
        <f>G105*AO105</f>
      </c>
      <c r="AX105" s="111">
        <f>G105*AP105</f>
      </c>
      <c r="AY105" s="153" t="s">
        <v>4082</v>
      </c>
      <c r="AZ105" s="153" t="s">
        <v>4215</v>
      </c>
      <c r="BA105" s="132" t="s">
        <v>4138</v>
      </c>
      <c r="BC105" s="111">
        <f>AW105+AX105</f>
      </c>
      <c r="BD105" s="111">
        <f>H105/(100-BE105)*100</f>
      </c>
      <c r="BE105" s="111" t="n">
        <v>0</v>
      </c>
      <c r="BF105" s="111">
        <f>105</f>
      </c>
      <c r="BH105" s="111">
        <f>G105*AO105</f>
      </c>
      <c r="BI105" s="111">
        <f>G105*AP105</f>
      </c>
      <c r="BJ105" s="111">
        <f>G105*H105</f>
      </c>
      <c r="BK105" s="111"/>
      <c r="BL105" s="111" t="n">
        <v>733</v>
      </c>
      <c r="BW105" s="111" t="n">
        <v>21</v>
      </c>
      <c r="BX105" s="14" t="s">
        <v>4354</v>
      </c>
    </row>
    <row r="106" ht="24.75">
      <c r="A106" s="9" t="s">
        <v>556</v>
      </c>
      <c r="B106" s="10" t="s">
        <v>91</v>
      </c>
      <c r="C106" s="10" t="s">
        <v>4356</v>
      </c>
      <c r="D106" s="14" t="s">
        <v>4357</v>
      </c>
      <c r="E106" s="10"/>
      <c r="F106" s="10" t="s">
        <v>282</v>
      </c>
      <c r="G106" s="111">
        <f>'Stavební rozpočet'!G2746</f>
      </c>
      <c r="H106" s="111">
        <f>'Stavební rozpočet'!H2746</f>
      </c>
      <c r="I106" s="111">
        <f>G106*H106</f>
      </c>
      <c r="J106" s="153" t="s">
        <v>4</v>
      </c>
      <c r="K106" s="146"/>
      <c r="Z106" s="111">
        <f>IF(AQ106="5",BJ106,0)</f>
      </c>
      <c r="AB106" s="111">
        <f>IF(AQ106="1",BH106,0)</f>
      </c>
      <c r="AC106" s="111">
        <f>IF(AQ106="1",BI106,0)</f>
      </c>
      <c r="AD106" s="111">
        <f>IF(AQ106="7",BH106,0)</f>
      </c>
      <c r="AE106" s="111">
        <f>IF(AQ106="7",BI106,0)</f>
      </c>
      <c r="AF106" s="111">
        <f>IF(AQ106="2",BH106,0)</f>
      </c>
      <c r="AG106" s="111">
        <f>IF(AQ106="2",BI106,0)</f>
      </c>
      <c r="AH106" s="111">
        <f>IF(AQ106="0",BJ106,0)</f>
      </c>
      <c r="AI106" s="132" t="s">
        <v>91</v>
      </c>
      <c r="AJ106" s="111">
        <f>IF(AN106=0,I106,0)</f>
      </c>
      <c r="AK106" s="111">
        <f>IF(AN106=12,I106,0)</f>
      </c>
      <c r="AL106" s="111">
        <f>IF(AN106=21,I106,0)</f>
      </c>
      <c r="AN106" s="111" t="n">
        <v>21</v>
      </c>
      <c r="AO106" s="111">
        <f>H106*1</f>
      </c>
      <c r="AP106" s="111">
        <f>H106*(1-1)</f>
      </c>
      <c r="AQ106" s="153" t="s">
        <v>173</v>
      </c>
      <c r="AV106" s="111">
        <f>AW106+AX106</f>
      </c>
      <c r="AW106" s="111">
        <f>G106*AO106</f>
      </c>
      <c r="AX106" s="111">
        <f>G106*AP106</f>
      </c>
      <c r="AY106" s="153" t="s">
        <v>4082</v>
      </c>
      <c r="AZ106" s="153" t="s">
        <v>4215</v>
      </c>
      <c r="BA106" s="132" t="s">
        <v>4138</v>
      </c>
      <c r="BC106" s="111">
        <f>AW106+AX106</f>
      </c>
      <c r="BD106" s="111">
        <f>H106/(100-BE106)*100</f>
      </c>
      <c r="BE106" s="111" t="n">
        <v>0</v>
      </c>
      <c r="BF106" s="111">
        <f>106</f>
      </c>
      <c r="BH106" s="111">
        <f>G106*AO106</f>
      </c>
      <c r="BI106" s="111">
        <f>G106*AP106</f>
      </c>
      <c r="BJ106" s="111">
        <f>G106*H106</f>
      </c>
      <c r="BK106" s="111"/>
      <c r="BL106" s="111" t="n">
        <v>733</v>
      </c>
      <c r="BW106" s="111" t="n">
        <v>21</v>
      </c>
      <c r="BX106" s="14" t="s">
        <v>4357</v>
      </c>
    </row>
    <row r="107">
      <c r="A107" s="147" t="s">
        <v>4</v>
      </c>
      <c r="B107" s="148" t="s">
        <v>91</v>
      </c>
      <c r="C107" s="148" t="s">
        <v>3912</v>
      </c>
      <c r="D107" s="149" t="s">
        <v>4089</v>
      </c>
      <c r="E107" s="148"/>
      <c r="F107" s="150" t="s">
        <v>79</v>
      </c>
      <c r="G107" s="150" t="s">
        <v>79</v>
      </c>
      <c r="H107" s="150" t="s">
        <v>79</v>
      </c>
      <c r="I107" s="117">
        <f>SUM(I108:I138)</f>
      </c>
      <c r="J107" s="132" t="s">
        <v>4</v>
      </c>
      <c r="K107" s="146"/>
      <c r="AI107" s="132" t="s">
        <v>91</v>
      </c>
      <c r="AS107" s="117">
        <f>SUM(AJ108:AJ138)</f>
      </c>
      <c r="AT107" s="117">
        <f>SUM(AK108:AK138)</f>
      </c>
      <c r="AU107" s="117">
        <f>SUM(AL108:AL138)</f>
      </c>
    </row>
    <row r="108">
      <c r="A108" s="9" t="s">
        <v>568</v>
      </c>
      <c r="B108" s="10" t="s">
        <v>91</v>
      </c>
      <c r="C108" s="10" t="s">
        <v>4359</v>
      </c>
      <c r="D108" s="14" t="s">
        <v>4360</v>
      </c>
      <c r="E108" s="10"/>
      <c r="F108" s="10" t="s">
        <v>133</v>
      </c>
      <c r="G108" s="111">
        <f>'Stavební rozpočet'!G2748</f>
      </c>
      <c r="H108" s="111">
        <f>'Stavební rozpočet'!H2748</f>
      </c>
      <c r="I108" s="111">
        <f>G108*H108</f>
      </c>
      <c r="J108" s="153" t="s">
        <v>4</v>
      </c>
      <c r="K108" s="146"/>
      <c r="Z108" s="111">
        <f>IF(AQ108="5",BJ108,0)</f>
      </c>
      <c r="AB108" s="111">
        <f>IF(AQ108="1",BH108,0)</f>
      </c>
      <c r="AC108" s="111">
        <f>IF(AQ108="1",BI108,0)</f>
      </c>
      <c r="AD108" s="111">
        <f>IF(AQ108="7",BH108,0)</f>
      </c>
      <c r="AE108" s="111">
        <f>IF(AQ108="7",BI108,0)</f>
      </c>
      <c r="AF108" s="111">
        <f>IF(AQ108="2",BH108,0)</f>
      </c>
      <c r="AG108" s="111">
        <f>IF(AQ108="2",BI108,0)</f>
      </c>
      <c r="AH108" s="111">
        <f>IF(AQ108="0",BJ108,0)</f>
      </c>
      <c r="AI108" s="132" t="s">
        <v>91</v>
      </c>
      <c r="AJ108" s="111">
        <f>IF(AN108=0,I108,0)</f>
      </c>
      <c r="AK108" s="111">
        <f>IF(AN108=12,I108,0)</f>
      </c>
      <c r="AL108" s="111">
        <f>IF(AN108=21,I108,0)</f>
      </c>
      <c r="AN108" s="111" t="n">
        <v>21</v>
      </c>
      <c r="AO108" s="111">
        <f>H108*0</f>
      </c>
      <c r="AP108" s="111">
        <f>H108*(1-0)</f>
      </c>
      <c r="AQ108" s="153" t="s">
        <v>173</v>
      </c>
      <c r="AV108" s="111">
        <f>AW108+AX108</f>
      </c>
      <c r="AW108" s="111">
        <f>G108*AO108</f>
      </c>
      <c r="AX108" s="111">
        <f>G108*AP108</f>
      </c>
      <c r="AY108" s="153" t="s">
        <v>4092</v>
      </c>
      <c r="AZ108" s="153" t="s">
        <v>4215</v>
      </c>
      <c r="BA108" s="132" t="s">
        <v>4138</v>
      </c>
      <c r="BC108" s="111">
        <f>AW108+AX108</f>
      </c>
      <c r="BD108" s="111">
        <f>H108/(100-BE108)*100</f>
      </c>
      <c r="BE108" s="111" t="n">
        <v>0</v>
      </c>
      <c r="BF108" s="111">
        <f>108</f>
      </c>
      <c r="BH108" s="111">
        <f>G108*AO108</f>
      </c>
      <c r="BI108" s="111">
        <f>G108*AP108</f>
      </c>
      <c r="BJ108" s="111">
        <f>G108*H108</f>
      </c>
      <c r="BK108" s="111"/>
      <c r="BL108" s="111" t="n">
        <v>734</v>
      </c>
      <c r="BW108" s="111" t="n">
        <v>21</v>
      </c>
      <c r="BX108" s="14" t="s">
        <v>4360</v>
      </c>
    </row>
    <row r="109">
      <c r="A109" s="9" t="s">
        <v>576</v>
      </c>
      <c r="B109" s="10" t="s">
        <v>91</v>
      </c>
      <c r="C109" s="10" t="s">
        <v>4362</v>
      </c>
      <c r="D109" s="14" t="s">
        <v>4363</v>
      </c>
      <c r="E109" s="10"/>
      <c r="F109" s="10" t="s">
        <v>133</v>
      </c>
      <c r="G109" s="111">
        <f>'Stavební rozpočet'!G2749</f>
      </c>
      <c r="H109" s="111">
        <f>'Stavební rozpočet'!H2749</f>
      </c>
      <c r="I109" s="111">
        <f>G109*H109</f>
      </c>
      <c r="J109" s="153" t="s">
        <v>4</v>
      </c>
      <c r="K109" s="146"/>
      <c r="Z109" s="111">
        <f>IF(AQ109="5",BJ109,0)</f>
      </c>
      <c r="AB109" s="111">
        <f>IF(AQ109="1",BH109,0)</f>
      </c>
      <c r="AC109" s="111">
        <f>IF(AQ109="1",BI109,0)</f>
      </c>
      <c r="AD109" s="111">
        <f>IF(AQ109="7",BH109,0)</f>
      </c>
      <c r="AE109" s="111">
        <f>IF(AQ109="7",BI109,0)</f>
      </c>
      <c r="AF109" s="111">
        <f>IF(AQ109="2",BH109,0)</f>
      </c>
      <c r="AG109" s="111">
        <f>IF(AQ109="2",BI109,0)</f>
      </c>
      <c r="AH109" s="111">
        <f>IF(AQ109="0",BJ109,0)</f>
      </c>
      <c r="AI109" s="132" t="s">
        <v>91</v>
      </c>
      <c r="AJ109" s="111">
        <f>IF(AN109=0,I109,0)</f>
      </c>
      <c r="AK109" s="111">
        <f>IF(AN109=12,I109,0)</f>
      </c>
      <c r="AL109" s="111">
        <f>IF(AN109=21,I109,0)</f>
      </c>
      <c r="AN109" s="111" t="n">
        <v>21</v>
      </c>
      <c r="AO109" s="111">
        <f>H109*0</f>
      </c>
      <c r="AP109" s="111">
        <f>H109*(1-0)</f>
      </c>
      <c r="AQ109" s="153" t="s">
        <v>173</v>
      </c>
      <c r="AV109" s="111">
        <f>AW109+AX109</f>
      </c>
      <c r="AW109" s="111">
        <f>G109*AO109</f>
      </c>
      <c r="AX109" s="111">
        <f>G109*AP109</f>
      </c>
      <c r="AY109" s="153" t="s">
        <v>4092</v>
      </c>
      <c r="AZ109" s="153" t="s">
        <v>4215</v>
      </c>
      <c r="BA109" s="132" t="s">
        <v>4138</v>
      </c>
      <c r="BC109" s="111">
        <f>AW109+AX109</f>
      </c>
      <c r="BD109" s="111">
        <f>H109/(100-BE109)*100</f>
      </c>
      <c r="BE109" s="111" t="n">
        <v>0</v>
      </c>
      <c r="BF109" s="111">
        <f>109</f>
      </c>
      <c r="BH109" s="111">
        <f>G109*AO109</f>
      </c>
      <c r="BI109" s="111">
        <f>G109*AP109</f>
      </c>
      <c r="BJ109" s="111">
        <f>G109*H109</f>
      </c>
      <c r="BK109" s="111"/>
      <c r="BL109" s="111" t="n">
        <v>734</v>
      </c>
      <c r="BW109" s="111" t="n">
        <v>21</v>
      </c>
      <c r="BX109" s="14" t="s">
        <v>4363</v>
      </c>
    </row>
    <row r="110">
      <c r="A110" s="9" t="s">
        <v>581</v>
      </c>
      <c r="B110" s="10" t="s">
        <v>91</v>
      </c>
      <c r="C110" s="10" t="s">
        <v>4365</v>
      </c>
      <c r="D110" s="14" t="s">
        <v>4366</v>
      </c>
      <c r="E110" s="10"/>
      <c r="F110" s="10" t="s">
        <v>133</v>
      </c>
      <c r="G110" s="111">
        <f>'Stavební rozpočet'!G2750</f>
      </c>
      <c r="H110" s="111">
        <f>'Stavební rozpočet'!H2750</f>
      </c>
      <c r="I110" s="111">
        <f>G110*H110</f>
      </c>
      <c r="J110" s="153" t="s">
        <v>4</v>
      </c>
      <c r="K110" s="146"/>
      <c r="Z110" s="111">
        <f>IF(AQ110="5",BJ110,0)</f>
      </c>
      <c r="AB110" s="111">
        <f>IF(AQ110="1",BH110,0)</f>
      </c>
      <c r="AC110" s="111">
        <f>IF(AQ110="1",BI110,0)</f>
      </c>
      <c r="AD110" s="111">
        <f>IF(AQ110="7",BH110,0)</f>
      </c>
      <c r="AE110" s="111">
        <f>IF(AQ110="7",BI110,0)</f>
      </c>
      <c r="AF110" s="111">
        <f>IF(AQ110="2",BH110,0)</f>
      </c>
      <c r="AG110" s="111">
        <f>IF(AQ110="2",BI110,0)</f>
      </c>
      <c r="AH110" s="111">
        <f>IF(AQ110="0",BJ110,0)</f>
      </c>
      <c r="AI110" s="132" t="s">
        <v>91</v>
      </c>
      <c r="AJ110" s="111">
        <f>IF(AN110=0,I110,0)</f>
      </c>
      <c r="AK110" s="111">
        <f>IF(AN110=12,I110,0)</f>
      </c>
      <c r="AL110" s="111">
        <f>IF(AN110=21,I110,0)</f>
      </c>
      <c r="AN110" s="111" t="n">
        <v>21</v>
      </c>
      <c r="AO110" s="111">
        <f>H110*0</f>
      </c>
      <c r="AP110" s="111">
        <f>H110*(1-0)</f>
      </c>
      <c r="AQ110" s="153" t="s">
        <v>173</v>
      </c>
      <c r="AV110" s="111">
        <f>AW110+AX110</f>
      </c>
      <c r="AW110" s="111">
        <f>G110*AO110</f>
      </c>
      <c r="AX110" s="111">
        <f>G110*AP110</f>
      </c>
      <c r="AY110" s="153" t="s">
        <v>4092</v>
      </c>
      <c r="AZ110" s="153" t="s">
        <v>4215</v>
      </c>
      <c r="BA110" s="132" t="s">
        <v>4138</v>
      </c>
      <c r="BC110" s="111">
        <f>AW110+AX110</f>
      </c>
      <c r="BD110" s="111">
        <f>H110/(100-BE110)*100</f>
      </c>
      <c r="BE110" s="111" t="n">
        <v>0</v>
      </c>
      <c r="BF110" s="111">
        <f>110</f>
      </c>
      <c r="BH110" s="111">
        <f>G110*AO110</f>
      </c>
      <c r="BI110" s="111">
        <f>G110*AP110</f>
      </c>
      <c r="BJ110" s="111">
        <f>G110*H110</f>
      </c>
      <c r="BK110" s="111"/>
      <c r="BL110" s="111" t="n">
        <v>734</v>
      </c>
      <c r="BW110" s="111" t="n">
        <v>21</v>
      </c>
      <c r="BX110" s="14" t="s">
        <v>4366</v>
      </c>
    </row>
    <row r="111">
      <c r="A111" s="9" t="s">
        <v>589</v>
      </c>
      <c r="B111" s="10" t="s">
        <v>91</v>
      </c>
      <c r="C111" s="10" t="s">
        <v>4368</v>
      </c>
      <c r="D111" s="14" t="s">
        <v>4369</v>
      </c>
      <c r="E111" s="10"/>
      <c r="F111" s="10" t="s">
        <v>133</v>
      </c>
      <c r="G111" s="111">
        <f>'Stavební rozpočet'!G2751</f>
      </c>
      <c r="H111" s="111">
        <f>'Stavební rozpočet'!H2751</f>
      </c>
      <c r="I111" s="111">
        <f>G111*H111</f>
      </c>
      <c r="J111" s="153" t="s">
        <v>4</v>
      </c>
      <c r="K111" s="146"/>
      <c r="Z111" s="111">
        <f>IF(AQ111="5",BJ111,0)</f>
      </c>
      <c r="AB111" s="111">
        <f>IF(AQ111="1",BH111,0)</f>
      </c>
      <c r="AC111" s="111">
        <f>IF(AQ111="1",BI111,0)</f>
      </c>
      <c r="AD111" s="111">
        <f>IF(AQ111="7",BH111,0)</f>
      </c>
      <c r="AE111" s="111">
        <f>IF(AQ111="7",BI111,0)</f>
      </c>
      <c r="AF111" s="111">
        <f>IF(AQ111="2",BH111,0)</f>
      </c>
      <c r="AG111" s="111">
        <f>IF(AQ111="2",BI111,0)</f>
      </c>
      <c r="AH111" s="111">
        <f>IF(AQ111="0",BJ111,0)</f>
      </c>
      <c r="AI111" s="132" t="s">
        <v>91</v>
      </c>
      <c r="AJ111" s="111">
        <f>IF(AN111=0,I111,0)</f>
      </c>
      <c r="AK111" s="111">
        <f>IF(AN111=12,I111,0)</f>
      </c>
      <c r="AL111" s="111">
        <f>IF(AN111=21,I111,0)</f>
      </c>
      <c r="AN111" s="111" t="n">
        <v>21</v>
      </c>
      <c r="AO111" s="111">
        <f>H111*0</f>
      </c>
      <c r="AP111" s="111">
        <f>H111*(1-0)</f>
      </c>
      <c r="AQ111" s="153" t="s">
        <v>173</v>
      </c>
      <c r="AV111" s="111">
        <f>AW111+AX111</f>
      </c>
      <c r="AW111" s="111">
        <f>G111*AO111</f>
      </c>
      <c r="AX111" s="111">
        <f>G111*AP111</f>
      </c>
      <c r="AY111" s="153" t="s">
        <v>4092</v>
      </c>
      <c r="AZ111" s="153" t="s">
        <v>4215</v>
      </c>
      <c r="BA111" s="132" t="s">
        <v>4138</v>
      </c>
      <c r="BC111" s="111">
        <f>AW111+AX111</f>
      </c>
      <c r="BD111" s="111">
        <f>H111/(100-BE111)*100</f>
      </c>
      <c r="BE111" s="111" t="n">
        <v>0</v>
      </c>
      <c r="BF111" s="111">
        <f>111</f>
      </c>
      <c r="BH111" s="111">
        <f>G111*AO111</f>
      </c>
      <c r="BI111" s="111">
        <f>G111*AP111</f>
      </c>
      <c r="BJ111" s="111">
        <f>G111*H111</f>
      </c>
      <c r="BK111" s="111"/>
      <c r="BL111" s="111" t="n">
        <v>734</v>
      </c>
      <c r="BW111" s="111" t="n">
        <v>21</v>
      </c>
      <c r="BX111" s="14" t="s">
        <v>4369</v>
      </c>
    </row>
    <row r="112">
      <c r="A112" s="9" t="s">
        <v>597</v>
      </c>
      <c r="B112" s="10" t="s">
        <v>91</v>
      </c>
      <c r="C112" s="10" t="s">
        <v>4371</v>
      </c>
      <c r="D112" s="14" t="s">
        <v>4372</v>
      </c>
      <c r="E112" s="10"/>
      <c r="F112" s="10" t="s">
        <v>133</v>
      </c>
      <c r="G112" s="111">
        <f>'Stavební rozpočet'!G2752</f>
      </c>
      <c r="H112" s="111">
        <f>'Stavební rozpočet'!H2752</f>
      </c>
      <c r="I112" s="111">
        <f>G112*H112</f>
      </c>
      <c r="J112" s="153" t="s">
        <v>4</v>
      </c>
      <c r="K112" s="146"/>
      <c r="Z112" s="111">
        <f>IF(AQ112="5",BJ112,0)</f>
      </c>
      <c r="AB112" s="111">
        <f>IF(AQ112="1",BH112,0)</f>
      </c>
      <c r="AC112" s="111">
        <f>IF(AQ112="1",BI112,0)</f>
      </c>
      <c r="AD112" s="111">
        <f>IF(AQ112="7",BH112,0)</f>
      </c>
      <c r="AE112" s="111">
        <f>IF(AQ112="7",BI112,0)</f>
      </c>
      <c r="AF112" s="111">
        <f>IF(AQ112="2",BH112,0)</f>
      </c>
      <c r="AG112" s="111">
        <f>IF(AQ112="2",BI112,0)</f>
      </c>
      <c r="AH112" s="111">
        <f>IF(AQ112="0",BJ112,0)</f>
      </c>
      <c r="AI112" s="132" t="s">
        <v>91</v>
      </c>
      <c r="AJ112" s="111">
        <f>IF(AN112=0,I112,0)</f>
      </c>
      <c r="AK112" s="111">
        <f>IF(AN112=12,I112,0)</f>
      </c>
      <c r="AL112" s="111">
        <f>IF(AN112=21,I112,0)</f>
      </c>
      <c r="AN112" s="111" t="n">
        <v>21</v>
      </c>
      <c r="AO112" s="111">
        <f>H112*0</f>
      </c>
      <c r="AP112" s="111">
        <f>H112*(1-0)</f>
      </c>
      <c r="AQ112" s="153" t="s">
        <v>173</v>
      </c>
      <c r="AV112" s="111">
        <f>AW112+AX112</f>
      </c>
      <c r="AW112" s="111">
        <f>G112*AO112</f>
      </c>
      <c r="AX112" s="111">
        <f>G112*AP112</f>
      </c>
      <c r="AY112" s="153" t="s">
        <v>4092</v>
      </c>
      <c r="AZ112" s="153" t="s">
        <v>4215</v>
      </c>
      <c r="BA112" s="132" t="s">
        <v>4138</v>
      </c>
      <c r="BC112" s="111">
        <f>AW112+AX112</f>
      </c>
      <c r="BD112" s="111">
        <f>H112/(100-BE112)*100</f>
      </c>
      <c r="BE112" s="111" t="n">
        <v>0</v>
      </c>
      <c r="BF112" s="111">
        <f>112</f>
      </c>
      <c r="BH112" s="111">
        <f>G112*AO112</f>
      </c>
      <c r="BI112" s="111">
        <f>G112*AP112</f>
      </c>
      <c r="BJ112" s="111">
        <f>G112*H112</f>
      </c>
      <c r="BK112" s="111"/>
      <c r="BL112" s="111" t="n">
        <v>734</v>
      </c>
      <c r="BW112" s="111" t="n">
        <v>21</v>
      </c>
      <c r="BX112" s="14" t="s">
        <v>4372</v>
      </c>
    </row>
    <row r="113">
      <c r="A113" s="9" t="s">
        <v>607</v>
      </c>
      <c r="B113" s="10" t="s">
        <v>91</v>
      </c>
      <c r="C113" s="10" t="s">
        <v>4374</v>
      </c>
      <c r="D113" s="14" t="s">
        <v>4375</v>
      </c>
      <c r="E113" s="10"/>
      <c r="F113" s="10" t="s">
        <v>133</v>
      </c>
      <c r="G113" s="111">
        <f>'Stavební rozpočet'!G2753</f>
      </c>
      <c r="H113" s="111">
        <f>'Stavební rozpočet'!H2753</f>
      </c>
      <c r="I113" s="111">
        <f>G113*H113</f>
      </c>
      <c r="J113" s="153" t="s">
        <v>4</v>
      </c>
      <c r="K113" s="146"/>
      <c r="Z113" s="111">
        <f>IF(AQ113="5",BJ113,0)</f>
      </c>
      <c r="AB113" s="111">
        <f>IF(AQ113="1",BH113,0)</f>
      </c>
      <c r="AC113" s="111">
        <f>IF(AQ113="1",BI113,0)</f>
      </c>
      <c r="AD113" s="111">
        <f>IF(AQ113="7",BH113,0)</f>
      </c>
      <c r="AE113" s="111">
        <f>IF(AQ113="7",BI113,0)</f>
      </c>
      <c r="AF113" s="111">
        <f>IF(AQ113="2",BH113,0)</f>
      </c>
      <c r="AG113" s="111">
        <f>IF(AQ113="2",BI113,0)</f>
      </c>
      <c r="AH113" s="111">
        <f>IF(AQ113="0",BJ113,0)</f>
      </c>
      <c r="AI113" s="132" t="s">
        <v>91</v>
      </c>
      <c r="AJ113" s="111">
        <f>IF(AN113=0,I113,0)</f>
      </c>
      <c r="AK113" s="111">
        <f>IF(AN113=12,I113,0)</f>
      </c>
      <c r="AL113" s="111">
        <f>IF(AN113=21,I113,0)</f>
      </c>
      <c r="AN113" s="111" t="n">
        <v>21</v>
      </c>
      <c r="AO113" s="111">
        <f>H113*0</f>
      </c>
      <c r="AP113" s="111">
        <f>H113*(1-0)</f>
      </c>
      <c r="AQ113" s="153" t="s">
        <v>173</v>
      </c>
      <c r="AV113" s="111">
        <f>AW113+AX113</f>
      </c>
      <c r="AW113" s="111">
        <f>G113*AO113</f>
      </c>
      <c r="AX113" s="111">
        <f>G113*AP113</f>
      </c>
      <c r="AY113" s="153" t="s">
        <v>4092</v>
      </c>
      <c r="AZ113" s="153" t="s">
        <v>4215</v>
      </c>
      <c r="BA113" s="132" t="s">
        <v>4138</v>
      </c>
      <c r="BC113" s="111">
        <f>AW113+AX113</f>
      </c>
      <c r="BD113" s="111">
        <f>H113/(100-BE113)*100</f>
      </c>
      <c r="BE113" s="111" t="n">
        <v>0</v>
      </c>
      <c r="BF113" s="111">
        <f>113</f>
      </c>
      <c r="BH113" s="111">
        <f>G113*AO113</f>
      </c>
      <c r="BI113" s="111">
        <f>G113*AP113</f>
      </c>
      <c r="BJ113" s="111">
        <f>G113*H113</f>
      </c>
      <c r="BK113" s="111"/>
      <c r="BL113" s="111" t="n">
        <v>734</v>
      </c>
      <c r="BW113" s="111" t="n">
        <v>21</v>
      </c>
      <c r="BX113" s="14" t="s">
        <v>4375</v>
      </c>
    </row>
    <row r="114">
      <c r="A114" s="9" t="s">
        <v>613</v>
      </c>
      <c r="B114" s="10" t="s">
        <v>91</v>
      </c>
      <c r="C114" s="10" t="s">
        <v>4377</v>
      </c>
      <c r="D114" s="14" t="s">
        <v>4378</v>
      </c>
      <c r="E114" s="10"/>
      <c r="F114" s="10" t="s">
        <v>133</v>
      </c>
      <c r="G114" s="111">
        <f>'Stavební rozpočet'!G2754</f>
      </c>
      <c r="H114" s="111">
        <f>'Stavební rozpočet'!H2754</f>
      </c>
      <c r="I114" s="111">
        <f>G114*H114</f>
      </c>
      <c r="J114" s="153" t="s">
        <v>4</v>
      </c>
      <c r="K114" s="146"/>
      <c r="Z114" s="111">
        <f>IF(AQ114="5",BJ114,0)</f>
      </c>
      <c r="AB114" s="111">
        <f>IF(AQ114="1",BH114,0)</f>
      </c>
      <c r="AC114" s="111">
        <f>IF(AQ114="1",BI114,0)</f>
      </c>
      <c r="AD114" s="111">
        <f>IF(AQ114="7",BH114,0)</f>
      </c>
      <c r="AE114" s="111">
        <f>IF(AQ114="7",BI114,0)</f>
      </c>
      <c r="AF114" s="111">
        <f>IF(AQ114="2",BH114,0)</f>
      </c>
      <c r="AG114" s="111">
        <f>IF(AQ114="2",BI114,0)</f>
      </c>
      <c r="AH114" s="111">
        <f>IF(AQ114="0",BJ114,0)</f>
      </c>
      <c r="AI114" s="132" t="s">
        <v>91</v>
      </c>
      <c r="AJ114" s="111">
        <f>IF(AN114=0,I114,0)</f>
      </c>
      <c r="AK114" s="111">
        <f>IF(AN114=12,I114,0)</f>
      </c>
      <c r="AL114" s="111">
        <f>IF(AN114=21,I114,0)</f>
      </c>
      <c r="AN114" s="111" t="n">
        <v>21</v>
      </c>
      <c r="AO114" s="111">
        <f>H114*0</f>
      </c>
      <c r="AP114" s="111">
        <f>H114*(1-0)</f>
      </c>
      <c r="AQ114" s="153" t="s">
        <v>173</v>
      </c>
      <c r="AV114" s="111">
        <f>AW114+AX114</f>
      </c>
      <c r="AW114" s="111">
        <f>G114*AO114</f>
      </c>
      <c r="AX114" s="111">
        <f>G114*AP114</f>
      </c>
      <c r="AY114" s="153" t="s">
        <v>4092</v>
      </c>
      <c r="AZ114" s="153" t="s">
        <v>4215</v>
      </c>
      <c r="BA114" s="132" t="s">
        <v>4138</v>
      </c>
      <c r="BC114" s="111">
        <f>AW114+AX114</f>
      </c>
      <c r="BD114" s="111">
        <f>H114/(100-BE114)*100</f>
      </c>
      <c r="BE114" s="111" t="n">
        <v>0</v>
      </c>
      <c r="BF114" s="111">
        <f>114</f>
      </c>
      <c r="BH114" s="111">
        <f>G114*AO114</f>
      </c>
      <c r="BI114" s="111">
        <f>G114*AP114</f>
      </c>
      <c r="BJ114" s="111">
        <f>G114*H114</f>
      </c>
      <c r="BK114" s="111"/>
      <c r="BL114" s="111" t="n">
        <v>734</v>
      </c>
      <c r="BW114" s="111" t="n">
        <v>21</v>
      </c>
      <c r="BX114" s="14" t="s">
        <v>4378</v>
      </c>
    </row>
    <row r="115">
      <c r="A115" s="9" t="s">
        <v>623</v>
      </c>
      <c r="B115" s="10" t="s">
        <v>91</v>
      </c>
      <c r="C115" s="10" t="s">
        <v>4380</v>
      </c>
      <c r="D115" s="14" t="s">
        <v>4381</v>
      </c>
      <c r="E115" s="10"/>
      <c r="F115" s="10" t="s">
        <v>133</v>
      </c>
      <c r="G115" s="111">
        <f>'Stavební rozpočet'!G2755</f>
      </c>
      <c r="H115" s="111">
        <f>'Stavební rozpočet'!H2755</f>
      </c>
      <c r="I115" s="111">
        <f>G115*H115</f>
      </c>
      <c r="J115" s="153" t="s">
        <v>4</v>
      </c>
      <c r="K115" s="146"/>
      <c r="Z115" s="111">
        <f>IF(AQ115="5",BJ115,0)</f>
      </c>
      <c r="AB115" s="111">
        <f>IF(AQ115="1",BH115,0)</f>
      </c>
      <c r="AC115" s="111">
        <f>IF(AQ115="1",BI115,0)</f>
      </c>
      <c r="AD115" s="111">
        <f>IF(AQ115="7",BH115,0)</f>
      </c>
      <c r="AE115" s="111">
        <f>IF(AQ115="7",BI115,0)</f>
      </c>
      <c r="AF115" s="111">
        <f>IF(AQ115="2",BH115,0)</f>
      </c>
      <c r="AG115" s="111">
        <f>IF(AQ115="2",BI115,0)</f>
      </c>
      <c r="AH115" s="111">
        <f>IF(AQ115="0",BJ115,0)</f>
      </c>
      <c r="AI115" s="132" t="s">
        <v>91</v>
      </c>
      <c r="AJ115" s="111">
        <f>IF(AN115=0,I115,0)</f>
      </c>
      <c r="AK115" s="111">
        <f>IF(AN115=12,I115,0)</f>
      </c>
      <c r="AL115" s="111">
        <f>IF(AN115=21,I115,0)</f>
      </c>
      <c r="AN115" s="111" t="n">
        <v>21</v>
      </c>
      <c r="AO115" s="111">
        <f>H115*0</f>
      </c>
      <c r="AP115" s="111">
        <f>H115*(1-0)</f>
      </c>
      <c r="AQ115" s="153" t="s">
        <v>173</v>
      </c>
      <c r="AV115" s="111">
        <f>AW115+AX115</f>
      </c>
      <c r="AW115" s="111">
        <f>G115*AO115</f>
      </c>
      <c r="AX115" s="111">
        <f>G115*AP115</f>
      </c>
      <c r="AY115" s="153" t="s">
        <v>4092</v>
      </c>
      <c r="AZ115" s="153" t="s">
        <v>4215</v>
      </c>
      <c r="BA115" s="132" t="s">
        <v>4138</v>
      </c>
      <c r="BC115" s="111">
        <f>AW115+AX115</f>
      </c>
      <c r="BD115" s="111">
        <f>H115/(100-BE115)*100</f>
      </c>
      <c r="BE115" s="111" t="n">
        <v>0</v>
      </c>
      <c r="BF115" s="111">
        <f>115</f>
      </c>
      <c r="BH115" s="111">
        <f>G115*AO115</f>
      </c>
      <c r="BI115" s="111">
        <f>G115*AP115</f>
      </c>
      <c r="BJ115" s="111">
        <f>G115*H115</f>
      </c>
      <c r="BK115" s="111"/>
      <c r="BL115" s="111" t="n">
        <v>734</v>
      </c>
      <c r="BW115" s="111" t="n">
        <v>21</v>
      </c>
      <c r="BX115" s="14" t="s">
        <v>4381</v>
      </c>
    </row>
    <row r="116">
      <c r="A116" s="9" t="s">
        <v>633</v>
      </c>
      <c r="B116" s="10" t="s">
        <v>91</v>
      </c>
      <c r="C116" s="10" t="s">
        <v>4383</v>
      </c>
      <c r="D116" s="14" t="s">
        <v>4384</v>
      </c>
      <c r="E116" s="10"/>
      <c r="F116" s="10" t="s">
        <v>133</v>
      </c>
      <c r="G116" s="111">
        <f>'Stavební rozpočet'!G2756</f>
      </c>
      <c r="H116" s="111">
        <f>'Stavební rozpočet'!H2756</f>
      </c>
      <c r="I116" s="111">
        <f>G116*H116</f>
      </c>
      <c r="J116" s="153" t="s">
        <v>4</v>
      </c>
      <c r="K116" s="146"/>
      <c r="Z116" s="111">
        <f>IF(AQ116="5",BJ116,0)</f>
      </c>
      <c r="AB116" s="111">
        <f>IF(AQ116="1",BH116,0)</f>
      </c>
      <c r="AC116" s="111">
        <f>IF(AQ116="1",BI116,0)</f>
      </c>
      <c r="AD116" s="111">
        <f>IF(AQ116="7",BH116,0)</f>
      </c>
      <c r="AE116" s="111">
        <f>IF(AQ116="7",BI116,0)</f>
      </c>
      <c r="AF116" s="111">
        <f>IF(AQ116="2",BH116,0)</f>
      </c>
      <c r="AG116" s="111">
        <f>IF(AQ116="2",BI116,0)</f>
      </c>
      <c r="AH116" s="111">
        <f>IF(AQ116="0",BJ116,0)</f>
      </c>
      <c r="AI116" s="132" t="s">
        <v>91</v>
      </c>
      <c r="AJ116" s="111">
        <f>IF(AN116=0,I116,0)</f>
      </c>
      <c r="AK116" s="111">
        <f>IF(AN116=12,I116,0)</f>
      </c>
      <c r="AL116" s="111">
        <f>IF(AN116=21,I116,0)</f>
      </c>
      <c r="AN116" s="111" t="n">
        <v>21</v>
      </c>
      <c r="AO116" s="111">
        <f>H116*0</f>
      </c>
      <c r="AP116" s="111">
        <f>H116*(1-0)</f>
      </c>
      <c r="AQ116" s="153" t="s">
        <v>173</v>
      </c>
      <c r="AV116" s="111">
        <f>AW116+AX116</f>
      </c>
      <c r="AW116" s="111">
        <f>G116*AO116</f>
      </c>
      <c r="AX116" s="111">
        <f>G116*AP116</f>
      </c>
      <c r="AY116" s="153" t="s">
        <v>4092</v>
      </c>
      <c r="AZ116" s="153" t="s">
        <v>4215</v>
      </c>
      <c r="BA116" s="132" t="s">
        <v>4138</v>
      </c>
      <c r="BC116" s="111">
        <f>AW116+AX116</f>
      </c>
      <c r="BD116" s="111">
        <f>H116/(100-BE116)*100</f>
      </c>
      <c r="BE116" s="111" t="n">
        <v>0</v>
      </c>
      <c r="BF116" s="111">
        <f>116</f>
      </c>
      <c r="BH116" s="111">
        <f>G116*AO116</f>
      </c>
      <c r="BI116" s="111">
        <f>G116*AP116</f>
      </c>
      <c r="BJ116" s="111">
        <f>G116*H116</f>
      </c>
      <c r="BK116" s="111"/>
      <c r="BL116" s="111" t="n">
        <v>734</v>
      </c>
      <c r="BW116" s="111" t="n">
        <v>21</v>
      </c>
      <c r="BX116" s="14" t="s">
        <v>4384</v>
      </c>
    </row>
    <row r="117">
      <c r="A117" s="9" t="s">
        <v>637</v>
      </c>
      <c r="B117" s="10" t="s">
        <v>91</v>
      </c>
      <c r="C117" s="10" t="s">
        <v>4386</v>
      </c>
      <c r="D117" s="14" t="s">
        <v>4387</v>
      </c>
      <c r="E117" s="10"/>
      <c r="F117" s="10" t="s">
        <v>133</v>
      </c>
      <c r="G117" s="111">
        <f>'Stavební rozpočet'!G2757</f>
      </c>
      <c r="H117" s="111">
        <f>'Stavební rozpočet'!H2757</f>
      </c>
      <c r="I117" s="111">
        <f>G117*H117</f>
      </c>
      <c r="J117" s="153" t="s">
        <v>4</v>
      </c>
      <c r="K117" s="146"/>
      <c r="Z117" s="111">
        <f>IF(AQ117="5",BJ117,0)</f>
      </c>
      <c r="AB117" s="111">
        <f>IF(AQ117="1",BH117,0)</f>
      </c>
      <c r="AC117" s="111">
        <f>IF(AQ117="1",BI117,0)</f>
      </c>
      <c r="AD117" s="111">
        <f>IF(AQ117="7",BH117,0)</f>
      </c>
      <c r="AE117" s="111">
        <f>IF(AQ117="7",BI117,0)</f>
      </c>
      <c r="AF117" s="111">
        <f>IF(AQ117="2",BH117,0)</f>
      </c>
      <c r="AG117" s="111">
        <f>IF(AQ117="2",BI117,0)</f>
      </c>
      <c r="AH117" s="111">
        <f>IF(AQ117="0",BJ117,0)</f>
      </c>
      <c r="AI117" s="132" t="s">
        <v>91</v>
      </c>
      <c r="AJ117" s="111">
        <f>IF(AN117=0,I117,0)</f>
      </c>
      <c r="AK117" s="111">
        <f>IF(AN117=12,I117,0)</f>
      </c>
      <c r="AL117" s="111">
        <f>IF(AN117=21,I117,0)</f>
      </c>
      <c r="AN117" s="111" t="n">
        <v>21</v>
      </c>
      <c r="AO117" s="111">
        <f>H117*0</f>
      </c>
      <c r="AP117" s="111">
        <f>H117*(1-0)</f>
      </c>
      <c r="AQ117" s="153" t="s">
        <v>173</v>
      </c>
      <c r="AV117" s="111">
        <f>AW117+AX117</f>
      </c>
      <c r="AW117" s="111">
        <f>G117*AO117</f>
      </c>
      <c r="AX117" s="111">
        <f>G117*AP117</f>
      </c>
      <c r="AY117" s="153" t="s">
        <v>4092</v>
      </c>
      <c r="AZ117" s="153" t="s">
        <v>4215</v>
      </c>
      <c r="BA117" s="132" t="s">
        <v>4138</v>
      </c>
      <c r="BC117" s="111">
        <f>AW117+AX117</f>
      </c>
      <c r="BD117" s="111">
        <f>H117/(100-BE117)*100</f>
      </c>
      <c r="BE117" s="111" t="n">
        <v>0</v>
      </c>
      <c r="BF117" s="111">
        <f>117</f>
      </c>
      <c r="BH117" s="111">
        <f>G117*AO117</f>
      </c>
      <c r="BI117" s="111">
        <f>G117*AP117</f>
      </c>
      <c r="BJ117" s="111">
        <f>G117*H117</f>
      </c>
      <c r="BK117" s="111"/>
      <c r="BL117" s="111" t="n">
        <v>734</v>
      </c>
      <c r="BW117" s="111" t="n">
        <v>21</v>
      </c>
      <c r="BX117" s="14" t="s">
        <v>4387</v>
      </c>
    </row>
    <row r="118">
      <c r="A118" s="9" t="s">
        <v>642</v>
      </c>
      <c r="B118" s="10" t="s">
        <v>91</v>
      </c>
      <c r="C118" s="10" t="s">
        <v>4389</v>
      </c>
      <c r="D118" s="14" t="s">
        <v>4390</v>
      </c>
      <c r="E118" s="10"/>
      <c r="F118" s="10" t="s">
        <v>133</v>
      </c>
      <c r="G118" s="111">
        <f>'Stavební rozpočet'!G2758</f>
      </c>
      <c r="H118" s="111">
        <f>'Stavební rozpočet'!H2758</f>
      </c>
      <c r="I118" s="111">
        <f>G118*H118</f>
      </c>
      <c r="J118" s="153" t="s">
        <v>4</v>
      </c>
      <c r="K118" s="146"/>
      <c r="Z118" s="111">
        <f>IF(AQ118="5",BJ118,0)</f>
      </c>
      <c r="AB118" s="111">
        <f>IF(AQ118="1",BH118,0)</f>
      </c>
      <c r="AC118" s="111">
        <f>IF(AQ118="1",BI118,0)</f>
      </c>
      <c r="AD118" s="111">
        <f>IF(AQ118="7",BH118,0)</f>
      </c>
      <c r="AE118" s="111">
        <f>IF(AQ118="7",BI118,0)</f>
      </c>
      <c r="AF118" s="111">
        <f>IF(AQ118="2",BH118,0)</f>
      </c>
      <c r="AG118" s="111">
        <f>IF(AQ118="2",BI118,0)</f>
      </c>
      <c r="AH118" s="111">
        <f>IF(AQ118="0",BJ118,0)</f>
      </c>
      <c r="AI118" s="132" t="s">
        <v>91</v>
      </c>
      <c r="AJ118" s="111">
        <f>IF(AN118=0,I118,0)</f>
      </c>
      <c r="AK118" s="111">
        <f>IF(AN118=12,I118,0)</f>
      </c>
      <c r="AL118" s="111">
        <f>IF(AN118=21,I118,0)</f>
      </c>
      <c r="AN118" s="111" t="n">
        <v>21</v>
      </c>
      <c r="AO118" s="111">
        <f>H118*0</f>
      </c>
      <c r="AP118" s="111">
        <f>H118*(1-0)</f>
      </c>
      <c r="AQ118" s="153" t="s">
        <v>173</v>
      </c>
      <c r="AV118" s="111">
        <f>AW118+AX118</f>
      </c>
      <c r="AW118" s="111">
        <f>G118*AO118</f>
      </c>
      <c r="AX118" s="111">
        <f>G118*AP118</f>
      </c>
      <c r="AY118" s="153" t="s">
        <v>4092</v>
      </c>
      <c r="AZ118" s="153" t="s">
        <v>4215</v>
      </c>
      <c r="BA118" s="132" t="s">
        <v>4138</v>
      </c>
      <c r="BC118" s="111">
        <f>AW118+AX118</f>
      </c>
      <c r="BD118" s="111">
        <f>H118/(100-BE118)*100</f>
      </c>
      <c r="BE118" s="111" t="n">
        <v>0</v>
      </c>
      <c r="BF118" s="111">
        <f>118</f>
      </c>
      <c r="BH118" s="111">
        <f>G118*AO118</f>
      </c>
      <c r="BI118" s="111">
        <f>G118*AP118</f>
      </c>
      <c r="BJ118" s="111">
        <f>G118*H118</f>
      </c>
      <c r="BK118" s="111"/>
      <c r="BL118" s="111" t="n">
        <v>734</v>
      </c>
      <c r="BW118" s="111" t="n">
        <v>21</v>
      </c>
      <c r="BX118" s="14" t="s">
        <v>4390</v>
      </c>
    </row>
    <row r="119">
      <c r="A119" s="9" t="s">
        <v>646</v>
      </c>
      <c r="B119" s="10" t="s">
        <v>91</v>
      </c>
      <c r="C119" s="10" t="s">
        <v>4392</v>
      </c>
      <c r="D119" s="14" t="s">
        <v>4393</v>
      </c>
      <c r="E119" s="10"/>
      <c r="F119" s="10" t="s">
        <v>133</v>
      </c>
      <c r="G119" s="111">
        <f>'Stavební rozpočet'!G2759</f>
      </c>
      <c r="H119" s="111">
        <f>'Stavební rozpočet'!H2759</f>
      </c>
      <c r="I119" s="111">
        <f>G119*H119</f>
      </c>
      <c r="J119" s="153" t="s">
        <v>4</v>
      </c>
      <c r="K119" s="146"/>
      <c r="Z119" s="111">
        <f>IF(AQ119="5",BJ119,0)</f>
      </c>
      <c r="AB119" s="111">
        <f>IF(AQ119="1",BH119,0)</f>
      </c>
      <c r="AC119" s="111">
        <f>IF(AQ119="1",BI119,0)</f>
      </c>
      <c r="AD119" s="111">
        <f>IF(AQ119="7",BH119,0)</f>
      </c>
      <c r="AE119" s="111">
        <f>IF(AQ119="7",BI119,0)</f>
      </c>
      <c r="AF119" s="111">
        <f>IF(AQ119="2",BH119,0)</f>
      </c>
      <c r="AG119" s="111">
        <f>IF(AQ119="2",BI119,0)</f>
      </c>
      <c r="AH119" s="111">
        <f>IF(AQ119="0",BJ119,0)</f>
      </c>
      <c r="AI119" s="132" t="s">
        <v>91</v>
      </c>
      <c r="AJ119" s="111">
        <f>IF(AN119=0,I119,0)</f>
      </c>
      <c r="AK119" s="111">
        <f>IF(AN119=12,I119,0)</f>
      </c>
      <c r="AL119" s="111">
        <f>IF(AN119=21,I119,0)</f>
      </c>
      <c r="AN119" s="111" t="n">
        <v>21</v>
      </c>
      <c r="AO119" s="111">
        <f>H119*0</f>
      </c>
      <c r="AP119" s="111">
        <f>H119*(1-0)</f>
      </c>
      <c r="AQ119" s="153" t="s">
        <v>173</v>
      </c>
      <c r="AV119" s="111">
        <f>AW119+AX119</f>
      </c>
      <c r="AW119" s="111">
        <f>G119*AO119</f>
      </c>
      <c r="AX119" s="111">
        <f>G119*AP119</f>
      </c>
      <c r="AY119" s="153" t="s">
        <v>4092</v>
      </c>
      <c r="AZ119" s="153" t="s">
        <v>4215</v>
      </c>
      <c r="BA119" s="132" t="s">
        <v>4138</v>
      </c>
      <c r="BC119" s="111">
        <f>AW119+AX119</f>
      </c>
      <c r="BD119" s="111">
        <f>H119/(100-BE119)*100</f>
      </c>
      <c r="BE119" s="111" t="n">
        <v>0</v>
      </c>
      <c r="BF119" s="111">
        <f>119</f>
      </c>
      <c r="BH119" s="111">
        <f>G119*AO119</f>
      </c>
      <c r="BI119" s="111">
        <f>G119*AP119</f>
      </c>
      <c r="BJ119" s="111">
        <f>G119*H119</f>
      </c>
      <c r="BK119" s="111"/>
      <c r="BL119" s="111" t="n">
        <v>734</v>
      </c>
      <c r="BW119" s="111" t="n">
        <v>21</v>
      </c>
      <c r="BX119" s="14" t="s">
        <v>4393</v>
      </c>
    </row>
    <row r="120">
      <c r="A120" s="9" t="s">
        <v>651</v>
      </c>
      <c r="B120" s="10" t="s">
        <v>91</v>
      </c>
      <c r="C120" s="10" t="s">
        <v>4395</v>
      </c>
      <c r="D120" s="14" t="s">
        <v>4396</v>
      </c>
      <c r="E120" s="10"/>
      <c r="F120" s="10" t="s">
        <v>133</v>
      </c>
      <c r="G120" s="111">
        <f>'Stavební rozpočet'!G2760</f>
      </c>
      <c r="H120" s="111">
        <f>'Stavební rozpočet'!H2760</f>
      </c>
      <c r="I120" s="111">
        <f>G120*H120</f>
      </c>
      <c r="J120" s="153" t="s">
        <v>4</v>
      </c>
      <c r="K120" s="146"/>
      <c r="Z120" s="111">
        <f>IF(AQ120="5",BJ120,0)</f>
      </c>
      <c r="AB120" s="111">
        <f>IF(AQ120="1",BH120,0)</f>
      </c>
      <c r="AC120" s="111">
        <f>IF(AQ120="1",BI120,0)</f>
      </c>
      <c r="AD120" s="111">
        <f>IF(AQ120="7",BH120,0)</f>
      </c>
      <c r="AE120" s="111">
        <f>IF(AQ120="7",BI120,0)</f>
      </c>
      <c r="AF120" s="111">
        <f>IF(AQ120="2",BH120,0)</f>
      </c>
      <c r="AG120" s="111">
        <f>IF(AQ120="2",BI120,0)</f>
      </c>
      <c r="AH120" s="111">
        <f>IF(AQ120="0",BJ120,0)</f>
      </c>
      <c r="AI120" s="132" t="s">
        <v>91</v>
      </c>
      <c r="AJ120" s="111">
        <f>IF(AN120=0,I120,0)</f>
      </c>
      <c r="AK120" s="111">
        <f>IF(AN120=12,I120,0)</f>
      </c>
      <c r="AL120" s="111">
        <f>IF(AN120=21,I120,0)</f>
      </c>
      <c r="AN120" s="111" t="n">
        <v>21</v>
      </c>
      <c r="AO120" s="111">
        <f>H120*0</f>
      </c>
      <c r="AP120" s="111">
        <f>H120*(1-0)</f>
      </c>
      <c r="AQ120" s="153" t="s">
        <v>173</v>
      </c>
      <c r="AV120" s="111">
        <f>AW120+AX120</f>
      </c>
      <c r="AW120" s="111">
        <f>G120*AO120</f>
      </c>
      <c r="AX120" s="111">
        <f>G120*AP120</f>
      </c>
      <c r="AY120" s="153" t="s">
        <v>4092</v>
      </c>
      <c r="AZ120" s="153" t="s">
        <v>4215</v>
      </c>
      <c r="BA120" s="132" t="s">
        <v>4138</v>
      </c>
      <c r="BC120" s="111">
        <f>AW120+AX120</f>
      </c>
      <c r="BD120" s="111">
        <f>H120/(100-BE120)*100</f>
      </c>
      <c r="BE120" s="111" t="n">
        <v>0</v>
      </c>
      <c r="BF120" s="111">
        <f>120</f>
      </c>
      <c r="BH120" s="111">
        <f>G120*AO120</f>
      </c>
      <c r="BI120" s="111">
        <f>G120*AP120</f>
      </c>
      <c r="BJ120" s="111">
        <f>G120*H120</f>
      </c>
      <c r="BK120" s="111"/>
      <c r="BL120" s="111" t="n">
        <v>734</v>
      </c>
      <c r="BW120" s="111" t="n">
        <v>21</v>
      </c>
      <c r="BX120" s="14" t="s">
        <v>4396</v>
      </c>
    </row>
    <row r="121">
      <c r="A121" s="9" t="s">
        <v>658</v>
      </c>
      <c r="B121" s="10" t="s">
        <v>91</v>
      </c>
      <c r="C121" s="10" t="s">
        <v>4398</v>
      </c>
      <c r="D121" s="14" t="s">
        <v>4399</v>
      </c>
      <c r="E121" s="10"/>
      <c r="F121" s="10" t="s">
        <v>133</v>
      </c>
      <c r="G121" s="111">
        <f>'Stavební rozpočet'!G2761</f>
      </c>
      <c r="H121" s="111">
        <f>'Stavební rozpočet'!H2761</f>
      </c>
      <c r="I121" s="111">
        <f>G121*H121</f>
      </c>
      <c r="J121" s="153" t="s">
        <v>4</v>
      </c>
      <c r="K121" s="146"/>
      <c r="Z121" s="111">
        <f>IF(AQ121="5",BJ121,0)</f>
      </c>
      <c r="AB121" s="111">
        <f>IF(AQ121="1",BH121,0)</f>
      </c>
      <c r="AC121" s="111">
        <f>IF(AQ121="1",BI121,0)</f>
      </c>
      <c r="AD121" s="111">
        <f>IF(AQ121="7",BH121,0)</f>
      </c>
      <c r="AE121" s="111">
        <f>IF(AQ121="7",BI121,0)</f>
      </c>
      <c r="AF121" s="111">
        <f>IF(AQ121="2",BH121,0)</f>
      </c>
      <c r="AG121" s="111">
        <f>IF(AQ121="2",BI121,0)</f>
      </c>
      <c r="AH121" s="111">
        <f>IF(AQ121="0",BJ121,0)</f>
      </c>
      <c r="AI121" s="132" t="s">
        <v>91</v>
      </c>
      <c r="AJ121" s="111">
        <f>IF(AN121=0,I121,0)</f>
      </c>
      <c r="AK121" s="111">
        <f>IF(AN121=12,I121,0)</f>
      </c>
      <c r="AL121" s="111">
        <f>IF(AN121=21,I121,0)</f>
      </c>
      <c r="AN121" s="111" t="n">
        <v>21</v>
      </c>
      <c r="AO121" s="111">
        <f>H121*0</f>
      </c>
      <c r="AP121" s="111">
        <f>H121*(1-0)</f>
      </c>
      <c r="AQ121" s="153" t="s">
        <v>173</v>
      </c>
      <c r="AV121" s="111">
        <f>AW121+AX121</f>
      </c>
      <c r="AW121" s="111">
        <f>G121*AO121</f>
      </c>
      <c r="AX121" s="111">
        <f>G121*AP121</f>
      </c>
      <c r="AY121" s="153" t="s">
        <v>4092</v>
      </c>
      <c r="AZ121" s="153" t="s">
        <v>4215</v>
      </c>
      <c r="BA121" s="132" t="s">
        <v>4138</v>
      </c>
      <c r="BC121" s="111">
        <f>AW121+AX121</f>
      </c>
      <c r="BD121" s="111">
        <f>H121/(100-BE121)*100</f>
      </c>
      <c r="BE121" s="111" t="n">
        <v>0</v>
      </c>
      <c r="BF121" s="111">
        <f>121</f>
      </c>
      <c r="BH121" s="111">
        <f>G121*AO121</f>
      </c>
      <c r="BI121" s="111">
        <f>G121*AP121</f>
      </c>
      <c r="BJ121" s="111">
        <f>G121*H121</f>
      </c>
      <c r="BK121" s="111"/>
      <c r="BL121" s="111" t="n">
        <v>734</v>
      </c>
      <c r="BW121" s="111" t="n">
        <v>21</v>
      </c>
      <c r="BX121" s="14" t="s">
        <v>4399</v>
      </c>
    </row>
    <row r="122">
      <c r="A122" s="9" t="s">
        <v>665</v>
      </c>
      <c r="B122" s="10" t="s">
        <v>91</v>
      </c>
      <c r="C122" s="10" t="s">
        <v>4401</v>
      </c>
      <c r="D122" s="14" t="s">
        <v>4402</v>
      </c>
      <c r="E122" s="10"/>
      <c r="F122" s="10" t="s">
        <v>133</v>
      </c>
      <c r="G122" s="111">
        <f>'Stavební rozpočet'!G2762</f>
      </c>
      <c r="H122" s="111">
        <f>'Stavební rozpočet'!H2762</f>
      </c>
      <c r="I122" s="111">
        <f>G122*H122</f>
      </c>
      <c r="J122" s="153" t="s">
        <v>4</v>
      </c>
      <c r="K122" s="146"/>
      <c r="Z122" s="111">
        <f>IF(AQ122="5",BJ122,0)</f>
      </c>
      <c r="AB122" s="111">
        <f>IF(AQ122="1",BH122,0)</f>
      </c>
      <c r="AC122" s="111">
        <f>IF(AQ122="1",BI122,0)</f>
      </c>
      <c r="AD122" s="111">
        <f>IF(AQ122="7",BH122,0)</f>
      </c>
      <c r="AE122" s="111">
        <f>IF(AQ122="7",BI122,0)</f>
      </c>
      <c r="AF122" s="111">
        <f>IF(AQ122="2",BH122,0)</f>
      </c>
      <c r="AG122" s="111">
        <f>IF(AQ122="2",BI122,0)</f>
      </c>
      <c r="AH122" s="111">
        <f>IF(AQ122="0",BJ122,0)</f>
      </c>
      <c r="AI122" s="132" t="s">
        <v>91</v>
      </c>
      <c r="AJ122" s="111">
        <f>IF(AN122=0,I122,0)</f>
      </c>
      <c r="AK122" s="111">
        <f>IF(AN122=12,I122,0)</f>
      </c>
      <c r="AL122" s="111">
        <f>IF(AN122=21,I122,0)</f>
      </c>
      <c r="AN122" s="111" t="n">
        <v>21</v>
      </c>
      <c r="AO122" s="111">
        <f>H122*0</f>
      </c>
      <c r="AP122" s="111">
        <f>H122*(1-0)</f>
      </c>
      <c r="AQ122" s="153" t="s">
        <v>173</v>
      </c>
      <c r="AV122" s="111">
        <f>AW122+AX122</f>
      </c>
      <c r="AW122" s="111">
        <f>G122*AO122</f>
      </c>
      <c r="AX122" s="111">
        <f>G122*AP122</f>
      </c>
      <c r="AY122" s="153" t="s">
        <v>4092</v>
      </c>
      <c r="AZ122" s="153" t="s">
        <v>4215</v>
      </c>
      <c r="BA122" s="132" t="s">
        <v>4138</v>
      </c>
      <c r="BC122" s="111">
        <f>AW122+AX122</f>
      </c>
      <c r="BD122" s="111">
        <f>H122/(100-BE122)*100</f>
      </c>
      <c r="BE122" s="111" t="n">
        <v>0</v>
      </c>
      <c r="BF122" s="111">
        <f>122</f>
      </c>
      <c r="BH122" s="111">
        <f>G122*AO122</f>
      </c>
      <c r="BI122" s="111">
        <f>G122*AP122</f>
      </c>
      <c r="BJ122" s="111">
        <f>G122*H122</f>
      </c>
      <c r="BK122" s="111"/>
      <c r="BL122" s="111" t="n">
        <v>734</v>
      </c>
      <c r="BW122" s="111" t="n">
        <v>21</v>
      </c>
      <c r="BX122" s="14" t="s">
        <v>4402</v>
      </c>
    </row>
    <row r="123">
      <c r="A123" s="9" t="s">
        <v>669</v>
      </c>
      <c r="B123" s="10" t="s">
        <v>91</v>
      </c>
      <c r="C123" s="10" t="s">
        <v>4404</v>
      </c>
      <c r="D123" s="14" t="s">
        <v>4405</v>
      </c>
      <c r="E123" s="10"/>
      <c r="F123" s="10" t="s">
        <v>133</v>
      </c>
      <c r="G123" s="111">
        <f>'Stavební rozpočet'!G2763</f>
      </c>
      <c r="H123" s="111">
        <f>'Stavební rozpočet'!H2763</f>
      </c>
      <c r="I123" s="111">
        <f>G123*H123</f>
      </c>
      <c r="J123" s="153" t="s">
        <v>4</v>
      </c>
      <c r="K123" s="146"/>
      <c r="Z123" s="111">
        <f>IF(AQ123="5",BJ123,0)</f>
      </c>
      <c r="AB123" s="111">
        <f>IF(AQ123="1",BH123,0)</f>
      </c>
      <c r="AC123" s="111">
        <f>IF(AQ123="1",BI123,0)</f>
      </c>
      <c r="AD123" s="111">
        <f>IF(AQ123="7",BH123,0)</f>
      </c>
      <c r="AE123" s="111">
        <f>IF(AQ123="7",BI123,0)</f>
      </c>
      <c r="AF123" s="111">
        <f>IF(AQ123="2",BH123,0)</f>
      </c>
      <c r="AG123" s="111">
        <f>IF(AQ123="2",BI123,0)</f>
      </c>
      <c r="AH123" s="111">
        <f>IF(AQ123="0",BJ123,0)</f>
      </c>
      <c r="AI123" s="132" t="s">
        <v>91</v>
      </c>
      <c r="AJ123" s="111">
        <f>IF(AN123=0,I123,0)</f>
      </c>
      <c r="AK123" s="111">
        <f>IF(AN123=12,I123,0)</f>
      </c>
      <c r="AL123" s="111">
        <f>IF(AN123=21,I123,0)</f>
      </c>
      <c r="AN123" s="111" t="n">
        <v>21</v>
      </c>
      <c r="AO123" s="111">
        <f>H123*0</f>
      </c>
      <c r="AP123" s="111">
        <f>H123*(1-0)</f>
      </c>
      <c r="AQ123" s="153" t="s">
        <v>173</v>
      </c>
      <c r="AV123" s="111">
        <f>AW123+AX123</f>
      </c>
      <c r="AW123" s="111">
        <f>G123*AO123</f>
      </c>
      <c r="AX123" s="111">
        <f>G123*AP123</f>
      </c>
      <c r="AY123" s="153" t="s">
        <v>4092</v>
      </c>
      <c r="AZ123" s="153" t="s">
        <v>4215</v>
      </c>
      <c r="BA123" s="132" t="s">
        <v>4138</v>
      </c>
      <c r="BC123" s="111">
        <f>AW123+AX123</f>
      </c>
      <c r="BD123" s="111">
        <f>H123/(100-BE123)*100</f>
      </c>
      <c r="BE123" s="111" t="n">
        <v>0</v>
      </c>
      <c r="BF123" s="111">
        <f>123</f>
      </c>
      <c r="BH123" s="111">
        <f>G123*AO123</f>
      </c>
      <c r="BI123" s="111">
        <f>G123*AP123</f>
      </c>
      <c r="BJ123" s="111">
        <f>G123*H123</f>
      </c>
      <c r="BK123" s="111"/>
      <c r="BL123" s="111" t="n">
        <v>734</v>
      </c>
      <c r="BW123" s="111" t="n">
        <v>21</v>
      </c>
      <c r="BX123" s="14" t="s">
        <v>4405</v>
      </c>
    </row>
    <row r="124">
      <c r="A124" s="9" t="s">
        <v>675</v>
      </c>
      <c r="B124" s="10" t="s">
        <v>91</v>
      </c>
      <c r="C124" s="10" t="s">
        <v>4407</v>
      </c>
      <c r="D124" s="14" t="s">
        <v>4408</v>
      </c>
      <c r="E124" s="10"/>
      <c r="F124" s="10" t="s">
        <v>61</v>
      </c>
      <c r="G124" s="111">
        <f>'Stavební rozpočet'!G2764</f>
      </c>
      <c r="H124" s="111">
        <f>'Stavební rozpočet'!H2764</f>
      </c>
      <c r="I124" s="111">
        <f>G124*H124</f>
      </c>
      <c r="J124" s="153" t="s">
        <v>4</v>
      </c>
      <c r="K124" s="146"/>
      <c r="Z124" s="111">
        <f>IF(AQ124="5",BJ124,0)</f>
      </c>
      <c r="AB124" s="111">
        <f>IF(AQ124="1",BH124,0)</f>
      </c>
      <c r="AC124" s="111">
        <f>IF(AQ124="1",BI124,0)</f>
      </c>
      <c r="AD124" s="111">
        <f>IF(AQ124="7",BH124,0)</f>
      </c>
      <c r="AE124" s="111">
        <f>IF(AQ124="7",BI124,0)</f>
      </c>
      <c r="AF124" s="111">
        <f>IF(AQ124="2",BH124,0)</f>
      </c>
      <c r="AG124" s="111">
        <f>IF(AQ124="2",BI124,0)</f>
      </c>
      <c r="AH124" s="111">
        <f>IF(AQ124="0",BJ124,0)</f>
      </c>
      <c r="AI124" s="132" t="s">
        <v>91</v>
      </c>
      <c r="AJ124" s="111">
        <f>IF(AN124=0,I124,0)</f>
      </c>
      <c r="AK124" s="111">
        <f>IF(AN124=12,I124,0)</f>
      </c>
      <c r="AL124" s="111">
        <f>IF(AN124=21,I124,0)</f>
      </c>
      <c r="AN124" s="111" t="n">
        <v>21</v>
      </c>
      <c r="AO124" s="111">
        <f>H124*0</f>
      </c>
      <c r="AP124" s="111">
        <f>H124*(1-0)</f>
      </c>
      <c r="AQ124" s="153" t="s">
        <v>173</v>
      </c>
      <c r="AV124" s="111">
        <f>AW124+AX124</f>
      </c>
      <c r="AW124" s="111">
        <f>G124*AO124</f>
      </c>
      <c r="AX124" s="111">
        <f>G124*AP124</f>
      </c>
      <c r="AY124" s="153" t="s">
        <v>4092</v>
      </c>
      <c r="AZ124" s="153" t="s">
        <v>4215</v>
      </c>
      <c r="BA124" s="132" t="s">
        <v>4138</v>
      </c>
      <c r="BC124" s="111">
        <f>AW124+AX124</f>
      </c>
      <c r="BD124" s="111">
        <f>H124/(100-BE124)*100</f>
      </c>
      <c r="BE124" s="111" t="n">
        <v>0</v>
      </c>
      <c r="BF124" s="111">
        <f>124</f>
      </c>
      <c r="BH124" s="111">
        <f>G124*AO124</f>
      </c>
      <c r="BI124" s="111">
        <f>G124*AP124</f>
      </c>
      <c r="BJ124" s="111">
        <f>G124*H124</f>
      </c>
      <c r="BK124" s="111"/>
      <c r="BL124" s="111" t="n">
        <v>734</v>
      </c>
      <c r="BW124" s="111" t="n">
        <v>21</v>
      </c>
      <c r="BX124" s="14" t="s">
        <v>4408</v>
      </c>
    </row>
    <row r="125">
      <c r="A125" s="9" t="s">
        <v>688</v>
      </c>
      <c r="B125" s="10" t="s">
        <v>91</v>
      </c>
      <c r="C125" s="10" t="s">
        <v>4410</v>
      </c>
      <c r="D125" s="14" t="s">
        <v>4411</v>
      </c>
      <c r="E125" s="10"/>
      <c r="F125" s="10" t="s">
        <v>133</v>
      </c>
      <c r="G125" s="111">
        <f>'Stavební rozpočet'!G2765</f>
      </c>
      <c r="H125" s="111">
        <f>'Stavební rozpočet'!H2765</f>
      </c>
      <c r="I125" s="111">
        <f>G125*H125</f>
      </c>
      <c r="J125" s="153" t="s">
        <v>4</v>
      </c>
      <c r="K125" s="146"/>
      <c r="Z125" s="111">
        <f>IF(AQ125="5",BJ125,0)</f>
      </c>
      <c r="AB125" s="111">
        <f>IF(AQ125="1",BH125,0)</f>
      </c>
      <c r="AC125" s="111">
        <f>IF(AQ125="1",BI125,0)</f>
      </c>
      <c r="AD125" s="111">
        <f>IF(AQ125="7",BH125,0)</f>
      </c>
      <c r="AE125" s="111">
        <f>IF(AQ125="7",BI125,0)</f>
      </c>
      <c r="AF125" s="111">
        <f>IF(AQ125="2",BH125,0)</f>
      </c>
      <c r="AG125" s="111">
        <f>IF(AQ125="2",BI125,0)</f>
      </c>
      <c r="AH125" s="111">
        <f>IF(AQ125="0",BJ125,0)</f>
      </c>
      <c r="AI125" s="132" t="s">
        <v>91</v>
      </c>
      <c r="AJ125" s="111">
        <f>IF(AN125=0,I125,0)</f>
      </c>
      <c r="AK125" s="111">
        <f>IF(AN125=12,I125,0)</f>
      </c>
      <c r="AL125" s="111">
        <f>IF(AN125=21,I125,0)</f>
      </c>
      <c r="AN125" s="111" t="n">
        <v>21</v>
      </c>
      <c r="AO125" s="111">
        <f>H125*1</f>
      </c>
      <c r="AP125" s="111">
        <f>H125*(1-1)</f>
      </c>
      <c r="AQ125" s="153" t="s">
        <v>173</v>
      </c>
      <c r="AV125" s="111">
        <f>AW125+AX125</f>
      </c>
      <c r="AW125" s="111">
        <f>G125*AO125</f>
      </c>
      <c r="AX125" s="111">
        <f>G125*AP125</f>
      </c>
      <c r="AY125" s="153" t="s">
        <v>4092</v>
      </c>
      <c r="AZ125" s="153" t="s">
        <v>4215</v>
      </c>
      <c r="BA125" s="132" t="s">
        <v>4138</v>
      </c>
      <c r="BC125" s="111">
        <f>AW125+AX125</f>
      </c>
      <c r="BD125" s="111">
        <f>H125/(100-BE125)*100</f>
      </c>
      <c r="BE125" s="111" t="n">
        <v>0</v>
      </c>
      <c r="BF125" s="111">
        <f>125</f>
      </c>
      <c r="BH125" s="111">
        <f>G125*AO125</f>
      </c>
      <c r="BI125" s="111">
        <f>G125*AP125</f>
      </c>
      <c r="BJ125" s="111">
        <f>G125*H125</f>
      </c>
      <c r="BK125" s="111"/>
      <c r="BL125" s="111" t="n">
        <v>734</v>
      </c>
      <c r="BW125" s="111" t="n">
        <v>21</v>
      </c>
      <c r="BX125" s="14" t="s">
        <v>4411</v>
      </c>
    </row>
    <row r="126">
      <c r="A126" s="9" t="s">
        <v>698</v>
      </c>
      <c r="B126" s="10" t="s">
        <v>91</v>
      </c>
      <c r="C126" s="10" t="s">
        <v>4413</v>
      </c>
      <c r="D126" s="14" t="s">
        <v>4414</v>
      </c>
      <c r="E126" s="10"/>
      <c r="F126" s="10" t="s">
        <v>133</v>
      </c>
      <c r="G126" s="111">
        <f>'Stavební rozpočet'!G2766</f>
      </c>
      <c r="H126" s="111">
        <f>'Stavební rozpočet'!H2766</f>
      </c>
      <c r="I126" s="111">
        <f>G126*H126</f>
      </c>
      <c r="J126" s="153" t="s">
        <v>4</v>
      </c>
      <c r="K126" s="146"/>
      <c r="Z126" s="111">
        <f>IF(AQ126="5",BJ126,0)</f>
      </c>
      <c r="AB126" s="111">
        <f>IF(AQ126="1",BH126,0)</f>
      </c>
      <c r="AC126" s="111">
        <f>IF(AQ126="1",BI126,0)</f>
      </c>
      <c r="AD126" s="111">
        <f>IF(AQ126="7",BH126,0)</f>
      </c>
      <c r="AE126" s="111">
        <f>IF(AQ126="7",BI126,0)</f>
      </c>
      <c r="AF126" s="111">
        <f>IF(AQ126="2",BH126,0)</f>
      </c>
      <c r="AG126" s="111">
        <f>IF(AQ126="2",BI126,0)</f>
      </c>
      <c r="AH126" s="111">
        <f>IF(AQ126="0",BJ126,0)</f>
      </c>
      <c r="AI126" s="132" t="s">
        <v>91</v>
      </c>
      <c r="AJ126" s="111">
        <f>IF(AN126=0,I126,0)</f>
      </c>
      <c r="AK126" s="111">
        <f>IF(AN126=12,I126,0)</f>
      </c>
      <c r="AL126" s="111">
        <f>IF(AN126=21,I126,0)</f>
      </c>
      <c r="AN126" s="111" t="n">
        <v>21</v>
      </c>
      <c r="AO126" s="111">
        <f>H126*1</f>
      </c>
      <c r="AP126" s="111">
        <f>H126*(1-1)</f>
      </c>
      <c r="AQ126" s="153" t="s">
        <v>173</v>
      </c>
      <c r="AV126" s="111">
        <f>AW126+AX126</f>
      </c>
      <c r="AW126" s="111">
        <f>G126*AO126</f>
      </c>
      <c r="AX126" s="111">
        <f>G126*AP126</f>
      </c>
      <c r="AY126" s="153" t="s">
        <v>4092</v>
      </c>
      <c r="AZ126" s="153" t="s">
        <v>4215</v>
      </c>
      <c r="BA126" s="132" t="s">
        <v>4138</v>
      </c>
      <c r="BC126" s="111">
        <f>AW126+AX126</f>
      </c>
      <c r="BD126" s="111">
        <f>H126/(100-BE126)*100</f>
      </c>
      <c r="BE126" s="111" t="n">
        <v>0</v>
      </c>
      <c r="BF126" s="111">
        <f>126</f>
      </c>
      <c r="BH126" s="111">
        <f>G126*AO126</f>
      </c>
      <c r="BI126" s="111">
        <f>G126*AP126</f>
      </c>
      <c r="BJ126" s="111">
        <f>G126*H126</f>
      </c>
      <c r="BK126" s="111"/>
      <c r="BL126" s="111" t="n">
        <v>734</v>
      </c>
      <c r="BW126" s="111" t="n">
        <v>21</v>
      </c>
      <c r="BX126" s="14" t="s">
        <v>4414</v>
      </c>
    </row>
    <row r="127">
      <c r="A127" s="9" t="s">
        <v>704</v>
      </c>
      <c r="B127" s="10" t="s">
        <v>91</v>
      </c>
      <c r="C127" s="10" t="s">
        <v>4416</v>
      </c>
      <c r="D127" s="14" t="s">
        <v>4417</v>
      </c>
      <c r="E127" s="10"/>
      <c r="F127" s="10" t="s">
        <v>133</v>
      </c>
      <c r="G127" s="111">
        <f>'Stavební rozpočet'!G2767</f>
      </c>
      <c r="H127" s="111">
        <f>'Stavební rozpočet'!H2767</f>
      </c>
      <c r="I127" s="111">
        <f>G127*H127</f>
      </c>
      <c r="J127" s="153" t="s">
        <v>4</v>
      </c>
      <c r="K127" s="146"/>
      <c r="Z127" s="111">
        <f>IF(AQ127="5",BJ127,0)</f>
      </c>
      <c r="AB127" s="111">
        <f>IF(AQ127="1",BH127,0)</f>
      </c>
      <c r="AC127" s="111">
        <f>IF(AQ127="1",BI127,0)</f>
      </c>
      <c r="AD127" s="111">
        <f>IF(AQ127="7",BH127,0)</f>
      </c>
      <c r="AE127" s="111">
        <f>IF(AQ127="7",BI127,0)</f>
      </c>
      <c r="AF127" s="111">
        <f>IF(AQ127="2",BH127,0)</f>
      </c>
      <c r="AG127" s="111">
        <f>IF(AQ127="2",BI127,0)</f>
      </c>
      <c r="AH127" s="111">
        <f>IF(AQ127="0",BJ127,0)</f>
      </c>
      <c r="AI127" s="132" t="s">
        <v>91</v>
      </c>
      <c r="AJ127" s="111">
        <f>IF(AN127=0,I127,0)</f>
      </c>
      <c r="AK127" s="111">
        <f>IF(AN127=12,I127,0)</f>
      </c>
      <c r="AL127" s="111">
        <f>IF(AN127=21,I127,0)</f>
      </c>
      <c r="AN127" s="111" t="n">
        <v>21</v>
      </c>
      <c r="AO127" s="111">
        <f>H127*1</f>
      </c>
      <c r="AP127" s="111">
        <f>H127*(1-1)</f>
      </c>
      <c r="AQ127" s="153" t="s">
        <v>173</v>
      </c>
      <c r="AV127" s="111">
        <f>AW127+AX127</f>
      </c>
      <c r="AW127" s="111">
        <f>G127*AO127</f>
      </c>
      <c r="AX127" s="111">
        <f>G127*AP127</f>
      </c>
      <c r="AY127" s="153" t="s">
        <v>4092</v>
      </c>
      <c r="AZ127" s="153" t="s">
        <v>4215</v>
      </c>
      <c r="BA127" s="132" t="s">
        <v>4138</v>
      </c>
      <c r="BC127" s="111">
        <f>AW127+AX127</f>
      </c>
      <c r="BD127" s="111">
        <f>H127/(100-BE127)*100</f>
      </c>
      <c r="BE127" s="111" t="n">
        <v>0</v>
      </c>
      <c r="BF127" s="111">
        <f>127</f>
      </c>
      <c r="BH127" s="111">
        <f>G127*AO127</f>
      </c>
      <c r="BI127" s="111">
        <f>G127*AP127</f>
      </c>
      <c r="BJ127" s="111">
        <f>G127*H127</f>
      </c>
      <c r="BK127" s="111"/>
      <c r="BL127" s="111" t="n">
        <v>734</v>
      </c>
      <c r="BW127" s="111" t="n">
        <v>21</v>
      </c>
      <c r="BX127" s="14" t="s">
        <v>4417</v>
      </c>
    </row>
    <row r="128">
      <c r="A128" s="9" t="s">
        <v>710</v>
      </c>
      <c r="B128" s="10" t="s">
        <v>91</v>
      </c>
      <c r="C128" s="10" t="s">
        <v>4419</v>
      </c>
      <c r="D128" s="14" t="s">
        <v>4420</v>
      </c>
      <c r="E128" s="10"/>
      <c r="F128" s="10" t="s">
        <v>133</v>
      </c>
      <c r="G128" s="111">
        <f>'Stavební rozpočet'!G2768</f>
      </c>
      <c r="H128" s="111">
        <f>'Stavební rozpočet'!H2768</f>
      </c>
      <c r="I128" s="111">
        <f>G128*H128</f>
      </c>
      <c r="J128" s="153" t="s">
        <v>4</v>
      </c>
      <c r="K128" s="146"/>
      <c r="Z128" s="111">
        <f>IF(AQ128="5",BJ128,0)</f>
      </c>
      <c r="AB128" s="111">
        <f>IF(AQ128="1",BH128,0)</f>
      </c>
      <c r="AC128" s="111">
        <f>IF(AQ128="1",BI128,0)</f>
      </c>
      <c r="AD128" s="111">
        <f>IF(AQ128="7",BH128,0)</f>
      </c>
      <c r="AE128" s="111">
        <f>IF(AQ128="7",BI128,0)</f>
      </c>
      <c r="AF128" s="111">
        <f>IF(AQ128="2",BH128,0)</f>
      </c>
      <c r="AG128" s="111">
        <f>IF(AQ128="2",BI128,0)</f>
      </c>
      <c r="AH128" s="111">
        <f>IF(AQ128="0",BJ128,0)</f>
      </c>
      <c r="AI128" s="132" t="s">
        <v>91</v>
      </c>
      <c r="AJ128" s="111">
        <f>IF(AN128=0,I128,0)</f>
      </c>
      <c r="AK128" s="111">
        <f>IF(AN128=12,I128,0)</f>
      </c>
      <c r="AL128" s="111">
        <f>IF(AN128=21,I128,0)</f>
      </c>
      <c r="AN128" s="111" t="n">
        <v>21</v>
      </c>
      <c r="AO128" s="111">
        <f>H128*1</f>
      </c>
      <c r="AP128" s="111">
        <f>H128*(1-1)</f>
      </c>
      <c r="AQ128" s="153" t="s">
        <v>173</v>
      </c>
      <c r="AV128" s="111">
        <f>AW128+AX128</f>
      </c>
      <c r="AW128" s="111">
        <f>G128*AO128</f>
      </c>
      <c r="AX128" s="111">
        <f>G128*AP128</f>
      </c>
      <c r="AY128" s="153" t="s">
        <v>4092</v>
      </c>
      <c r="AZ128" s="153" t="s">
        <v>4215</v>
      </c>
      <c r="BA128" s="132" t="s">
        <v>4138</v>
      </c>
      <c r="BC128" s="111">
        <f>AW128+AX128</f>
      </c>
      <c r="BD128" s="111">
        <f>H128/(100-BE128)*100</f>
      </c>
      <c r="BE128" s="111" t="n">
        <v>0</v>
      </c>
      <c r="BF128" s="111">
        <f>128</f>
      </c>
      <c r="BH128" s="111">
        <f>G128*AO128</f>
      </c>
      <c r="BI128" s="111">
        <f>G128*AP128</f>
      </c>
      <c r="BJ128" s="111">
        <f>G128*H128</f>
      </c>
      <c r="BK128" s="111"/>
      <c r="BL128" s="111" t="n">
        <v>734</v>
      </c>
      <c r="BW128" s="111" t="n">
        <v>21</v>
      </c>
      <c r="BX128" s="14" t="s">
        <v>4420</v>
      </c>
    </row>
    <row r="129">
      <c r="A129" s="9" t="s">
        <v>715</v>
      </c>
      <c r="B129" s="10" t="s">
        <v>91</v>
      </c>
      <c r="C129" s="10" t="s">
        <v>4422</v>
      </c>
      <c r="D129" s="14" t="s">
        <v>4423</v>
      </c>
      <c r="E129" s="10"/>
      <c r="F129" s="10" t="s">
        <v>133</v>
      </c>
      <c r="G129" s="111">
        <f>'Stavební rozpočet'!G2769</f>
      </c>
      <c r="H129" s="111">
        <f>'Stavební rozpočet'!H2769</f>
      </c>
      <c r="I129" s="111">
        <f>G129*H129</f>
      </c>
      <c r="J129" s="153" t="s">
        <v>4</v>
      </c>
      <c r="K129" s="146"/>
      <c r="Z129" s="111">
        <f>IF(AQ129="5",BJ129,0)</f>
      </c>
      <c r="AB129" s="111">
        <f>IF(AQ129="1",BH129,0)</f>
      </c>
      <c r="AC129" s="111">
        <f>IF(AQ129="1",BI129,0)</f>
      </c>
      <c r="AD129" s="111">
        <f>IF(AQ129="7",BH129,0)</f>
      </c>
      <c r="AE129" s="111">
        <f>IF(AQ129="7",BI129,0)</f>
      </c>
      <c r="AF129" s="111">
        <f>IF(AQ129="2",BH129,0)</f>
      </c>
      <c r="AG129" s="111">
        <f>IF(AQ129="2",BI129,0)</f>
      </c>
      <c r="AH129" s="111">
        <f>IF(AQ129="0",BJ129,0)</f>
      </c>
      <c r="AI129" s="132" t="s">
        <v>91</v>
      </c>
      <c r="AJ129" s="111">
        <f>IF(AN129=0,I129,0)</f>
      </c>
      <c r="AK129" s="111">
        <f>IF(AN129=12,I129,0)</f>
      </c>
      <c r="AL129" s="111">
        <f>IF(AN129=21,I129,0)</f>
      </c>
      <c r="AN129" s="111" t="n">
        <v>21</v>
      </c>
      <c r="AO129" s="111">
        <f>H129*1</f>
      </c>
      <c r="AP129" s="111">
        <f>H129*(1-1)</f>
      </c>
      <c r="AQ129" s="153" t="s">
        <v>173</v>
      </c>
      <c r="AV129" s="111">
        <f>AW129+AX129</f>
      </c>
      <c r="AW129" s="111">
        <f>G129*AO129</f>
      </c>
      <c r="AX129" s="111">
        <f>G129*AP129</f>
      </c>
      <c r="AY129" s="153" t="s">
        <v>4092</v>
      </c>
      <c r="AZ129" s="153" t="s">
        <v>4215</v>
      </c>
      <c r="BA129" s="132" t="s">
        <v>4138</v>
      </c>
      <c r="BC129" s="111">
        <f>AW129+AX129</f>
      </c>
      <c r="BD129" s="111">
        <f>H129/(100-BE129)*100</f>
      </c>
      <c r="BE129" s="111" t="n">
        <v>0</v>
      </c>
      <c r="BF129" s="111">
        <f>129</f>
      </c>
      <c r="BH129" s="111">
        <f>G129*AO129</f>
      </c>
      <c r="BI129" s="111">
        <f>G129*AP129</f>
      </c>
      <c r="BJ129" s="111">
        <f>G129*H129</f>
      </c>
      <c r="BK129" s="111"/>
      <c r="BL129" s="111" t="n">
        <v>734</v>
      </c>
      <c r="BW129" s="111" t="n">
        <v>21</v>
      </c>
      <c r="BX129" s="14" t="s">
        <v>4423</v>
      </c>
    </row>
    <row r="130">
      <c r="A130" s="154"/>
      <c r="B130" s="155"/>
      <c r="C130" s="155"/>
      <c r="D130" s="156" t="s">
        <v>3910</v>
      </c>
      <c r="E130" s="156" t="s">
        <v>4424</v>
      </c>
      <c r="F130" s="155"/>
      <c r="G130" s="157" t="n">
        <v>1</v>
      </c>
      <c r="H130" s="155"/>
      <c r="I130" s="155"/>
      <c r="J130" s="155"/>
      <c r="K130" s="146"/>
    </row>
    <row r="131">
      <c r="A131" s="154"/>
      <c r="B131" s="155"/>
      <c r="C131" s="155"/>
      <c r="D131" s="156" t="s">
        <v>3910</v>
      </c>
      <c r="E131" s="156" t="s">
        <v>4425</v>
      </c>
      <c r="F131" s="155"/>
      <c r="G131" s="157" t="n">
        <v>1</v>
      </c>
      <c r="H131" s="155"/>
      <c r="I131" s="155"/>
      <c r="J131" s="155"/>
      <c r="K131" s="146"/>
    </row>
    <row r="132">
      <c r="A132" s="154"/>
      <c r="B132" s="155"/>
      <c r="C132" s="155"/>
      <c r="D132" s="156" t="s">
        <v>3910</v>
      </c>
      <c r="E132" s="156" t="s">
        <v>4426</v>
      </c>
      <c r="F132" s="155"/>
      <c r="G132" s="157" t="n">
        <v>1</v>
      </c>
      <c r="H132" s="155"/>
      <c r="I132" s="155"/>
      <c r="J132" s="155"/>
      <c r="K132" s="146"/>
    </row>
    <row r="133">
      <c r="A133" s="9" t="s">
        <v>728</v>
      </c>
      <c r="B133" s="10" t="s">
        <v>91</v>
      </c>
      <c r="C133" s="10" t="s">
        <v>4428</v>
      </c>
      <c r="D133" s="14" t="s">
        <v>4429</v>
      </c>
      <c r="E133" s="10"/>
      <c r="F133" s="10" t="s">
        <v>133</v>
      </c>
      <c r="G133" s="111">
        <f>'Stavební rozpočet'!G2773</f>
      </c>
      <c r="H133" s="111">
        <f>'Stavební rozpočet'!H2773</f>
      </c>
      <c r="I133" s="111">
        <f>G133*H133</f>
      </c>
      <c r="J133" s="153" t="s">
        <v>4</v>
      </c>
      <c r="K133" s="146"/>
      <c r="Z133" s="111">
        <f>IF(AQ133="5",BJ133,0)</f>
      </c>
      <c r="AB133" s="111">
        <f>IF(AQ133="1",BH133,0)</f>
      </c>
      <c r="AC133" s="111">
        <f>IF(AQ133="1",BI133,0)</f>
      </c>
      <c r="AD133" s="111">
        <f>IF(AQ133="7",BH133,0)</f>
      </c>
      <c r="AE133" s="111">
        <f>IF(AQ133="7",BI133,0)</f>
      </c>
      <c r="AF133" s="111">
        <f>IF(AQ133="2",BH133,0)</f>
      </c>
      <c r="AG133" s="111">
        <f>IF(AQ133="2",BI133,0)</f>
      </c>
      <c r="AH133" s="111">
        <f>IF(AQ133="0",BJ133,0)</f>
      </c>
      <c r="AI133" s="132" t="s">
        <v>91</v>
      </c>
      <c r="AJ133" s="111">
        <f>IF(AN133=0,I133,0)</f>
      </c>
      <c r="AK133" s="111">
        <f>IF(AN133=12,I133,0)</f>
      </c>
      <c r="AL133" s="111">
        <f>IF(AN133=21,I133,0)</f>
      </c>
      <c r="AN133" s="111" t="n">
        <v>21</v>
      </c>
      <c r="AO133" s="111">
        <f>H133*1</f>
      </c>
      <c r="AP133" s="111">
        <f>H133*(1-1)</f>
      </c>
      <c r="AQ133" s="153" t="s">
        <v>173</v>
      </c>
      <c r="AV133" s="111">
        <f>AW133+AX133</f>
      </c>
      <c r="AW133" s="111">
        <f>G133*AO133</f>
      </c>
      <c r="AX133" s="111">
        <f>G133*AP133</f>
      </c>
      <c r="AY133" s="153" t="s">
        <v>4092</v>
      </c>
      <c r="AZ133" s="153" t="s">
        <v>4215</v>
      </c>
      <c r="BA133" s="132" t="s">
        <v>4138</v>
      </c>
      <c r="BC133" s="111">
        <f>AW133+AX133</f>
      </c>
      <c r="BD133" s="111">
        <f>H133/(100-BE133)*100</f>
      </c>
      <c r="BE133" s="111" t="n">
        <v>0</v>
      </c>
      <c r="BF133" s="111">
        <f>133</f>
      </c>
      <c r="BH133" s="111">
        <f>G133*AO133</f>
      </c>
      <c r="BI133" s="111">
        <f>G133*AP133</f>
      </c>
      <c r="BJ133" s="111">
        <f>G133*H133</f>
      </c>
      <c r="BK133" s="111"/>
      <c r="BL133" s="111" t="n">
        <v>734</v>
      </c>
      <c r="BW133" s="111" t="n">
        <v>21</v>
      </c>
      <c r="BX133" s="14" t="s">
        <v>4429</v>
      </c>
    </row>
    <row r="134">
      <c r="A134" s="9" t="s">
        <v>737</v>
      </c>
      <c r="B134" s="10" t="s">
        <v>91</v>
      </c>
      <c r="C134" s="10" t="s">
        <v>4431</v>
      </c>
      <c r="D134" s="14" t="s">
        <v>4432</v>
      </c>
      <c r="E134" s="10"/>
      <c r="F134" s="10" t="s">
        <v>133</v>
      </c>
      <c r="G134" s="111">
        <f>'Stavební rozpočet'!G2774</f>
      </c>
      <c r="H134" s="111">
        <f>'Stavební rozpočet'!H2774</f>
      </c>
      <c r="I134" s="111">
        <f>G134*H134</f>
      </c>
      <c r="J134" s="153" t="s">
        <v>4</v>
      </c>
      <c r="K134" s="146"/>
      <c r="Z134" s="111">
        <f>IF(AQ134="5",BJ134,0)</f>
      </c>
      <c r="AB134" s="111">
        <f>IF(AQ134="1",BH134,0)</f>
      </c>
      <c r="AC134" s="111">
        <f>IF(AQ134="1",BI134,0)</f>
      </c>
      <c r="AD134" s="111">
        <f>IF(AQ134="7",BH134,0)</f>
      </c>
      <c r="AE134" s="111">
        <f>IF(AQ134="7",BI134,0)</f>
      </c>
      <c r="AF134" s="111">
        <f>IF(AQ134="2",BH134,0)</f>
      </c>
      <c r="AG134" s="111">
        <f>IF(AQ134="2",BI134,0)</f>
      </c>
      <c r="AH134" s="111">
        <f>IF(AQ134="0",BJ134,0)</f>
      </c>
      <c r="AI134" s="132" t="s">
        <v>91</v>
      </c>
      <c r="AJ134" s="111">
        <f>IF(AN134=0,I134,0)</f>
      </c>
      <c r="AK134" s="111">
        <f>IF(AN134=12,I134,0)</f>
      </c>
      <c r="AL134" s="111">
        <f>IF(AN134=21,I134,0)</f>
      </c>
      <c r="AN134" s="111" t="n">
        <v>21</v>
      </c>
      <c r="AO134" s="111">
        <f>H134*1</f>
      </c>
      <c r="AP134" s="111">
        <f>H134*(1-1)</f>
      </c>
      <c r="AQ134" s="153" t="s">
        <v>173</v>
      </c>
      <c r="AV134" s="111">
        <f>AW134+AX134</f>
      </c>
      <c r="AW134" s="111">
        <f>G134*AO134</f>
      </c>
      <c r="AX134" s="111">
        <f>G134*AP134</f>
      </c>
      <c r="AY134" s="153" t="s">
        <v>4092</v>
      </c>
      <c r="AZ134" s="153" t="s">
        <v>4215</v>
      </c>
      <c r="BA134" s="132" t="s">
        <v>4138</v>
      </c>
      <c r="BC134" s="111">
        <f>AW134+AX134</f>
      </c>
      <c r="BD134" s="111">
        <f>H134/(100-BE134)*100</f>
      </c>
      <c r="BE134" s="111" t="n">
        <v>0</v>
      </c>
      <c r="BF134" s="111">
        <f>134</f>
      </c>
      <c r="BH134" s="111">
        <f>G134*AO134</f>
      </c>
      <c r="BI134" s="111">
        <f>G134*AP134</f>
      </c>
      <c r="BJ134" s="111">
        <f>G134*H134</f>
      </c>
      <c r="BK134" s="111"/>
      <c r="BL134" s="111" t="n">
        <v>734</v>
      </c>
      <c r="BW134" s="111" t="n">
        <v>21</v>
      </c>
      <c r="BX134" s="14" t="s">
        <v>4432</v>
      </c>
    </row>
    <row r="135">
      <c r="A135" s="9" t="s">
        <v>745</v>
      </c>
      <c r="B135" s="10" t="s">
        <v>91</v>
      </c>
      <c r="C135" s="10" t="s">
        <v>4434</v>
      </c>
      <c r="D135" s="14" t="s">
        <v>4432</v>
      </c>
      <c r="E135" s="10"/>
      <c r="F135" s="10" t="s">
        <v>133</v>
      </c>
      <c r="G135" s="111">
        <f>'Stavební rozpočet'!G2775</f>
      </c>
      <c r="H135" s="111">
        <f>'Stavební rozpočet'!H2775</f>
      </c>
      <c r="I135" s="111">
        <f>G135*H135</f>
      </c>
      <c r="J135" s="153" t="s">
        <v>4</v>
      </c>
      <c r="K135" s="146"/>
      <c r="Z135" s="111">
        <f>IF(AQ135="5",BJ135,0)</f>
      </c>
      <c r="AB135" s="111">
        <f>IF(AQ135="1",BH135,0)</f>
      </c>
      <c r="AC135" s="111">
        <f>IF(AQ135="1",BI135,0)</f>
      </c>
      <c r="AD135" s="111">
        <f>IF(AQ135="7",BH135,0)</f>
      </c>
      <c r="AE135" s="111">
        <f>IF(AQ135="7",BI135,0)</f>
      </c>
      <c r="AF135" s="111">
        <f>IF(AQ135="2",BH135,0)</f>
      </c>
      <c r="AG135" s="111">
        <f>IF(AQ135="2",BI135,0)</f>
      </c>
      <c r="AH135" s="111">
        <f>IF(AQ135="0",BJ135,0)</f>
      </c>
      <c r="AI135" s="132" t="s">
        <v>91</v>
      </c>
      <c r="AJ135" s="111">
        <f>IF(AN135=0,I135,0)</f>
      </c>
      <c r="AK135" s="111">
        <f>IF(AN135=12,I135,0)</f>
      </c>
      <c r="AL135" s="111">
        <f>IF(AN135=21,I135,0)</f>
      </c>
      <c r="AN135" s="111" t="n">
        <v>21</v>
      </c>
      <c r="AO135" s="111">
        <f>H135*1</f>
      </c>
      <c r="AP135" s="111">
        <f>H135*(1-1)</f>
      </c>
      <c r="AQ135" s="153" t="s">
        <v>173</v>
      </c>
      <c r="AV135" s="111">
        <f>AW135+AX135</f>
      </c>
      <c r="AW135" s="111">
        <f>G135*AO135</f>
      </c>
      <c r="AX135" s="111">
        <f>G135*AP135</f>
      </c>
      <c r="AY135" s="153" t="s">
        <v>4092</v>
      </c>
      <c r="AZ135" s="153" t="s">
        <v>4215</v>
      </c>
      <c r="BA135" s="132" t="s">
        <v>4138</v>
      </c>
      <c r="BC135" s="111">
        <f>AW135+AX135</f>
      </c>
      <c r="BD135" s="111">
        <f>H135/(100-BE135)*100</f>
      </c>
      <c r="BE135" s="111" t="n">
        <v>0</v>
      </c>
      <c r="BF135" s="111">
        <f>135</f>
      </c>
      <c r="BH135" s="111">
        <f>G135*AO135</f>
      </c>
      <c r="BI135" s="111">
        <f>G135*AP135</f>
      </c>
      <c r="BJ135" s="111">
        <f>G135*H135</f>
      </c>
      <c r="BK135" s="111"/>
      <c r="BL135" s="111" t="n">
        <v>734</v>
      </c>
      <c r="BW135" s="111" t="n">
        <v>21</v>
      </c>
      <c r="BX135" s="14" t="s">
        <v>4432</v>
      </c>
    </row>
    <row r="136">
      <c r="A136" s="9" t="s">
        <v>748</v>
      </c>
      <c r="B136" s="10" t="s">
        <v>91</v>
      </c>
      <c r="C136" s="10" t="s">
        <v>4436</v>
      </c>
      <c r="D136" s="14" t="s">
        <v>4437</v>
      </c>
      <c r="E136" s="10"/>
      <c r="F136" s="10" t="s">
        <v>133</v>
      </c>
      <c r="G136" s="111">
        <f>'Stavební rozpočet'!G2776</f>
      </c>
      <c r="H136" s="111">
        <f>'Stavební rozpočet'!H2776</f>
      </c>
      <c r="I136" s="111">
        <f>G136*H136</f>
      </c>
      <c r="J136" s="153" t="s">
        <v>4</v>
      </c>
      <c r="K136" s="146"/>
      <c r="Z136" s="111">
        <f>IF(AQ136="5",BJ136,0)</f>
      </c>
      <c r="AB136" s="111">
        <f>IF(AQ136="1",BH136,0)</f>
      </c>
      <c r="AC136" s="111">
        <f>IF(AQ136="1",BI136,0)</f>
      </c>
      <c r="AD136" s="111">
        <f>IF(AQ136="7",BH136,0)</f>
      </c>
      <c r="AE136" s="111">
        <f>IF(AQ136="7",BI136,0)</f>
      </c>
      <c r="AF136" s="111">
        <f>IF(AQ136="2",BH136,0)</f>
      </c>
      <c r="AG136" s="111">
        <f>IF(AQ136="2",BI136,0)</f>
      </c>
      <c r="AH136" s="111">
        <f>IF(AQ136="0",BJ136,0)</f>
      </c>
      <c r="AI136" s="132" t="s">
        <v>91</v>
      </c>
      <c r="AJ136" s="111">
        <f>IF(AN136=0,I136,0)</f>
      </c>
      <c r="AK136" s="111">
        <f>IF(AN136=12,I136,0)</f>
      </c>
      <c r="AL136" s="111">
        <f>IF(AN136=21,I136,0)</f>
      </c>
      <c r="AN136" s="111" t="n">
        <v>21</v>
      </c>
      <c r="AO136" s="111">
        <f>H136*1</f>
      </c>
      <c r="AP136" s="111">
        <f>H136*(1-1)</f>
      </c>
      <c r="AQ136" s="153" t="s">
        <v>173</v>
      </c>
      <c r="AV136" s="111">
        <f>AW136+AX136</f>
      </c>
      <c r="AW136" s="111">
        <f>G136*AO136</f>
      </c>
      <c r="AX136" s="111">
        <f>G136*AP136</f>
      </c>
      <c r="AY136" s="153" t="s">
        <v>4092</v>
      </c>
      <c r="AZ136" s="153" t="s">
        <v>4215</v>
      </c>
      <c r="BA136" s="132" t="s">
        <v>4138</v>
      </c>
      <c r="BC136" s="111">
        <f>AW136+AX136</f>
      </c>
      <c r="BD136" s="111">
        <f>H136/(100-BE136)*100</f>
      </c>
      <c r="BE136" s="111" t="n">
        <v>0</v>
      </c>
      <c r="BF136" s="111">
        <f>136</f>
      </c>
      <c r="BH136" s="111">
        <f>G136*AO136</f>
      </c>
      <c r="BI136" s="111">
        <f>G136*AP136</f>
      </c>
      <c r="BJ136" s="111">
        <f>G136*H136</f>
      </c>
      <c r="BK136" s="111"/>
      <c r="BL136" s="111" t="n">
        <v>734</v>
      </c>
      <c r="BW136" s="111" t="n">
        <v>21</v>
      </c>
      <c r="BX136" s="14" t="s">
        <v>4437</v>
      </c>
    </row>
    <row r="137">
      <c r="A137" s="9" t="s">
        <v>756</v>
      </c>
      <c r="B137" s="10" t="s">
        <v>91</v>
      </c>
      <c r="C137" s="10" t="s">
        <v>4439</v>
      </c>
      <c r="D137" s="14" t="s">
        <v>4437</v>
      </c>
      <c r="E137" s="10"/>
      <c r="F137" s="10" t="s">
        <v>133</v>
      </c>
      <c r="G137" s="111">
        <f>'Stavební rozpočet'!G2777</f>
      </c>
      <c r="H137" s="111">
        <f>'Stavební rozpočet'!H2777</f>
      </c>
      <c r="I137" s="111">
        <f>G137*H137</f>
      </c>
      <c r="J137" s="153" t="s">
        <v>4</v>
      </c>
      <c r="K137" s="146"/>
      <c r="Z137" s="111">
        <f>IF(AQ137="5",BJ137,0)</f>
      </c>
      <c r="AB137" s="111">
        <f>IF(AQ137="1",BH137,0)</f>
      </c>
      <c r="AC137" s="111">
        <f>IF(AQ137="1",BI137,0)</f>
      </c>
      <c r="AD137" s="111">
        <f>IF(AQ137="7",BH137,0)</f>
      </c>
      <c r="AE137" s="111">
        <f>IF(AQ137="7",BI137,0)</f>
      </c>
      <c r="AF137" s="111">
        <f>IF(AQ137="2",BH137,0)</f>
      </c>
      <c r="AG137" s="111">
        <f>IF(AQ137="2",BI137,0)</f>
      </c>
      <c r="AH137" s="111">
        <f>IF(AQ137="0",BJ137,0)</f>
      </c>
      <c r="AI137" s="132" t="s">
        <v>91</v>
      </c>
      <c r="AJ137" s="111">
        <f>IF(AN137=0,I137,0)</f>
      </c>
      <c r="AK137" s="111">
        <f>IF(AN137=12,I137,0)</f>
      </c>
      <c r="AL137" s="111">
        <f>IF(AN137=21,I137,0)</f>
      </c>
      <c r="AN137" s="111" t="n">
        <v>21</v>
      </c>
      <c r="AO137" s="111">
        <f>H137*1</f>
      </c>
      <c r="AP137" s="111">
        <f>H137*(1-1)</f>
      </c>
      <c r="AQ137" s="153" t="s">
        <v>173</v>
      </c>
      <c r="AV137" s="111">
        <f>AW137+AX137</f>
      </c>
      <c r="AW137" s="111">
        <f>G137*AO137</f>
      </c>
      <c r="AX137" s="111">
        <f>G137*AP137</f>
      </c>
      <c r="AY137" s="153" t="s">
        <v>4092</v>
      </c>
      <c r="AZ137" s="153" t="s">
        <v>4215</v>
      </c>
      <c r="BA137" s="132" t="s">
        <v>4138</v>
      </c>
      <c r="BC137" s="111">
        <f>AW137+AX137</f>
      </c>
      <c r="BD137" s="111">
        <f>H137/(100-BE137)*100</f>
      </c>
      <c r="BE137" s="111" t="n">
        <v>0</v>
      </c>
      <c r="BF137" s="111">
        <f>137</f>
      </c>
      <c r="BH137" s="111">
        <f>G137*AO137</f>
      </c>
      <c r="BI137" s="111">
        <f>G137*AP137</f>
      </c>
      <c r="BJ137" s="111">
        <f>G137*H137</f>
      </c>
      <c r="BK137" s="111"/>
      <c r="BL137" s="111" t="n">
        <v>734</v>
      </c>
      <c r="BW137" s="111" t="n">
        <v>21</v>
      </c>
      <c r="BX137" s="14" t="s">
        <v>4437</v>
      </c>
    </row>
    <row r="138">
      <c r="A138" s="9" t="s">
        <v>761</v>
      </c>
      <c r="B138" s="10" t="s">
        <v>91</v>
      </c>
      <c r="C138" s="10" t="s">
        <v>4441</v>
      </c>
      <c r="D138" s="14" t="s">
        <v>4442</v>
      </c>
      <c r="E138" s="10"/>
      <c r="F138" s="10" t="s">
        <v>2277</v>
      </c>
      <c r="G138" s="111">
        <f>'Stavební rozpočet'!G2778</f>
      </c>
      <c r="H138" s="111">
        <f>'Stavební rozpočet'!H2778</f>
      </c>
      <c r="I138" s="111">
        <f>G138*H138</f>
      </c>
      <c r="J138" s="153" t="s">
        <v>4</v>
      </c>
      <c r="K138" s="146"/>
      <c r="Z138" s="111">
        <f>IF(AQ138="5",BJ138,0)</f>
      </c>
      <c r="AB138" s="111">
        <f>IF(AQ138="1",BH138,0)</f>
      </c>
      <c r="AC138" s="111">
        <f>IF(AQ138="1",BI138,0)</f>
      </c>
      <c r="AD138" s="111">
        <f>IF(AQ138="7",BH138,0)</f>
      </c>
      <c r="AE138" s="111">
        <f>IF(AQ138="7",BI138,0)</f>
      </c>
      <c r="AF138" s="111">
        <f>IF(AQ138="2",BH138,0)</f>
      </c>
      <c r="AG138" s="111">
        <f>IF(AQ138="2",BI138,0)</f>
      </c>
      <c r="AH138" s="111">
        <f>IF(AQ138="0",BJ138,0)</f>
      </c>
      <c r="AI138" s="132" t="s">
        <v>91</v>
      </c>
      <c r="AJ138" s="111">
        <f>IF(AN138=0,I138,0)</f>
      </c>
      <c r="AK138" s="111">
        <f>IF(AN138=12,I138,0)</f>
      </c>
      <c r="AL138" s="111">
        <f>IF(AN138=21,I138,0)</f>
      </c>
      <c r="AN138" s="111" t="n">
        <v>21</v>
      </c>
      <c r="AO138" s="111">
        <f>H138*1</f>
      </c>
      <c r="AP138" s="111">
        <f>H138*(1-1)</f>
      </c>
      <c r="AQ138" s="153" t="s">
        <v>173</v>
      </c>
      <c r="AV138" s="111">
        <f>AW138+AX138</f>
      </c>
      <c r="AW138" s="111">
        <f>G138*AO138</f>
      </c>
      <c r="AX138" s="111">
        <f>G138*AP138</f>
      </c>
      <c r="AY138" s="153" t="s">
        <v>4092</v>
      </c>
      <c r="AZ138" s="153" t="s">
        <v>4215</v>
      </c>
      <c r="BA138" s="132" t="s">
        <v>4138</v>
      </c>
      <c r="BC138" s="111">
        <f>AW138+AX138</f>
      </c>
      <c r="BD138" s="111">
        <f>H138/(100-BE138)*100</f>
      </c>
      <c r="BE138" s="111" t="n">
        <v>0</v>
      </c>
      <c r="BF138" s="111">
        <f>138</f>
      </c>
      <c r="BH138" s="111">
        <f>G138*AO138</f>
      </c>
      <c r="BI138" s="111">
        <f>G138*AP138</f>
      </c>
      <c r="BJ138" s="111">
        <f>G138*H138</f>
      </c>
      <c r="BK138" s="111"/>
      <c r="BL138" s="111" t="n">
        <v>734</v>
      </c>
      <c r="BW138" s="111" t="n">
        <v>21</v>
      </c>
      <c r="BX138" s="14" t="s">
        <v>4442</v>
      </c>
    </row>
    <row r="139">
      <c r="A139" s="147" t="s">
        <v>4</v>
      </c>
      <c r="B139" s="148" t="s">
        <v>91</v>
      </c>
      <c r="C139" s="148" t="s">
        <v>1982</v>
      </c>
      <c r="D139" s="149" t="s">
        <v>1983</v>
      </c>
      <c r="E139" s="148"/>
      <c r="F139" s="150" t="s">
        <v>79</v>
      </c>
      <c r="G139" s="150" t="s">
        <v>79</v>
      </c>
      <c r="H139" s="150" t="s">
        <v>79</v>
      </c>
      <c r="I139" s="117">
        <f>SUM(I140:I189)</f>
      </c>
      <c r="J139" s="132" t="s">
        <v>4</v>
      </c>
      <c r="K139" s="146"/>
      <c r="AI139" s="132" t="s">
        <v>91</v>
      </c>
      <c r="AS139" s="117">
        <f>SUM(AJ140:AJ189)</f>
      </c>
      <c r="AT139" s="117">
        <f>SUM(AK140:AK189)</f>
      </c>
      <c r="AU139" s="117">
        <f>SUM(AL140:AL189)</f>
      </c>
    </row>
    <row r="140">
      <c r="A140" s="9" t="s">
        <v>765</v>
      </c>
      <c r="B140" s="10" t="s">
        <v>91</v>
      </c>
      <c r="C140" s="10" t="s">
        <v>4444</v>
      </c>
      <c r="D140" s="14" t="s">
        <v>4445</v>
      </c>
      <c r="E140" s="10"/>
      <c r="F140" s="10" t="s">
        <v>282</v>
      </c>
      <c r="G140" s="111">
        <f>'Stavební rozpočet'!G2780</f>
      </c>
      <c r="H140" s="111">
        <f>'Stavební rozpočet'!H2780</f>
      </c>
      <c r="I140" s="111">
        <f>G140*H140</f>
      </c>
      <c r="J140" s="153" t="s">
        <v>4</v>
      </c>
      <c r="K140" s="146"/>
      <c r="Z140" s="111">
        <f>IF(AQ140="5",BJ140,0)</f>
      </c>
      <c r="AB140" s="111">
        <f>IF(AQ140="1",BH140,0)</f>
      </c>
      <c r="AC140" s="111">
        <f>IF(AQ140="1",BI140,0)</f>
      </c>
      <c r="AD140" s="111">
        <f>IF(AQ140="7",BH140,0)</f>
      </c>
      <c r="AE140" s="111">
        <f>IF(AQ140="7",BI140,0)</f>
      </c>
      <c r="AF140" s="111">
        <f>IF(AQ140="2",BH140,0)</f>
      </c>
      <c r="AG140" s="111">
        <f>IF(AQ140="2",BI140,0)</f>
      </c>
      <c r="AH140" s="111">
        <f>IF(AQ140="0",BJ140,0)</f>
      </c>
      <c r="AI140" s="132" t="s">
        <v>91</v>
      </c>
      <c r="AJ140" s="111">
        <f>IF(AN140=0,I140,0)</f>
      </c>
      <c r="AK140" s="111">
        <f>IF(AN140=12,I140,0)</f>
      </c>
      <c r="AL140" s="111">
        <f>IF(AN140=21,I140,0)</f>
      </c>
      <c r="AN140" s="111" t="n">
        <v>21</v>
      </c>
      <c r="AO140" s="111">
        <f>H140*0</f>
      </c>
      <c r="AP140" s="111">
        <f>H140*(1-0)</f>
      </c>
      <c r="AQ140" s="153" t="s">
        <v>173</v>
      </c>
      <c r="AV140" s="111">
        <f>AW140+AX140</f>
      </c>
      <c r="AW140" s="111">
        <f>G140*AO140</f>
      </c>
      <c r="AX140" s="111">
        <f>G140*AP140</f>
      </c>
      <c r="AY140" s="153" t="s">
        <v>1987</v>
      </c>
      <c r="AZ140" s="153" t="s">
        <v>4215</v>
      </c>
      <c r="BA140" s="132" t="s">
        <v>4138</v>
      </c>
      <c r="BC140" s="111">
        <f>AW140+AX140</f>
      </c>
      <c r="BD140" s="111">
        <f>H140/(100-BE140)*100</f>
      </c>
      <c r="BE140" s="111" t="n">
        <v>0</v>
      </c>
      <c r="BF140" s="111">
        <f>140</f>
      </c>
      <c r="BH140" s="111">
        <f>G140*AO140</f>
      </c>
      <c r="BI140" s="111">
        <f>G140*AP140</f>
      </c>
      <c r="BJ140" s="111">
        <f>G140*H140</f>
      </c>
      <c r="BK140" s="111"/>
      <c r="BL140" s="111" t="n">
        <v>736</v>
      </c>
      <c r="BW140" s="111" t="n">
        <v>21</v>
      </c>
      <c r="BX140" s="14" t="s">
        <v>4445</v>
      </c>
    </row>
    <row r="141">
      <c r="A141" s="154"/>
      <c r="B141" s="155"/>
      <c r="C141" s="155"/>
      <c r="D141" s="156" t="s">
        <v>4446</v>
      </c>
      <c r="E141" s="156" t="s">
        <v>4447</v>
      </c>
      <c r="F141" s="155"/>
      <c r="G141" s="157" t="n">
        <v>212</v>
      </c>
      <c r="H141" s="155"/>
      <c r="I141" s="155"/>
      <c r="J141" s="155"/>
      <c r="K141" s="146"/>
    </row>
    <row r="142">
      <c r="A142" s="154"/>
      <c r="B142" s="155"/>
      <c r="C142" s="155"/>
      <c r="D142" s="156" t="s">
        <v>4448</v>
      </c>
      <c r="E142" s="156" t="s">
        <v>4449</v>
      </c>
      <c r="F142" s="155"/>
      <c r="G142" s="157" t="n">
        <v>71.1</v>
      </c>
      <c r="H142" s="155"/>
      <c r="I142" s="155"/>
      <c r="J142" s="155"/>
      <c r="K142" s="146"/>
    </row>
    <row r="143" ht="24.75">
      <c r="A143" s="9" t="s">
        <v>768</v>
      </c>
      <c r="B143" s="10" t="s">
        <v>91</v>
      </c>
      <c r="C143" s="10" t="s">
        <v>4451</v>
      </c>
      <c r="D143" s="14" t="s">
        <v>4452</v>
      </c>
      <c r="E143" s="10"/>
      <c r="F143" s="10" t="s">
        <v>145</v>
      </c>
      <c r="G143" s="111">
        <f>'Stavební rozpočet'!G2783</f>
      </c>
      <c r="H143" s="111">
        <f>'Stavební rozpočet'!H2783</f>
      </c>
      <c r="I143" s="111">
        <f>G143*H143</f>
      </c>
      <c r="J143" s="153" t="s">
        <v>4</v>
      </c>
      <c r="K143" s="146"/>
      <c r="Z143" s="111">
        <f>IF(AQ143="5",BJ143,0)</f>
      </c>
      <c r="AB143" s="111">
        <f>IF(AQ143="1",BH143,0)</f>
      </c>
      <c r="AC143" s="111">
        <f>IF(AQ143="1",BI143,0)</f>
      </c>
      <c r="AD143" s="111">
        <f>IF(AQ143="7",BH143,0)</f>
      </c>
      <c r="AE143" s="111">
        <f>IF(AQ143="7",BI143,0)</f>
      </c>
      <c r="AF143" s="111">
        <f>IF(AQ143="2",BH143,0)</f>
      </c>
      <c r="AG143" s="111">
        <f>IF(AQ143="2",BI143,0)</f>
      </c>
      <c r="AH143" s="111">
        <f>IF(AQ143="0",BJ143,0)</f>
      </c>
      <c r="AI143" s="132" t="s">
        <v>91</v>
      </c>
      <c r="AJ143" s="111">
        <f>IF(AN143=0,I143,0)</f>
      </c>
      <c r="AK143" s="111">
        <f>IF(AN143=12,I143,0)</f>
      </c>
      <c r="AL143" s="111">
        <f>IF(AN143=21,I143,0)</f>
      </c>
      <c r="AN143" s="111" t="n">
        <v>21</v>
      </c>
      <c r="AO143" s="111">
        <f>H143*0</f>
      </c>
      <c r="AP143" s="111">
        <f>H143*(1-0)</f>
      </c>
      <c r="AQ143" s="153" t="s">
        <v>173</v>
      </c>
      <c r="AV143" s="111">
        <f>AW143+AX143</f>
      </c>
      <c r="AW143" s="111">
        <f>G143*AO143</f>
      </c>
      <c r="AX143" s="111">
        <f>G143*AP143</f>
      </c>
      <c r="AY143" s="153" t="s">
        <v>1987</v>
      </c>
      <c r="AZ143" s="153" t="s">
        <v>4215</v>
      </c>
      <c r="BA143" s="132" t="s">
        <v>4138</v>
      </c>
      <c r="BC143" s="111">
        <f>AW143+AX143</f>
      </c>
      <c r="BD143" s="111">
        <f>H143/(100-BE143)*100</f>
      </c>
      <c r="BE143" s="111" t="n">
        <v>0</v>
      </c>
      <c r="BF143" s="111">
        <f>143</f>
      </c>
      <c r="BH143" s="111">
        <f>G143*AO143</f>
      </c>
      <c r="BI143" s="111">
        <f>G143*AP143</f>
      </c>
      <c r="BJ143" s="111">
        <f>G143*H143</f>
      </c>
      <c r="BK143" s="111"/>
      <c r="BL143" s="111" t="n">
        <v>736</v>
      </c>
      <c r="BW143" s="111" t="n">
        <v>21</v>
      </c>
      <c r="BX143" s="14" t="s">
        <v>4452</v>
      </c>
    </row>
    <row r="144" ht="24.75">
      <c r="A144" s="9" t="s">
        <v>783</v>
      </c>
      <c r="B144" s="10" t="s">
        <v>91</v>
      </c>
      <c r="C144" s="10" t="s">
        <v>4454</v>
      </c>
      <c r="D144" s="14" t="s">
        <v>4455</v>
      </c>
      <c r="E144" s="10"/>
      <c r="F144" s="10" t="s">
        <v>145</v>
      </c>
      <c r="G144" s="111">
        <f>'Stavební rozpočet'!G2784</f>
      </c>
      <c r="H144" s="111">
        <f>'Stavební rozpočet'!H2784</f>
      </c>
      <c r="I144" s="111">
        <f>G144*H144</f>
      </c>
      <c r="J144" s="153" t="s">
        <v>4</v>
      </c>
      <c r="K144" s="146"/>
      <c r="Z144" s="111">
        <f>IF(AQ144="5",BJ144,0)</f>
      </c>
      <c r="AB144" s="111">
        <f>IF(AQ144="1",BH144,0)</f>
      </c>
      <c r="AC144" s="111">
        <f>IF(AQ144="1",BI144,0)</f>
      </c>
      <c r="AD144" s="111">
        <f>IF(AQ144="7",BH144,0)</f>
      </c>
      <c r="AE144" s="111">
        <f>IF(AQ144="7",BI144,0)</f>
      </c>
      <c r="AF144" s="111">
        <f>IF(AQ144="2",BH144,0)</f>
      </c>
      <c r="AG144" s="111">
        <f>IF(AQ144="2",BI144,0)</f>
      </c>
      <c r="AH144" s="111">
        <f>IF(AQ144="0",BJ144,0)</f>
      </c>
      <c r="AI144" s="132" t="s">
        <v>91</v>
      </c>
      <c r="AJ144" s="111">
        <f>IF(AN144=0,I144,0)</f>
      </c>
      <c r="AK144" s="111">
        <f>IF(AN144=12,I144,0)</f>
      </c>
      <c r="AL144" s="111">
        <f>IF(AN144=21,I144,0)</f>
      </c>
      <c r="AN144" s="111" t="n">
        <v>21</v>
      </c>
      <c r="AO144" s="111">
        <f>H144*0</f>
      </c>
      <c r="AP144" s="111">
        <f>H144*(1-0)</f>
      </c>
      <c r="AQ144" s="153" t="s">
        <v>173</v>
      </c>
      <c r="AV144" s="111">
        <f>AW144+AX144</f>
      </c>
      <c r="AW144" s="111">
        <f>G144*AO144</f>
      </c>
      <c r="AX144" s="111">
        <f>G144*AP144</f>
      </c>
      <c r="AY144" s="153" t="s">
        <v>1987</v>
      </c>
      <c r="AZ144" s="153" t="s">
        <v>4215</v>
      </c>
      <c r="BA144" s="132" t="s">
        <v>4138</v>
      </c>
      <c r="BC144" s="111">
        <f>AW144+AX144</f>
      </c>
      <c r="BD144" s="111">
        <f>H144/(100-BE144)*100</f>
      </c>
      <c r="BE144" s="111" t="n">
        <v>0</v>
      </c>
      <c r="BF144" s="111">
        <f>144</f>
      </c>
      <c r="BH144" s="111">
        <f>G144*AO144</f>
      </c>
      <c r="BI144" s="111">
        <f>G144*AP144</f>
      </c>
      <c r="BJ144" s="111">
        <f>G144*H144</f>
      </c>
      <c r="BK144" s="111"/>
      <c r="BL144" s="111" t="n">
        <v>736</v>
      </c>
      <c r="BW144" s="111" t="n">
        <v>21</v>
      </c>
      <c r="BX144" s="14" t="s">
        <v>4455</v>
      </c>
    </row>
    <row r="145">
      <c r="A145" s="154"/>
      <c r="B145" s="155"/>
      <c r="C145" s="155"/>
      <c r="D145" s="156" t="s">
        <v>4456</v>
      </c>
      <c r="E145" s="156" t="s">
        <v>4457</v>
      </c>
      <c r="F145" s="155"/>
      <c r="G145" s="157" t="n">
        <v>159.3</v>
      </c>
      <c r="H145" s="155"/>
      <c r="I145" s="155"/>
      <c r="J145" s="155"/>
      <c r="K145" s="146"/>
    </row>
    <row r="146">
      <c r="A146" s="154"/>
      <c r="B146" s="155"/>
      <c r="C146" s="155"/>
      <c r="D146" s="156" t="s">
        <v>4458</v>
      </c>
      <c r="E146" s="156" t="s">
        <v>4459</v>
      </c>
      <c r="F146" s="155"/>
      <c r="G146" s="157" t="n">
        <v>99.5</v>
      </c>
      <c r="H146" s="155"/>
      <c r="I146" s="155"/>
      <c r="J146" s="155"/>
      <c r="K146" s="146"/>
    </row>
    <row r="147">
      <c r="A147" s="154"/>
      <c r="B147" s="155"/>
      <c r="C147" s="155"/>
      <c r="D147" s="156" t="s">
        <v>4460</v>
      </c>
      <c r="E147" s="156" t="s">
        <v>4461</v>
      </c>
      <c r="F147" s="155"/>
      <c r="G147" s="157" t="n">
        <v>21.1</v>
      </c>
      <c r="H147" s="155"/>
      <c r="I147" s="155"/>
      <c r="J147" s="155"/>
      <c r="K147" s="146"/>
    </row>
    <row r="148">
      <c r="A148" s="154"/>
      <c r="B148" s="155"/>
      <c r="C148" s="155"/>
      <c r="D148" s="156" t="s">
        <v>4462</v>
      </c>
      <c r="E148" s="156" t="s">
        <v>4463</v>
      </c>
      <c r="F148" s="155"/>
      <c r="G148" s="157" t="n">
        <v>3.6</v>
      </c>
      <c r="H148" s="155"/>
      <c r="I148" s="155"/>
      <c r="J148" s="155"/>
      <c r="K148" s="146"/>
    </row>
    <row r="149">
      <c r="A149" s="154"/>
      <c r="B149" s="155"/>
      <c r="C149" s="155"/>
      <c r="D149" s="156" t="s">
        <v>4464</v>
      </c>
      <c r="E149" s="156" t="s">
        <v>4465</v>
      </c>
      <c r="F149" s="155"/>
      <c r="G149" s="157" t="n">
        <v>24.9</v>
      </c>
      <c r="H149" s="155"/>
      <c r="I149" s="155"/>
      <c r="J149" s="155"/>
      <c r="K149" s="146"/>
    </row>
    <row r="150" ht="24.75">
      <c r="A150" s="9" t="s">
        <v>793</v>
      </c>
      <c r="B150" s="10" t="s">
        <v>91</v>
      </c>
      <c r="C150" s="10" t="s">
        <v>4467</v>
      </c>
      <c r="D150" s="14" t="s">
        <v>4468</v>
      </c>
      <c r="E150" s="10"/>
      <c r="F150" s="10" t="s">
        <v>145</v>
      </c>
      <c r="G150" s="111">
        <f>'Stavební rozpočet'!G2790</f>
      </c>
      <c r="H150" s="111">
        <f>'Stavební rozpočet'!H2790</f>
      </c>
      <c r="I150" s="111">
        <f>G150*H150</f>
      </c>
      <c r="J150" s="153" t="s">
        <v>4</v>
      </c>
      <c r="K150" s="146"/>
      <c r="Z150" s="111">
        <f>IF(AQ150="5",BJ150,0)</f>
      </c>
      <c r="AB150" s="111">
        <f>IF(AQ150="1",BH150,0)</f>
      </c>
      <c r="AC150" s="111">
        <f>IF(AQ150="1",BI150,0)</f>
      </c>
      <c r="AD150" s="111">
        <f>IF(AQ150="7",BH150,0)</f>
      </c>
      <c r="AE150" s="111">
        <f>IF(AQ150="7",BI150,0)</f>
      </c>
      <c r="AF150" s="111">
        <f>IF(AQ150="2",BH150,0)</f>
      </c>
      <c r="AG150" s="111">
        <f>IF(AQ150="2",BI150,0)</f>
      </c>
      <c r="AH150" s="111">
        <f>IF(AQ150="0",BJ150,0)</f>
      </c>
      <c r="AI150" s="132" t="s">
        <v>91</v>
      </c>
      <c r="AJ150" s="111">
        <f>IF(AN150=0,I150,0)</f>
      </c>
      <c r="AK150" s="111">
        <f>IF(AN150=12,I150,0)</f>
      </c>
      <c r="AL150" s="111">
        <f>IF(AN150=21,I150,0)</f>
      </c>
      <c r="AN150" s="111" t="n">
        <v>21</v>
      </c>
      <c r="AO150" s="111">
        <f>H150*0</f>
      </c>
      <c r="AP150" s="111">
        <f>H150*(1-0)</f>
      </c>
      <c r="AQ150" s="153" t="s">
        <v>173</v>
      </c>
      <c r="AV150" s="111">
        <f>AW150+AX150</f>
      </c>
      <c r="AW150" s="111">
        <f>G150*AO150</f>
      </c>
      <c r="AX150" s="111">
        <f>G150*AP150</f>
      </c>
      <c r="AY150" s="153" t="s">
        <v>1987</v>
      </c>
      <c r="AZ150" s="153" t="s">
        <v>4215</v>
      </c>
      <c r="BA150" s="132" t="s">
        <v>4138</v>
      </c>
      <c r="BC150" s="111">
        <f>AW150+AX150</f>
      </c>
      <c r="BD150" s="111">
        <f>H150/(100-BE150)*100</f>
      </c>
      <c r="BE150" s="111" t="n">
        <v>0</v>
      </c>
      <c r="BF150" s="111">
        <f>150</f>
      </c>
      <c r="BH150" s="111">
        <f>G150*AO150</f>
      </c>
      <c r="BI150" s="111">
        <f>G150*AP150</f>
      </c>
      <c r="BJ150" s="111">
        <f>G150*H150</f>
      </c>
      <c r="BK150" s="111"/>
      <c r="BL150" s="111" t="n">
        <v>736</v>
      </c>
      <c r="BW150" s="111" t="n">
        <v>21</v>
      </c>
      <c r="BX150" s="14" t="s">
        <v>4468</v>
      </c>
    </row>
    <row r="151">
      <c r="A151" s="154"/>
      <c r="B151" s="155"/>
      <c r="C151" s="155"/>
      <c r="D151" s="156" t="s">
        <v>4469</v>
      </c>
      <c r="E151" s="156" t="s">
        <v>4470</v>
      </c>
      <c r="F151" s="155"/>
      <c r="G151" s="157" t="n">
        <v>7.6</v>
      </c>
      <c r="H151" s="155"/>
      <c r="I151" s="155"/>
      <c r="J151" s="155"/>
      <c r="K151" s="146"/>
    </row>
    <row r="152">
      <c r="A152" s="154"/>
      <c r="B152" s="155"/>
      <c r="C152" s="155"/>
      <c r="D152" s="156" t="s">
        <v>4471</v>
      </c>
      <c r="E152" s="156" t="s">
        <v>4472</v>
      </c>
      <c r="F152" s="155"/>
      <c r="G152" s="157" t="n">
        <v>6.1</v>
      </c>
      <c r="H152" s="155"/>
      <c r="I152" s="155"/>
      <c r="J152" s="155"/>
      <c r="K152" s="146"/>
    </row>
    <row r="153">
      <c r="A153" s="154"/>
      <c r="B153" s="155"/>
      <c r="C153" s="155"/>
      <c r="D153" s="156" t="s">
        <v>4473</v>
      </c>
      <c r="E153" s="156" t="s">
        <v>4474</v>
      </c>
      <c r="F153" s="155"/>
      <c r="G153" s="157" t="n">
        <v>7.4</v>
      </c>
      <c r="H153" s="155"/>
      <c r="I153" s="155"/>
      <c r="J153" s="155"/>
      <c r="K153" s="146"/>
    </row>
    <row r="154">
      <c r="A154" s="154"/>
      <c r="B154" s="155"/>
      <c r="C154" s="155"/>
      <c r="D154" s="156" t="s">
        <v>4475</v>
      </c>
      <c r="E154" s="156" t="s">
        <v>4476</v>
      </c>
      <c r="F154" s="155"/>
      <c r="G154" s="157" t="n">
        <v>3.8</v>
      </c>
      <c r="H154" s="155"/>
      <c r="I154" s="155"/>
      <c r="J154" s="155"/>
      <c r="K154" s="146"/>
    </row>
    <row r="155" ht="24.75">
      <c r="A155" s="9" t="s">
        <v>802</v>
      </c>
      <c r="B155" s="10" t="s">
        <v>91</v>
      </c>
      <c r="C155" s="10" t="s">
        <v>4478</v>
      </c>
      <c r="D155" s="14" t="s">
        <v>4479</v>
      </c>
      <c r="E155" s="10"/>
      <c r="F155" s="10" t="s">
        <v>145</v>
      </c>
      <c r="G155" s="111">
        <f>'Stavební rozpočet'!G2795</f>
      </c>
      <c r="H155" s="111">
        <f>'Stavební rozpočet'!H2795</f>
      </c>
      <c r="I155" s="111">
        <f>G155*H155</f>
      </c>
      <c r="J155" s="153" t="s">
        <v>4</v>
      </c>
      <c r="K155" s="146"/>
      <c r="Z155" s="111">
        <f>IF(AQ155="5",BJ155,0)</f>
      </c>
      <c r="AB155" s="111">
        <f>IF(AQ155="1",BH155,0)</f>
      </c>
      <c r="AC155" s="111">
        <f>IF(AQ155="1",BI155,0)</f>
      </c>
      <c r="AD155" s="111">
        <f>IF(AQ155="7",BH155,0)</f>
      </c>
      <c r="AE155" s="111">
        <f>IF(AQ155="7",BI155,0)</f>
      </c>
      <c r="AF155" s="111">
        <f>IF(AQ155="2",BH155,0)</f>
      </c>
      <c r="AG155" s="111">
        <f>IF(AQ155="2",BI155,0)</f>
      </c>
      <c r="AH155" s="111">
        <f>IF(AQ155="0",BJ155,0)</f>
      </c>
      <c r="AI155" s="132" t="s">
        <v>91</v>
      </c>
      <c r="AJ155" s="111">
        <f>IF(AN155=0,I155,0)</f>
      </c>
      <c r="AK155" s="111">
        <f>IF(AN155=12,I155,0)</f>
      </c>
      <c r="AL155" s="111">
        <f>IF(AN155=21,I155,0)</f>
      </c>
      <c r="AN155" s="111" t="n">
        <v>21</v>
      </c>
      <c r="AO155" s="111">
        <f>H155*0</f>
      </c>
      <c r="AP155" s="111">
        <f>H155*(1-0)</f>
      </c>
      <c r="AQ155" s="153" t="s">
        <v>173</v>
      </c>
      <c r="AV155" s="111">
        <f>AW155+AX155</f>
      </c>
      <c r="AW155" s="111">
        <f>G155*AO155</f>
      </c>
      <c r="AX155" s="111">
        <f>G155*AP155</f>
      </c>
      <c r="AY155" s="153" t="s">
        <v>1987</v>
      </c>
      <c r="AZ155" s="153" t="s">
        <v>4215</v>
      </c>
      <c r="BA155" s="132" t="s">
        <v>4138</v>
      </c>
      <c r="BC155" s="111">
        <f>AW155+AX155</f>
      </c>
      <c r="BD155" s="111">
        <f>H155/(100-BE155)*100</f>
      </c>
      <c r="BE155" s="111" t="n">
        <v>0</v>
      </c>
      <c r="BF155" s="111">
        <f>155</f>
      </c>
      <c r="BH155" s="111">
        <f>G155*AO155</f>
      </c>
      <c r="BI155" s="111">
        <f>G155*AP155</f>
      </c>
      <c r="BJ155" s="111">
        <f>G155*H155</f>
      </c>
      <c r="BK155" s="111"/>
      <c r="BL155" s="111" t="n">
        <v>736</v>
      </c>
      <c r="BW155" s="111" t="n">
        <v>21</v>
      </c>
      <c r="BX155" s="14" t="s">
        <v>4479</v>
      </c>
    </row>
    <row r="156">
      <c r="A156" s="154"/>
      <c r="B156" s="155"/>
      <c r="C156" s="155"/>
      <c r="D156" s="156" t="s">
        <v>4462</v>
      </c>
      <c r="E156" s="156" t="s">
        <v>4480</v>
      </c>
      <c r="F156" s="155"/>
      <c r="G156" s="157" t="n">
        <v>3.6</v>
      </c>
      <c r="H156" s="155"/>
      <c r="I156" s="155"/>
      <c r="J156" s="155"/>
      <c r="K156" s="146"/>
    </row>
    <row r="157" ht="24.75">
      <c r="A157" s="9" t="s">
        <v>805</v>
      </c>
      <c r="B157" s="10" t="s">
        <v>91</v>
      </c>
      <c r="C157" s="10" t="s">
        <v>4482</v>
      </c>
      <c r="D157" s="14" t="s">
        <v>4483</v>
      </c>
      <c r="E157" s="10"/>
      <c r="F157" s="10" t="s">
        <v>145</v>
      </c>
      <c r="G157" s="111">
        <f>'Stavební rozpočet'!G2797</f>
      </c>
      <c r="H157" s="111">
        <f>'Stavební rozpočet'!H2797</f>
      </c>
      <c r="I157" s="111">
        <f>G157*H157</f>
      </c>
      <c r="J157" s="153" t="s">
        <v>4</v>
      </c>
      <c r="K157" s="146"/>
      <c r="Z157" s="111">
        <f>IF(AQ157="5",BJ157,0)</f>
      </c>
      <c r="AB157" s="111">
        <f>IF(AQ157="1",BH157,0)</f>
      </c>
      <c r="AC157" s="111">
        <f>IF(AQ157="1",BI157,0)</f>
      </c>
      <c r="AD157" s="111">
        <f>IF(AQ157="7",BH157,0)</f>
      </c>
      <c r="AE157" s="111">
        <f>IF(AQ157="7",BI157,0)</f>
      </c>
      <c r="AF157" s="111">
        <f>IF(AQ157="2",BH157,0)</f>
      </c>
      <c r="AG157" s="111">
        <f>IF(AQ157="2",BI157,0)</f>
      </c>
      <c r="AH157" s="111">
        <f>IF(AQ157="0",BJ157,0)</f>
      </c>
      <c r="AI157" s="132" t="s">
        <v>91</v>
      </c>
      <c r="AJ157" s="111">
        <f>IF(AN157=0,I157,0)</f>
      </c>
      <c r="AK157" s="111">
        <f>IF(AN157=12,I157,0)</f>
      </c>
      <c r="AL157" s="111">
        <f>IF(AN157=21,I157,0)</f>
      </c>
      <c r="AN157" s="111" t="n">
        <v>21</v>
      </c>
      <c r="AO157" s="111">
        <f>H157*0</f>
      </c>
      <c r="AP157" s="111">
        <f>H157*(1-0)</f>
      </c>
      <c r="AQ157" s="153" t="s">
        <v>173</v>
      </c>
      <c r="AV157" s="111">
        <f>AW157+AX157</f>
      </c>
      <c r="AW157" s="111">
        <f>G157*AO157</f>
      </c>
      <c r="AX157" s="111">
        <f>G157*AP157</f>
      </c>
      <c r="AY157" s="153" t="s">
        <v>1987</v>
      </c>
      <c r="AZ157" s="153" t="s">
        <v>4215</v>
      </c>
      <c r="BA157" s="132" t="s">
        <v>4138</v>
      </c>
      <c r="BC157" s="111">
        <f>AW157+AX157</f>
      </c>
      <c r="BD157" s="111">
        <f>H157/(100-BE157)*100</f>
      </c>
      <c r="BE157" s="111" t="n">
        <v>0</v>
      </c>
      <c r="BF157" s="111">
        <f>157</f>
      </c>
      <c r="BH157" s="111">
        <f>G157*AO157</f>
      </c>
      <c r="BI157" s="111">
        <f>G157*AP157</f>
      </c>
      <c r="BJ157" s="111">
        <f>G157*H157</f>
      </c>
      <c r="BK157" s="111"/>
      <c r="BL157" s="111" t="n">
        <v>736</v>
      </c>
      <c r="BW157" s="111" t="n">
        <v>21</v>
      </c>
      <c r="BX157" s="14" t="s">
        <v>4483</v>
      </c>
    </row>
    <row r="158">
      <c r="A158" s="154"/>
      <c r="B158" s="155"/>
      <c r="C158" s="155"/>
      <c r="D158" s="156" t="s">
        <v>4484</v>
      </c>
      <c r="E158" s="156" t="s">
        <v>4485</v>
      </c>
      <c r="F158" s="155"/>
      <c r="G158" s="157" t="n">
        <v>4</v>
      </c>
      <c r="H158" s="155"/>
      <c r="I158" s="155"/>
      <c r="J158" s="155"/>
      <c r="K158" s="146"/>
    </row>
    <row r="159">
      <c r="A159" s="154"/>
      <c r="B159" s="155"/>
      <c r="C159" s="155"/>
      <c r="D159" s="156" t="s">
        <v>4486</v>
      </c>
      <c r="E159" s="156" t="s">
        <v>4487</v>
      </c>
      <c r="F159" s="155"/>
      <c r="G159" s="157" t="n">
        <v>13.3</v>
      </c>
      <c r="H159" s="155"/>
      <c r="I159" s="155"/>
      <c r="J159" s="155"/>
      <c r="K159" s="146"/>
    </row>
    <row r="160">
      <c r="A160" s="154"/>
      <c r="B160" s="155"/>
      <c r="C160" s="155"/>
      <c r="D160" s="156" t="s">
        <v>4475</v>
      </c>
      <c r="E160" s="156" t="s">
        <v>4488</v>
      </c>
      <c r="F160" s="155"/>
      <c r="G160" s="157" t="n">
        <v>3.8</v>
      </c>
      <c r="H160" s="155"/>
      <c r="I160" s="155"/>
      <c r="J160" s="155"/>
      <c r="K160" s="146"/>
    </row>
    <row r="161" ht="24.75">
      <c r="A161" s="9" t="s">
        <v>812</v>
      </c>
      <c r="B161" s="10" t="s">
        <v>91</v>
      </c>
      <c r="C161" s="10" t="s">
        <v>4490</v>
      </c>
      <c r="D161" s="14" t="s">
        <v>4491</v>
      </c>
      <c r="E161" s="10"/>
      <c r="F161" s="10" t="s">
        <v>145</v>
      </c>
      <c r="G161" s="111">
        <f>'Stavební rozpočet'!G2801</f>
      </c>
      <c r="H161" s="111">
        <f>'Stavební rozpočet'!H2801</f>
      </c>
      <c r="I161" s="111">
        <f>G161*H161</f>
      </c>
      <c r="J161" s="153" t="s">
        <v>4</v>
      </c>
      <c r="K161" s="146"/>
      <c r="Z161" s="111">
        <f>IF(AQ161="5",BJ161,0)</f>
      </c>
      <c r="AB161" s="111">
        <f>IF(AQ161="1",BH161,0)</f>
      </c>
      <c r="AC161" s="111">
        <f>IF(AQ161="1",BI161,0)</f>
      </c>
      <c r="AD161" s="111">
        <f>IF(AQ161="7",BH161,0)</f>
      </c>
      <c r="AE161" s="111">
        <f>IF(AQ161="7",BI161,0)</f>
      </c>
      <c r="AF161" s="111">
        <f>IF(AQ161="2",BH161,0)</f>
      </c>
      <c r="AG161" s="111">
        <f>IF(AQ161="2",BI161,0)</f>
      </c>
      <c r="AH161" s="111">
        <f>IF(AQ161="0",BJ161,0)</f>
      </c>
      <c r="AI161" s="132" t="s">
        <v>91</v>
      </c>
      <c r="AJ161" s="111">
        <f>IF(AN161=0,I161,0)</f>
      </c>
      <c r="AK161" s="111">
        <f>IF(AN161=12,I161,0)</f>
      </c>
      <c r="AL161" s="111">
        <f>IF(AN161=21,I161,0)</f>
      </c>
      <c r="AN161" s="111" t="n">
        <v>21</v>
      </c>
      <c r="AO161" s="111">
        <f>H161*0</f>
      </c>
      <c r="AP161" s="111">
        <f>H161*(1-0)</f>
      </c>
      <c r="AQ161" s="153" t="s">
        <v>173</v>
      </c>
      <c r="AV161" s="111">
        <f>AW161+AX161</f>
      </c>
      <c r="AW161" s="111">
        <f>G161*AO161</f>
      </c>
      <c r="AX161" s="111">
        <f>G161*AP161</f>
      </c>
      <c r="AY161" s="153" t="s">
        <v>1987</v>
      </c>
      <c r="AZ161" s="153" t="s">
        <v>4215</v>
      </c>
      <c r="BA161" s="132" t="s">
        <v>4138</v>
      </c>
      <c r="BC161" s="111">
        <f>AW161+AX161</f>
      </c>
      <c r="BD161" s="111">
        <f>H161/(100-BE161)*100</f>
      </c>
      <c r="BE161" s="111" t="n">
        <v>0</v>
      </c>
      <c r="BF161" s="111">
        <f>161</f>
      </c>
      <c r="BH161" s="111">
        <f>G161*AO161</f>
      </c>
      <c r="BI161" s="111">
        <f>G161*AP161</f>
      </c>
      <c r="BJ161" s="111">
        <f>G161*H161</f>
      </c>
      <c r="BK161" s="111"/>
      <c r="BL161" s="111" t="n">
        <v>736</v>
      </c>
      <c r="BW161" s="111" t="n">
        <v>21</v>
      </c>
      <c r="BX161" s="14" t="s">
        <v>4491</v>
      </c>
    </row>
    <row r="162">
      <c r="A162" s="154"/>
      <c r="B162" s="155"/>
      <c r="C162" s="155"/>
      <c r="D162" s="156" t="s">
        <v>4194</v>
      </c>
      <c r="E162" s="156" t="s">
        <v>4492</v>
      </c>
      <c r="F162" s="155"/>
      <c r="G162" s="157" t="n">
        <v>10</v>
      </c>
      <c r="H162" s="155"/>
      <c r="I162" s="155"/>
      <c r="J162" s="155"/>
      <c r="K162" s="146"/>
    </row>
    <row r="163">
      <c r="A163" s="154"/>
      <c r="B163" s="155"/>
      <c r="C163" s="155"/>
      <c r="D163" s="156" t="s">
        <v>4493</v>
      </c>
      <c r="E163" s="156" t="s">
        <v>4494</v>
      </c>
      <c r="F163" s="155"/>
      <c r="G163" s="157" t="n">
        <v>15</v>
      </c>
      <c r="H163" s="155"/>
      <c r="I163" s="155"/>
      <c r="J163" s="155"/>
      <c r="K163" s="146"/>
    </row>
    <row r="164">
      <c r="A164" s="154"/>
      <c r="B164" s="155"/>
      <c r="C164" s="155"/>
      <c r="D164" s="156" t="s">
        <v>4495</v>
      </c>
      <c r="E164" s="156" t="s">
        <v>4496</v>
      </c>
      <c r="F164" s="155"/>
      <c r="G164" s="157" t="n">
        <v>74.5</v>
      </c>
      <c r="H164" s="155"/>
      <c r="I164" s="155"/>
      <c r="J164" s="155"/>
      <c r="K164" s="146"/>
    </row>
    <row r="165" ht="24.75">
      <c r="A165" s="9" t="s">
        <v>815</v>
      </c>
      <c r="B165" s="10" t="s">
        <v>91</v>
      </c>
      <c r="C165" s="10" t="s">
        <v>4498</v>
      </c>
      <c r="D165" s="14" t="s">
        <v>4499</v>
      </c>
      <c r="E165" s="10"/>
      <c r="F165" s="10" t="s">
        <v>145</v>
      </c>
      <c r="G165" s="111">
        <f>'Stavební rozpočet'!G2805</f>
      </c>
      <c r="H165" s="111">
        <f>'Stavební rozpočet'!H2805</f>
      </c>
      <c r="I165" s="111">
        <f>G165*H165</f>
      </c>
      <c r="J165" s="153" t="s">
        <v>4</v>
      </c>
      <c r="K165" s="146"/>
      <c r="Z165" s="111">
        <f>IF(AQ165="5",BJ165,0)</f>
      </c>
      <c r="AB165" s="111">
        <f>IF(AQ165="1",BH165,0)</f>
      </c>
      <c r="AC165" s="111">
        <f>IF(AQ165="1",BI165,0)</f>
      </c>
      <c r="AD165" s="111">
        <f>IF(AQ165="7",BH165,0)</f>
      </c>
      <c r="AE165" s="111">
        <f>IF(AQ165="7",BI165,0)</f>
      </c>
      <c r="AF165" s="111">
        <f>IF(AQ165="2",BH165,0)</f>
      </c>
      <c r="AG165" s="111">
        <f>IF(AQ165="2",BI165,0)</f>
      </c>
      <c r="AH165" s="111">
        <f>IF(AQ165="0",BJ165,0)</f>
      </c>
      <c r="AI165" s="132" t="s">
        <v>91</v>
      </c>
      <c r="AJ165" s="111">
        <f>IF(AN165=0,I165,0)</f>
      </c>
      <c r="AK165" s="111">
        <f>IF(AN165=12,I165,0)</f>
      </c>
      <c r="AL165" s="111">
        <f>IF(AN165=21,I165,0)</f>
      </c>
      <c r="AN165" s="111" t="n">
        <v>21</v>
      </c>
      <c r="AO165" s="111">
        <f>H165*0</f>
      </c>
      <c r="AP165" s="111">
        <f>H165*(1-0)</f>
      </c>
      <c r="AQ165" s="153" t="s">
        <v>173</v>
      </c>
      <c r="AV165" s="111">
        <f>AW165+AX165</f>
      </c>
      <c r="AW165" s="111">
        <f>G165*AO165</f>
      </c>
      <c r="AX165" s="111">
        <f>G165*AP165</f>
      </c>
      <c r="AY165" s="153" t="s">
        <v>1987</v>
      </c>
      <c r="AZ165" s="153" t="s">
        <v>4215</v>
      </c>
      <c r="BA165" s="132" t="s">
        <v>4138</v>
      </c>
      <c r="BC165" s="111">
        <f>AW165+AX165</f>
      </c>
      <c r="BD165" s="111">
        <f>H165/(100-BE165)*100</f>
      </c>
      <c r="BE165" s="111" t="n">
        <v>0</v>
      </c>
      <c r="BF165" s="111">
        <f>165</f>
      </c>
      <c r="BH165" s="111">
        <f>G165*AO165</f>
      </c>
      <c r="BI165" s="111">
        <f>G165*AP165</f>
      </c>
      <c r="BJ165" s="111">
        <f>G165*H165</f>
      </c>
      <c r="BK165" s="111"/>
      <c r="BL165" s="111" t="n">
        <v>736</v>
      </c>
      <c r="BW165" s="111" t="n">
        <v>21</v>
      </c>
      <c r="BX165" s="14" t="s">
        <v>4499</v>
      </c>
    </row>
    <row r="166">
      <c r="A166" s="154"/>
      <c r="B166" s="155"/>
      <c r="C166" s="155"/>
      <c r="D166" s="156" t="s">
        <v>4500</v>
      </c>
      <c r="E166" s="156" t="s">
        <v>4501</v>
      </c>
      <c r="F166" s="155"/>
      <c r="G166" s="157" t="n">
        <v>9</v>
      </c>
      <c r="H166" s="155"/>
      <c r="I166" s="155"/>
      <c r="J166" s="155"/>
      <c r="K166" s="146"/>
    </row>
    <row r="167">
      <c r="A167" s="154"/>
      <c r="B167" s="155"/>
      <c r="C167" s="155"/>
      <c r="D167" s="156" t="s">
        <v>4502</v>
      </c>
      <c r="E167" s="156" t="s">
        <v>4503</v>
      </c>
      <c r="F167" s="155"/>
      <c r="G167" s="157" t="n">
        <v>9.6</v>
      </c>
      <c r="H167" s="155"/>
      <c r="I167" s="155"/>
      <c r="J167" s="155"/>
      <c r="K167" s="146"/>
    </row>
    <row r="168">
      <c r="A168" s="154"/>
      <c r="B168" s="155"/>
      <c r="C168" s="155"/>
      <c r="D168" s="156" t="s">
        <v>4504</v>
      </c>
      <c r="E168" s="156" t="s">
        <v>4505</v>
      </c>
      <c r="F168" s="155"/>
      <c r="G168" s="157" t="n">
        <v>1.8</v>
      </c>
      <c r="H168" s="155"/>
      <c r="I168" s="155"/>
      <c r="J168" s="155"/>
      <c r="K168" s="146"/>
    </row>
    <row r="169">
      <c r="A169" s="154"/>
      <c r="B169" s="155"/>
      <c r="C169" s="155"/>
      <c r="D169" s="156" t="s">
        <v>4506</v>
      </c>
      <c r="E169" s="156" t="s">
        <v>4507</v>
      </c>
      <c r="F169" s="155"/>
      <c r="G169" s="157" t="n">
        <v>15.8</v>
      </c>
      <c r="H169" s="155"/>
      <c r="I169" s="155"/>
      <c r="J169" s="155"/>
      <c r="K169" s="146"/>
    </row>
    <row r="170">
      <c r="A170" s="154"/>
      <c r="B170" s="155"/>
      <c r="C170" s="155"/>
      <c r="D170" s="156" t="s">
        <v>4508</v>
      </c>
      <c r="E170" s="156" t="s">
        <v>4509</v>
      </c>
      <c r="F170" s="155"/>
      <c r="G170" s="157" t="n">
        <v>31.8</v>
      </c>
      <c r="H170" s="155"/>
      <c r="I170" s="155"/>
      <c r="J170" s="155"/>
      <c r="K170" s="146"/>
    </row>
    <row r="171">
      <c r="A171" s="154"/>
      <c r="B171" s="155"/>
      <c r="C171" s="155"/>
      <c r="D171" s="156" t="s">
        <v>4510</v>
      </c>
      <c r="E171" s="156" t="s">
        <v>4511</v>
      </c>
      <c r="F171" s="155"/>
      <c r="G171" s="157" t="n">
        <v>77.6</v>
      </c>
      <c r="H171" s="155"/>
      <c r="I171" s="155"/>
      <c r="J171" s="155"/>
      <c r="K171" s="146"/>
    </row>
    <row r="172">
      <c r="A172" s="154"/>
      <c r="B172" s="155"/>
      <c r="C172" s="155"/>
      <c r="D172" s="156" t="s">
        <v>4512</v>
      </c>
      <c r="E172" s="156" t="s">
        <v>4513</v>
      </c>
      <c r="F172" s="155"/>
      <c r="G172" s="157" t="n">
        <v>13.7</v>
      </c>
      <c r="H172" s="155"/>
      <c r="I172" s="155"/>
      <c r="J172" s="155"/>
      <c r="K172" s="146"/>
    </row>
    <row r="173" ht="24.75">
      <c r="A173" s="9" t="s">
        <v>822</v>
      </c>
      <c r="B173" s="10" t="s">
        <v>91</v>
      </c>
      <c r="C173" s="10" t="s">
        <v>4515</v>
      </c>
      <c r="D173" s="14" t="s">
        <v>4516</v>
      </c>
      <c r="E173" s="10"/>
      <c r="F173" s="10" t="s">
        <v>133</v>
      </c>
      <c r="G173" s="111">
        <f>'Stavební rozpočet'!G2813</f>
      </c>
      <c r="H173" s="111">
        <f>'Stavební rozpočet'!H2813</f>
      </c>
      <c r="I173" s="111">
        <f>G173*H173</f>
      </c>
      <c r="J173" s="153" t="s">
        <v>4</v>
      </c>
      <c r="K173" s="146"/>
      <c r="Z173" s="111">
        <f>IF(AQ173="5",BJ173,0)</f>
      </c>
      <c r="AB173" s="111">
        <f>IF(AQ173="1",BH173,0)</f>
      </c>
      <c r="AC173" s="111">
        <f>IF(AQ173="1",BI173,0)</f>
      </c>
      <c r="AD173" s="111">
        <f>IF(AQ173="7",BH173,0)</f>
      </c>
      <c r="AE173" s="111">
        <f>IF(AQ173="7",BI173,0)</f>
      </c>
      <c r="AF173" s="111">
        <f>IF(AQ173="2",BH173,0)</f>
      </c>
      <c r="AG173" s="111">
        <f>IF(AQ173="2",BI173,0)</f>
      </c>
      <c r="AH173" s="111">
        <f>IF(AQ173="0",BJ173,0)</f>
      </c>
      <c r="AI173" s="132" t="s">
        <v>91</v>
      </c>
      <c r="AJ173" s="111">
        <f>IF(AN173=0,I173,0)</f>
      </c>
      <c r="AK173" s="111">
        <f>IF(AN173=12,I173,0)</f>
      </c>
      <c r="AL173" s="111">
        <f>IF(AN173=21,I173,0)</f>
      </c>
      <c r="AN173" s="111" t="n">
        <v>21</v>
      </c>
      <c r="AO173" s="111">
        <f>H173*0</f>
      </c>
      <c r="AP173" s="111">
        <f>H173*(1-0)</f>
      </c>
      <c r="AQ173" s="153" t="s">
        <v>173</v>
      </c>
      <c r="AV173" s="111">
        <f>AW173+AX173</f>
      </c>
      <c r="AW173" s="111">
        <f>G173*AO173</f>
      </c>
      <c r="AX173" s="111">
        <f>G173*AP173</f>
      </c>
      <c r="AY173" s="153" t="s">
        <v>1987</v>
      </c>
      <c r="AZ173" s="153" t="s">
        <v>4215</v>
      </c>
      <c r="BA173" s="132" t="s">
        <v>4138</v>
      </c>
      <c r="BC173" s="111">
        <f>AW173+AX173</f>
      </c>
      <c r="BD173" s="111">
        <f>H173/(100-BE173)*100</f>
      </c>
      <c r="BE173" s="111" t="n">
        <v>0</v>
      </c>
      <c r="BF173" s="111">
        <f>173</f>
      </c>
      <c r="BH173" s="111">
        <f>G173*AO173</f>
      </c>
      <c r="BI173" s="111">
        <f>G173*AP173</f>
      </c>
      <c r="BJ173" s="111">
        <f>G173*H173</f>
      </c>
      <c r="BK173" s="111"/>
      <c r="BL173" s="111" t="n">
        <v>736</v>
      </c>
      <c r="BW173" s="111" t="n">
        <v>21</v>
      </c>
      <c r="BX173" s="14" t="s">
        <v>4516</v>
      </c>
    </row>
    <row r="174">
      <c r="A174" s="154"/>
      <c r="B174" s="155"/>
      <c r="C174" s="155"/>
      <c r="D174" s="156" t="s">
        <v>3910</v>
      </c>
      <c r="E174" s="156" t="s">
        <v>4511</v>
      </c>
      <c r="F174" s="155"/>
      <c r="G174" s="157" t="n">
        <v>1</v>
      </c>
      <c r="H174" s="155"/>
      <c r="I174" s="155"/>
      <c r="J174" s="155"/>
      <c r="K174" s="146"/>
    </row>
    <row r="175">
      <c r="A175" s="154"/>
      <c r="B175" s="155"/>
      <c r="C175" s="155"/>
      <c r="D175" s="156" t="s">
        <v>3910</v>
      </c>
      <c r="E175" s="156" t="s">
        <v>4496</v>
      </c>
      <c r="F175" s="155"/>
      <c r="G175" s="157" t="n">
        <v>1</v>
      </c>
      <c r="H175" s="155"/>
      <c r="I175" s="155"/>
      <c r="J175" s="155"/>
      <c r="K175" s="146"/>
    </row>
    <row r="176" ht="24.75">
      <c r="A176" s="9" t="s">
        <v>825</v>
      </c>
      <c r="B176" s="10" t="s">
        <v>91</v>
      </c>
      <c r="C176" s="10" t="s">
        <v>4518</v>
      </c>
      <c r="D176" s="14" t="s">
        <v>4519</v>
      </c>
      <c r="E176" s="10"/>
      <c r="F176" s="10" t="s">
        <v>133</v>
      </c>
      <c r="G176" s="111">
        <f>'Stavební rozpočet'!G2816</f>
      </c>
      <c r="H176" s="111">
        <f>'Stavební rozpočet'!H2816</f>
      </c>
      <c r="I176" s="111">
        <f>G176*H176</f>
      </c>
      <c r="J176" s="153" t="s">
        <v>4</v>
      </c>
      <c r="K176" s="146"/>
      <c r="Z176" s="111">
        <f>IF(AQ176="5",BJ176,0)</f>
      </c>
      <c r="AB176" s="111">
        <f>IF(AQ176="1",BH176,0)</f>
      </c>
      <c r="AC176" s="111">
        <f>IF(AQ176="1",BI176,0)</f>
      </c>
      <c r="AD176" s="111">
        <f>IF(AQ176="7",BH176,0)</f>
      </c>
      <c r="AE176" s="111">
        <f>IF(AQ176="7",BI176,0)</f>
      </c>
      <c r="AF176" s="111">
        <f>IF(AQ176="2",BH176,0)</f>
      </c>
      <c r="AG176" s="111">
        <f>IF(AQ176="2",BI176,0)</f>
      </c>
      <c r="AH176" s="111">
        <f>IF(AQ176="0",BJ176,0)</f>
      </c>
      <c r="AI176" s="132" t="s">
        <v>91</v>
      </c>
      <c r="AJ176" s="111">
        <f>IF(AN176=0,I176,0)</f>
      </c>
      <c r="AK176" s="111">
        <f>IF(AN176=12,I176,0)</f>
      </c>
      <c r="AL176" s="111">
        <f>IF(AN176=21,I176,0)</f>
      </c>
      <c r="AN176" s="111" t="n">
        <v>21</v>
      </c>
      <c r="AO176" s="111">
        <f>H176*0</f>
      </c>
      <c r="AP176" s="111">
        <f>H176*(1-0)</f>
      </c>
      <c r="AQ176" s="153" t="s">
        <v>173</v>
      </c>
      <c r="AV176" s="111">
        <f>AW176+AX176</f>
      </c>
      <c r="AW176" s="111">
        <f>G176*AO176</f>
      </c>
      <c r="AX176" s="111">
        <f>G176*AP176</f>
      </c>
      <c r="AY176" s="153" t="s">
        <v>1987</v>
      </c>
      <c r="AZ176" s="153" t="s">
        <v>4215</v>
      </c>
      <c r="BA176" s="132" t="s">
        <v>4138</v>
      </c>
      <c r="BC176" s="111">
        <f>AW176+AX176</f>
      </c>
      <c r="BD176" s="111">
        <f>H176/(100-BE176)*100</f>
      </c>
      <c r="BE176" s="111" t="n">
        <v>0</v>
      </c>
      <c r="BF176" s="111">
        <f>176</f>
      </c>
      <c r="BH176" s="111">
        <f>G176*AO176</f>
      </c>
      <c r="BI176" s="111">
        <f>G176*AP176</f>
      </c>
      <c r="BJ176" s="111">
        <f>G176*H176</f>
      </c>
      <c r="BK176" s="111"/>
      <c r="BL176" s="111" t="n">
        <v>736</v>
      </c>
      <c r="BW176" s="111" t="n">
        <v>21</v>
      </c>
      <c r="BX176" s="14" t="s">
        <v>4519</v>
      </c>
    </row>
    <row r="177" ht="24.75">
      <c r="A177" s="9" t="s">
        <v>831</v>
      </c>
      <c r="B177" s="10" t="s">
        <v>91</v>
      </c>
      <c r="C177" s="10" t="s">
        <v>4521</v>
      </c>
      <c r="D177" s="14" t="s">
        <v>4522</v>
      </c>
      <c r="E177" s="10"/>
      <c r="F177" s="10" t="s">
        <v>133</v>
      </c>
      <c r="G177" s="111">
        <f>'Stavební rozpočet'!G2817</f>
      </c>
      <c r="H177" s="111">
        <f>'Stavební rozpočet'!H2817</f>
      </c>
      <c r="I177" s="111">
        <f>G177*H177</f>
      </c>
      <c r="J177" s="153" t="s">
        <v>4</v>
      </c>
      <c r="K177" s="146"/>
      <c r="Z177" s="111">
        <f>IF(AQ177="5",BJ177,0)</f>
      </c>
      <c r="AB177" s="111">
        <f>IF(AQ177="1",BH177,0)</f>
      </c>
      <c r="AC177" s="111">
        <f>IF(AQ177="1",BI177,0)</f>
      </c>
      <c r="AD177" s="111">
        <f>IF(AQ177="7",BH177,0)</f>
      </c>
      <c r="AE177" s="111">
        <f>IF(AQ177="7",BI177,0)</f>
      </c>
      <c r="AF177" s="111">
        <f>IF(AQ177="2",BH177,0)</f>
      </c>
      <c r="AG177" s="111">
        <f>IF(AQ177="2",BI177,0)</f>
      </c>
      <c r="AH177" s="111">
        <f>IF(AQ177="0",BJ177,0)</f>
      </c>
      <c r="AI177" s="132" t="s">
        <v>91</v>
      </c>
      <c r="AJ177" s="111">
        <f>IF(AN177=0,I177,0)</f>
      </c>
      <c r="AK177" s="111">
        <f>IF(AN177=12,I177,0)</f>
      </c>
      <c r="AL177" s="111">
        <f>IF(AN177=21,I177,0)</f>
      </c>
      <c r="AN177" s="111" t="n">
        <v>21</v>
      </c>
      <c r="AO177" s="111">
        <f>H177*0</f>
      </c>
      <c r="AP177" s="111">
        <f>H177*(1-0)</f>
      </c>
      <c r="AQ177" s="153" t="s">
        <v>173</v>
      </c>
      <c r="AV177" s="111">
        <f>AW177+AX177</f>
      </c>
      <c r="AW177" s="111">
        <f>G177*AO177</f>
      </c>
      <c r="AX177" s="111">
        <f>G177*AP177</f>
      </c>
      <c r="AY177" s="153" t="s">
        <v>1987</v>
      </c>
      <c r="AZ177" s="153" t="s">
        <v>4215</v>
      </c>
      <c r="BA177" s="132" t="s">
        <v>4138</v>
      </c>
      <c r="BC177" s="111">
        <f>AW177+AX177</f>
      </c>
      <c r="BD177" s="111">
        <f>H177/(100-BE177)*100</f>
      </c>
      <c r="BE177" s="111" t="n">
        <v>0</v>
      </c>
      <c r="BF177" s="111">
        <f>177</f>
      </c>
      <c r="BH177" s="111">
        <f>G177*AO177</f>
      </c>
      <c r="BI177" s="111">
        <f>G177*AP177</f>
      </c>
      <c r="BJ177" s="111">
        <f>G177*H177</f>
      </c>
      <c r="BK177" s="111"/>
      <c r="BL177" s="111" t="n">
        <v>736</v>
      </c>
      <c r="BW177" s="111" t="n">
        <v>21</v>
      </c>
      <c r="BX177" s="14" t="s">
        <v>4522</v>
      </c>
    </row>
    <row r="178" ht="24.75">
      <c r="A178" s="9" t="s">
        <v>837</v>
      </c>
      <c r="B178" s="10" t="s">
        <v>91</v>
      </c>
      <c r="C178" s="10" t="s">
        <v>4524</v>
      </c>
      <c r="D178" s="14" t="s">
        <v>4525</v>
      </c>
      <c r="E178" s="10"/>
      <c r="F178" s="10" t="s">
        <v>133</v>
      </c>
      <c r="G178" s="111">
        <f>'Stavební rozpočet'!G2818</f>
      </c>
      <c r="H178" s="111">
        <f>'Stavební rozpočet'!H2818</f>
      </c>
      <c r="I178" s="111">
        <f>G178*H178</f>
      </c>
      <c r="J178" s="153" t="s">
        <v>4</v>
      </c>
      <c r="K178" s="146"/>
      <c r="Z178" s="111">
        <f>IF(AQ178="5",BJ178,0)</f>
      </c>
      <c r="AB178" s="111">
        <f>IF(AQ178="1",BH178,0)</f>
      </c>
      <c r="AC178" s="111">
        <f>IF(AQ178="1",BI178,0)</f>
      </c>
      <c r="AD178" s="111">
        <f>IF(AQ178="7",BH178,0)</f>
      </c>
      <c r="AE178" s="111">
        <f>IF(AQ178="7",BI178,0)</f>
      </c>
      <c r="AF178" s="111">
        <f>IF(AQ178="2",BH178,0)</f>
      </c>
      <c r="AG178" s="111">
        <f>IF(AQ178="2",BI178,0)</f>
      </c>
      <c r="AH178" s="111">
        <f>IF(AQ178="0",BJ178,0)</f>
      </c>
      <c r="AI178" s="132" t="s">
        <v>91</v>
      </c>
      <c r="AJ178" s="111">
        <f>IF(AN178=0,I178,0)</f>
      </c>
      <c r="AK178" s="111">
        <f>IF(AN178=12,I178,0)</f>
      </c>
      <c r="AL178" s="111">
        <f>IF(AN178=21,I178,0)</f>
      </c>
      <c r="AN178" s="111" t="n">
        <v>21</v>
      </c>
      <c r="AO178" s="111">
        <f>H178*0</f>
      </c>
      <c r="AP178" s="111">
        <f>H178*(1-0)</f>
      </c>
      <c r="AQ178" s="153" t="s">
        <v>173</v>
      </c>
      <c r="AV178" s="111">
        <f>AW178+AX178</f>
      </c>
      <c r="AW178" s="111">
        <f>G178*AO178</f>
      </c>
      <c r="AX178" s="111">
        <f>G178*AP178</f>
      </c>
      <c r="AY178" s="153" t="s">
        <v>1987</v>
      </c>
      <c r="AZ178" s="153" t="s">
        <v>4215</v>
      </c>
      <c r="BA178" s="132" t="s">
        <v>4138</v>
      </c>
      <c r="BC178" s="111">
        <f>AW178+AX178</f>
      </c>
      <c r="BD178" s="111">
        <f>H178/(100-BE178)*100</f>
      </c>
      <c r="BE178" s="111" t="n">
        <v>0</v>
      </c>
      <c r="BF178" s="111">
        <f>178</f>
      </c>
      <c r="BH178" s="111">
        <f>G178*AO178</f>
      </c>
      <c r="BI178" s="111">
        <f>G178*AP178</f>
      </c>
      <c r="BJ178" s="111">
        <f>G178*H178</f>
      </c>
      <c r="BK178" s="111"/>
      <c r="BL178" s="111" t="n">
        <v>736</v>
      </c>
      <c r="BW178" s="111" t="n">
        <v>21</v>
      </c>
      <c r="BX178" s="14" t="s">
        <v>4525</v>
      </c>
    </row>
    <row r="179">
      <c r="A179" s="9" t="s">
        <v>842</v>
      </c>
      <c r="B179" s="10" t="s">
        <v>91</v>
      </c>
      <c r="C179" s="10" t="s">
        <v>4527</v>
      </c>
      <c r="D179" s="14" t="s">
        <v>4528</v>
      </c>
      <c r="E179" s="10"/>
      <c r="F179" s="10" t="s">
        <v>282</v>
      </c>
      <c r="G179" s="111">
        <f>'Stavební rozpočet'!G2819</f>
      </c>
      <c r="H179" s="111">
        <f>'Stavební rozpočet'!H2819</f>
      </c>
      <c r="I179" s="111">
        <f>G179*H179</f>
      </c>
      <c r="J179" s="153" t="s">
        <v>4</v>
      </c>
      <c r="K179" s="146"/>
      <c r="Z179" s="111">
        <f>IF(AQ179="5",BJ179,0)</f>
      </c>
      <c r="AB179" s="111">
        <f>IF(AQ179="1",BH179,0)</f>
      </c>
      <c r="AC179" s="111">
        <f>IF(AQ179="1",BI179,0)</f>
      </c>
      <c r="AD179" s="111">
        <f>IF(AQ179="7",BH179,0)</f>
      </c>
      <c r="AE179" s="111">
        <f>IF(AQ179="7",BI179,0)</f>
      </c>
      <c r="AF179" s="111">
        <f>IF(AQ179="2",BH179,0)</f>
      </c>
      <c r="AG179" s="111">
        <f>IF(AQ179="2",BI179,0)</f>
      </c>
      <c r="AH179" s="111">
        <f>IF(AQ179="0",BJ179,0)</f>
      </c>
      <c r="AI179" s="132" t="s">
        <v>91</v>
      </c>
      <c r="AJ179" s="111">
        <f>IF(AN179=0,I179,0)</f>
      </c>
      <c r="AK179" s="111">
        <f>IF(AN179=12,I179,0)</f>
      </c>
      <c r="AL179" s="111">
        <f>IF(AN179=21,I179,0)</f>
      </c>
      <c r="AN179" s="111" t="n">
        <v>21</v>
      </c>
      <c r="AO179" s="111">
        <f>H179*0</f>
      </c>
      <c r="AP179" s="111">
        <f>H179*(1-0)</f>
      </c>
      <c r="AQ179" s="153" t="s">
        <v>173</v>
      </c>
      <c r="AV179" s="111">
        <f>AW179+AX179</f>
      </c>
      <c r="AW179" s="111">
        <f>G179*AO179</f>
      </c>
      <c r="AX179" s="111">
        <f>G179*AP179</f>
      </c>
      <c r="AY179" s="153" t="s">
        <v>1987</v>
      </c>
      <c r="AZ179" s="153" t="s">
        <v>4215</v>
      </c>
      <c r="BA179" s="132" t="s">
        <v>4138</v>
      </c>
      <c r="BC179" s="111">
        <f>AW179+AX179</f>
      </c>
      <c r="BD179" s="111">
        <f>H179/(100-BE179)*100</f>
      </c>
      <c r="BE179" s="111" t="n">
        <v>0</v>
      </c>
      <c r="BF179" s="111">
        <f>179</f>
      </c>
      <c r="BH179" s="111">
        <f>G179*AO179</f>
      </c>
      <c r="BI179" s="111">
        <f>G179*AP179</f>
      </c>
      <c r="BJ179" s="111">
        <f>G179*H179</f>
      </c>
      <c r="BK179" s="111"/>
      <c r="BL179" s="111" t="n">
        <v>736</v>
      </c>
      <c r="BW179" s="111" t="n">
        <v>21</v>
      </c>
      <c r="BX179" s="14" t="s">
        <v>4528</v>
      </c>
    </row>
    <row r="180">
      <c r="A180" s="154"/>
      <c r="B180" s="155"/>
      <c r="C180" s="155"/>
      <c r="D180" s="156" t="s">
        <v>4198</v>
      </c>
      <c r="E180" s="156" t="s">
        <v>4</v>
      </c>
      <c r="F180" s="155"/>
      <c r="G180" s="157" t="n">
        <v>74</v>
      </c>
      <c r="H180" s="155"/>
      <c r="I180" s="155"/>
      <c r="J180" s="155"/>
      <c r="K180" s="146"/>
    </row>
    <row r="181">
      <c r="A181" s="154"/>
      <c r="B181" s="155"/>
      <c r="C181" s="155"/>
      <c r="D181" s="156" t="s">
        <v>4189</v>
      </c>
      <c r="E181" s="156" t="s">
        <v>4</v>
      </c>
      <c r="F181" s="155"/>
      <c r="G181" s="157" t="n">
        <v>54</v>
      </c>
      <c r="H181" s="155"/>
      <c r="I181" s="155"/>
      <c r="J181" s="155"/>
      <c r="K181" s="146"/>
    </row>
    <row r="182">
      <c r="A182" s="154"/>
      <c r="B182" s="155"/>
      <c r="C182" s="155"/>
      <c r="D182" s="156" t="s">
        <v>4529</v>
      </c>
      <c r="E182" s="156" t="s">
        <v>4</v>
      </c>
      <c r="F182" s="155"/>
      <c r="G182" s="157" t="n">
        <v>38</v>
      </c>
      <c r="H182" s="155"/>
      <c r="I182" s="155"/>
      <c r="J182" s="155"/>
      <c r="K182" s="146"/>
    </row>
    <row r="183" ht="24.75">
      <c r="A183" s="9" t="s">
        <v>847</v>
      </c>
      <c r="B183" s="10" t="s">
        <v>91</v>
      </c>
      <c r="C183" s="10" t="s">
        <v>4531</v>
      </c>
      <c r="D183" s="14" t="s">
        <v>4532</v>
      </c>
      <c r="E183" s="10"/>
      <c r="F183" s="10" t="s">
        <v>133</v>
      </c>
      <c r="G183" s="111">
        <f>'Stavební rozpočet'!G2823</f>
      </c>
      <c r="H183" s="111">
        <f>'Stavební rozpočet'!H2823</f>
      </c>
      <c r="I183" s="111">
        <f>G183*H183</f>
      </c>
      <c r="J183" s="153" t="s">
        <v>4</v>
      </c>
      <c r="K183" s="146"/>
      <c r="Z183" s="111">
        <f>IF(AQ183="5",BJ183,0)</f>
      </c>
      <c r="AB183" s="111">
        <f>IF(AQ183="1",BH183,0)</f>
      </c>
      <c r="AC183" s="111">
        <f>IF(AQ183="1",BI183,0)</f>
      </c>
      <c r="AD183" s="111">
        <f>IF(AQ183="7",BH183,0)</f>
      </c>
      <c r="AE183" s="111">
        <f>IF(AQ183="7",BI183,0)</f>
      </c>
      <c r="AF183" s="111">
        <f>IF(AQ183="2",BH183,0)</f>
      </c>
      <c r="AG183" s="111">
        <f>IF(AQ183="2",BI183,0)</f>
      </c>
      <c r="AH183" s="111">
        <f>IF(AQ183="0",BJ183,0)</f>
      </c>
      <c r="AI183" s="132" t="s">
        <v>91</v>
      </c>
      <c r="AJ183" s="111">
        <f>IF(AN183=0,I183,0)</f>
      </c>
      <c r="AK183" s="111">
        <f>IF(AN183=12,I183,0)</f>
      </c>
      <c r="AL183" s="111">
        <f>IF(AN183=21,I183,0)</f>
      </c>
      <c r="AN183" s="111" t="n">
        <v>21</v>
      </c>
      <c r="AO183" s="111">
        <f>H183*0</f>
      </c>
      <c r="AP183" s="111">
        <f>H183*(1-0)</f>
      </c>
      <c r="AQ183" s="153" t="s">
        <v>173</v>
      </c>
      <c r="AV183" s="111">
        <f>AW183+AX183</f>
      </c>
      <c r="AW183" s="111">
        <f>G183*AO183</f>
      </c>
      <c r="AX183" s="111">
        <f>G183*AP183</f>
      </c>
      <c r="AY183" s="153" t="s">
        <v>1987</v>
      </c>
      <c r="AZ183" s="153" t="s">
        <v>4215</v>
      </c>
      <c r="BA183" s="132" t="s">
        <v>4138</v>
      </c>
      <c r="BC183" s="111">
        <f>AW183+AX183</f>
      </c>
      <c r="BD183" s="111">
        <f>H183/(100-BE183)*100</f>
      </c>
      <c r="BE183" s="111" t="n">
        <v>0</v>
      </c>
      <c r="BF183" s="111">
        <f>183</f>
      </c>
      <c r="BH183" s="111">
        <f>G183*AO183</f>
      </c>
      <c r="BI183" s="111">
        <f>G183*AP183</f>
      </c>
      <c r="BJ183" s="111">
        <f>G183*H183</f>
      </c>
      <c r="BK183" s="111"/>
      <c r="BL183" s="111" t="n">
        <v>736</v>
      </c>
      <c r="BW183" s="111" t="n">
        <v>21</v>
      </c>
      <c r="BX183" s="14" t="s">
        <v>4532</v>
      </c>
    </row>
    <row r="184">
      <c r="A184" s="154"/>
      <c r="B184" s="155"/>
      <c r="C184" s="155"/>
      <c r="D184" s="156" t="s">
        <v>3910</v>
      </c>
      <c r="E184" s="156" t="s">
        <v>4496</v>
      </c>
      <c r="F184" s="155"/>
      <c r="G184" s="157" t="n">
        <v>1</v>
      </c>
      <c r="H184" s="155"/>
      <c r="I184" s="155"/>
      <c r="J184" s="155"/>
      <c r="K184" s="146"/>
    </row>
    <row r="185" ht="24.75">
      <c r="A185" s="9" t="s">
        <v>852</v>
      </c>
      <c r="B185" s="10" t="s">
        <v>91</v>
      </c>
      <c r="C185" s="10" t="s">
        <v>4534</v>
      </c>
      <c r="D185" s="14" t="s">
        <v>4535</v>
      </c>
      <c r="E185" s="10"/>
      <c r="F185" s="10" t="s">
        <v>133</v>
      </c>
      <c r="G185" s="111">
        <f>'Stavební rozpočet'!G2825</f>
      </c>
      <c r="H185" s="111">
        <f>'Stavební rozpočet'!H2825</f>
      </c>
      <c r="I185" s="111">
        <f>G185*H185</f>
      </c>
      <c r="J185" s="153" t="s">
        <v>4</v>
      </c>
      <c r="K185" s="146"/>
      <c r="Z185" s="111">
        <f>IF(AQ185="5",BJ185,0)</f>
      </c>
      <c r="AB185" s="111">
        <f>IF(AQ185="1",BH185,0)</f>
      </c>
      <c r="AC185" s="111">
        <f>IF(AQ185="1",BI185,0)</f>
      </c>
      <c r="AD185" s="111">
        <f>IF(AQ185="7",BH185,0)</f>
      </c>
      <c r="AE185" s="111">
        <f>IF(AQ185="7",BI185,0)</f>
      </c>
      <c r="AF185" s="111">
        <f>IF(AQ185="2",BH185,0)</f>
      </c>
      <c r="AG185" s="111">
        <f>IF(AQ185="2",BI185,0)</f>
      </c>
      <c r="AH185" s="111">
        <f>IF(AQ185="0",BJ185,0)</f>
      </c>
      <c r="AI185" s="132" t="s">
        <v>91</v>
      </c>
      <c r="AJ185" s="111">
        <f>IF(AN185=0,I185,0)</f>
      </c>
      <c r="AK185" s="111">
        <f>IF(AN185=12,I185,0)</f>
      </c>
      <c r="AL185" s="111">
        <f>IF(AN185=21,I185,0)</f>
      </c>
      <c r="AN185" s="111" t="n">
        <v>21</v>
      </c>
      <c r="AO185" s="111">
        <f>H185*0</f>
      </c>
      <c r="AP185" s="111">
        <f>H185*(1-0)</f>
      </c>
      <c r="AQ185" s="153" t="s">
        <v>173</v>
      </c>
      <c r="AV185" s="111">
        <f>AW185+AX185</f>
      </c>
      <c r="AW185" s="111">
        <f>G185*AO185</f>
      </c>
      <c r="AX185" s="111">
        <f>G185*AP185</f>
      </c>
      <c r="AY185" s="153" t="s">
        <v>1987</v>
      </c>
      <c r="AZ185" s="153" t="s">
        <v>4215</v>
      </c>
      <c r="BA185" s="132" t="s">
        <v>4138</v>
      </c>
      <c r="BC185" s="111">
        <f>AW185+AX185</f>
      </c>
      <c r="BD185" s="111">
        <f>H185/(100-BE185)*100</f>
      </c>
      <c r="BE185" s="111" t="n">
        <v>0</v>
      </c>
      <c r="BF185" s="111">
        <f>185</f>
      </c>
      <c r="BH185" s="111">
        <f>G185*AO185</f>
      </c>
      <c r="BI185" s="111">
        <f>G185*AP185</f>
      </c>
      <c r="BJ185" s="111">
        <f>G185*H185</f>
      </c>
      <c r="BK185" s="111"/>
      <c r="BL185" s="111" t="n">
        <v>736</v>
      </c>
      <c r="BW185" s="111" t="n">
        <v>21</v>
      </c>
      <c r="BX185" s="14" t="s">
        <v>4535</v>
      </c>
    </row>
    <row r="186">
      <c r="A186" s="154"/>
      <c r="B186" s="155"/>
      <c r="C186" s="155"/>
      <c r="D186" s="156" t="s">
        <v>3910</v>
      </c>
      <c r="E186" s="156" t="s">
        <v>4511</v>
      </c>
      <c r="F186" s="155"/>
      <c r="G186" s="157" t="n">
        <v>1</v>
      </c>
      <c r="H186" s="155"/>
      <c r="I186" s="155"/>
      <c r="J186" s="155"/>
      <c r="K186" s="146"/>
    </row>
    <row r="187" ht="24.75">
      <c r="A187" s="9" t="s">
        <v>856</v>
      </c>
      <c r="B187" s="10" t="s">
        <v>91</v>
      </c>
      <c r="C187" s="10" t="s">
        <v>4537</v>
      </c>
      <c r="D187" s="14" t="s">
        <v>4538</v>
      </c>
      <c r="E187" s="10"/>
      <c r="F187" s="10" t="s">
        <v>2277</v>
      </c>
      <c r="G187" s="111">
        <f>'Stavební rozpočet'!G2827</f>
      </c>
      <c r="H187" s="111">
        <f>'Stavební rozpočet'!H2827</f>
      </c>
      <c r="I187" s="111">
        <f>G187*H187</f>
      </c>
      <c r="J187" s="153" t="s">
        <v>4</v>
      </c>
      <c r="K187" s="146"/>
      <c r="Z187" s="111">
        <f>IF(AQ187="5",BJ187,0)</f>
      </c>
      <c r="AB187" s="111">
        <f>IF(AQ187="1",BH187,0)</f>
      </c>
      <c r="AC187" s="111">
        <f>IF(AQ187="1",BI187,0)</f>
      </c>
      <c r="AD187" s="111">
        <f>IF(AQ187="7",BH187,0)</f>
      </c>
      <c r="AE187" s="111">
        <f>IF(AQ187="7",BI187,0)</f>
      </c>
      <c r="AF187" s="111">
        <f>IF(AQ187="2",BH187,0)</f>
      </c>
      <c r="AG187" s="111">
        <f>IF(AQ187="2",BI187,0)</f>
      </c>
      <c r="AH187" s="111">
        <f>IF(AQ187="0",BJ187,0)</f>
      </c>
      <c r="AI187" s="132" t="s">
        <v>91</v>
      </c>
      <c r="AJ187" s="111">
        <f>IF(AN187=0,I187,0)</f>
      </c>
      <c r="AK187" s="111">
        <f>IF(AN187=12,I187,0)</f>
      </c>
      <c r="AL187" s="111">
        <f>IF(AN187=21,I187,0)</f>
      </c>
      <c r="AN187" s="111" t="n">
        <v>21</v>
      </c>
      <c r="AO187" s="111">
        <f>H187*0</f>
      </c>
      <c r="AP187" s="111">
        <f>H187*(1-0)</f>
      </c>
      <c r="AQ187" s="153" t="s">
        <v>173</v>
      </c>
      <c r="AV187" s="111">
        <f>AW187+AX187</f>
      </c>
      <c r="AW187" s="111">
        <f>G187*AO187</f>
      </c>
      <c r="AX187" s="111">
        <f>G187*AP187</f>
      </c>
      <c r="AY187" s="153" t="s">
        <v>1987</v>
      </c>
      <c r="AZ187" s="153" t="s">
        <v>4215</v>
      </c>
      <c r="BA187" s="132" t="s">
        <v>4138</v>
      </c>
      <c r="BC187" s="111">
        <f>AW187+AX187</f>
      </c>
      <c r="BD187" s="111">
        <f>H187/(100-BE187)*100</f>
      </c>
      <c r="BE187" s="111" t="n">
        <v>0</v>
      </c>
      <c r="BF187" s="111">
        <f>187</f>
      </c>
      <c r="BH187" s="111">
        <f>G187*AO187</f>
      </c>
      <c r="BI187" s="111">
        <f>G187*AP187</f>
      </c>
      <c r="BJ187" s="111">
        <f>G187*H187</f>
      </c>
      <c r="BK187" s="111"/>
      <c r="BL187" s="111" t="n">
        <v>736</v>
      </c>
      <c r="BW187" s="111" t="n">
        <v>21</v>
      </c>
      <c r="BX187" s="14" t="s">
        <v>4538</v>
      </c>
    </row>
    <row r="188">
      <c r="A188" s="154"/>
      <c r="B188" s="155"/>
      <c r="C188" s="155"/>
      <c r="D188" s="156" t="s">
        <v>3910</v>
      </c>
      <c r="E188" s="156" t="s">
        <v>4539</v>
      </c>
      <c r="F188" s="155"/>
      <c r="G188" s="157" t="n">
        <v>1</v>
      </c>
      <c r="H188" s="155"/>
      <c r="I188" s="155"/>
      <c r="J188" s="155"/>
      <c r="K188" s="146"/>
    </row>
    <row r="189">
      <c r="A189" s="9" t="s">
        <v>859</v>
      </c>
      <c r="B189" s="10" t="s">
        <v>91</v>
      </c>
      <c r="C189" s="10" t="s">
        <v>4541</v>
      </c>
      <c r="D189" s="14" t="s">
        <v>4542</v>
      </c>
      <c r="E189" s="10"/>
      <c r="F189" s="10" t="s">
        <v>61</v>
      </c>
      <c r="G189" s="111">
        <f>'Stavební rozpočet'!G2829</f>
      </c>
      <c r="H189" s="111">
        <f>'Stavební rozpočet'!H2829</f>
      </c>
      <c r="I189" s="111">
        <f>G189*H189</f>
      </c>
      <c r="J189" s="153" t="s">
        <v>4</v>
      </c>
      <c r="K189" s="146"/>
      <c r="Z189" s="111">
        <f>IF(AQ189="5",BJ189,0)</f>
      </c>
      <c r="AB189" s="111">
        <f>IF(AQ189="1",BH189,0)</f>
      </c>
      <c r="AC189" s="111">
        <f>IF(AQ189="1",BI189,0)</f>
      </c>
      <c r="AD189" s="111">
        <f>IF(AQ189="7",BH189,0)</f>
      </c>
      <c r="AE189" s="111">
        <f>IF(AQ189="7",BI189,0)</f>
      </c>
      <c r="AF189" s="111">
        <f>IF(AQ189="2",BH189,0)</f>
      </c>
      <c r="AG189" s="111">
        <f>IF(AQ189="2",BI189,0)</f>
      </c>
      <c r="AH189" s="111">
        <f>IF(AQ189="0",BJ189,0)</f>
      </c>
      <c r="AI189" s="132" t="s">
        <v>91</v>
      </c>
      <c r="AJ189" s="111">
        <f>IF(AN189=0,I189,0)</f>
      </c>
      <c r="AK189" s="111">
        <f>IF(AN189=12,I189,0)</f>
      </c>
      <c r="AL189" s="111">
        <f>IF(AN189=21,I189,0)</f>
      </c>
      <c r="AN189" s="111" t="n">
        <v>21</v>
      </c>
      <c r="AO189" s="111">
        <f>H189*0</f>
      </c>
      <c r="AP189" s="111">
        <f>H189*(1-0)</f>
      </c>
      <c r="AQ189" s="153" t="s">
        <v>173</v>
      </c>
      <c r="AV189" s="111">
        <f>AW189+AX189</f>
      </c>
      <c r="AW189" s="111">
        <f>G189*AO189</f>
      </c>
      <c r="AX189" s="111">
        <f>G189*AP189</f>
      </c>
      <c r="AY189" s="153" t="s">
        <v>1987</v>
      </c>
      <c r="AZ189" s="153" t="s">
        <v>4215</v>
      </c>
      <c r="BA189" s="132" t="s">
        <v>4138</v>
      </c>
      <c r="BC189" s="111">
        <f>AW189+AX189</f>
      </c>
      <c r="BD189" s="111">
        <f>H189/(100-BE189)*100</f>
      </c>
      <c r="BE189" s="111" t="n">
        <v>0</v>
      </c>
      <c r="BF189" s="111">
        <f>189</f>
      </c>
      <c r="BH189" s="111">
        <f>G189*AO189</f>
      </c>
      <c r="BI189" s="111">
        <f>G189*AP189</f>
      </c>
      <c r="BJ189" s="111">
        <f>G189*H189</f>
      </c>
      <c r="BK189" s="111"/>
      <c r="BL189" s="111" t="n">
        <v>736</v>
      </c>
      <c r="BW189" s="111" t="n">
        <v>21</v>
      </c>
      <c r="BX189" s="14" t="s">
        <v>4542</v>
      </c>
    </row>
    <row r="190">
      <c r="A190" s="147" t="s">
        <v>4</v>
      </c>
      <c r="B190" s="148" t="s">
        <v>91</v>
      </c>
      <c r="C190" s="148" t="s">
        <v>2272</v>
      </c>
      <c r="D190" s="149" t="s">
        <v>4102</v>
      </c>
      <c r="E190" s="148"/>
      <c r="F190" s="150" t="s">
        <v>79</v>
      </c>
      <c r="G190" s="150" t="s">
        <v>79</v>
      </c>
      <c r="H190" s="150" t="s">
        <v>79</v>
      </c>
      <c r="I190" s="117">
        <f>SUM(I191:I196)</f>
      </c>
      <c r="J190" s="132" t="s">
        <v>4</v>
      </c>
      <c r="K190" s="146"/>
      <c r="AI190" s="132" t="s">
        <v>91</v>
      </c>
      <c r="AS190" s="117">
        <f>SUM(AJ191:AJ196)</f>
      </c>
      <c r="AT190" s="117">
        <f>SUM(AK191:AK196)</f>
      </c>
      <c r="AU190" s="117">
        <f>SUM(AL191:AL196)</f>
      </c>
    </row>
    <row r="191">
      <c r="A191" s="9" t="s">
        <v>878</v>
      </c>
      <c r="B191" s="10" t="s">
        <v>91</v>
      </c>
      <c r="C191" s="10" t="s">
        <v>4544</v>
      </c>
      <c r="D191" s="14" t="s">
        <v>4545</v>
      </c>
      <c r="E191" s="10"/>
      <c r="F191" s="10" t="s">
        <v>2426</v>
      </c>
      <c r="G191" s="111">
        <f>'Stavební rozpočet'!G2831</f>
      </c>
      <c r="H191" s="111">
        <f>'Stavební rozpočet'!H2831</f>
      </c>
      <c r="I191" s="111">
        <f>G191*H191</f>
      </c>
      <c r="J191" s="153" t="s">
        <v>4</v>
      </c>
      <c r="K191" s="146"/>
      <c r="Z191" s="111">
        <f>IF(AQ191="5",BJ191,0)</f>
      </c>
      <c r="AB191" s="111">
        <f>IF(AQ191="1",BH191,0)</f>
      </c>
      <c r="AC191" s="111">
        <f>IF(AQ191="1",BI191,0)</f>
      </c>
      <c r="AD191" s="111">
        <f>IF(AQ191="7",BH191,0)</f>
      </c>
      <c r="AE191" s="111">
        <f>IF(AQ191="7",BI191,0)</f>
      </c>
      <c r="AF191" s="111">
        <f>IF(AQ191="2",BH191,0)</f>
      </c>
      <c r="AG191" s="111">
        <f>IF(AQ191="2",BI191,0)</f>
      </c>
      <c r="AH191" s="111">
        <f>IF(AQ191="0",BJ191,0)</f>
      </c>
      <c r="AI191" s="132" t="s">
        <v>91</v>
      </c>
      <c r="AJ191" s="111">
        <f>IF(AN191=0,I191,0)</f>
      </c>
      <c r="AK191" s="111">
        <f>IF(AN191=12,I191,0)</f>
      </c>
      <c r="AL191" s="111">
        <f>IF(AN191=21,I191,0)</f>
      </c>
      <c r="AN191" s="111" t="n">
        <v>21</v>
      </c>
      <c r="AO191" s="111">
        <f>H191*0</f>
      </c>
      <c r="AP191" s="111">
        <f>H191*(1-0)</f>
      </c>
      <c r="AQ191" s="153" t="s">
        <v>173</v>
      </c>
      <c r="AV191" s="111">
        <f>AW191+AX191</f>
      </c>
      <c r="AW191" s="111">
        <f>G191*AO191</f>
      </c>
      <c r="AX191" s="111">
        <f>G191*AP191</f>
      </c>
      <c r="AY191" s="153" t="s">
        <v>2278</v>
      </c>
      <c r="AZ191" s="153" t="s">
        <v>4546</v>
      </c>
      <c r="BA191" s="132" t="s">
        <v>4138</v>
      </c>
      <c r="BC191" s="111">
        <f>AW191+AX191</f>
      </c>
      <c r="BD191" s="111">
        <f>H191/(100-BE191)*100</f>
      </c>
      <c r="BE191" s="111" t="n">
        <v>0</v>
      </c>
      <c r="BF191" s="111">
        <f>191</f>
      </c>
      <c r="BH191" s="111">
        <f>G191*AO191</f>
      </c>
      <c r="BI191" s="111">
        <f>G191*AP191</f>
      </c>
      <c r="BJ191" s="111">
        <f>G191*H191</f>
      </c>
      <c r="BK191" s="111"/>
      <c r="BL191" s="111" t="n">
        <v>767</v>
      </c>
      <c r="BW191" s="111" t="n">
        <v>21</v>
      </c>
      <c r="BX191" s="14" t="s">
        <v>4545</v>
      </c>
    </row>
    <row r="192">
      <c r="A192" s="154"/>
      <c r="B192" s="155"/>
      <c r="C192" s="155"/>
      <c r="D192" s="156" t="s">
        <v>4547</v>
      </c>
      <c r="E192" s="156" t="s">
        <v>4</v>
      </c>
      <c r="F192" s="155"/>
      <c r="G192" s="157" t="n">
        <v>76</v>
      </c>
      <c r="H192" s="155"/>
      <c r="I192" s="155"/>
      <c r="J192" s="155"/>
      <c r="K192" s="146"/>
    </row>
    <row r="193">
      <c r="A193" s="154"/>
      <c r="B193" s="155"/>
      <c r="C193" s="155"/>
      <c r="D193" s="156" t="s">
        <v>4548</v>
      </c>
      <c r="E193" s="156" t="s">
        <v>4</v>
      </c>
      <c r="F193" s="155"/>
      <c r="G193" s="157" t="n">
        <v>14</v>
      </c>
      <c r="H193" s="155"/>
      <c r="I193" s="155"/>
      <c r="J193" s="155"/>
      <c r="K193" s="146"/>
    </row>
    <row r="194">
      <c r="A194" s="9" t="s">
        <v>881</v>
      </c>
      <c r="B194" s="10" t="s">
        <v>91</v>
      </c>
      <c r="C194" s="10" t="s">
        <v>4550</v>
      </c>
      <c r="D194" s="14" t="s">
        <v>4551</v>
      </c>
      <c r="E194" s="10"/>
      <c r="F194" s="10" t="s">
        <v>61</v>
      </c>
      <c r="G194" s="111">
        <f>'Stavební rozpočet'!G2834</f>
      </c>
      <c r="H194" s="111">
        <f>'Stavební rozpočet'!H2834</f>
      </c>
      <c r="I194" s="111">
        <f>G194*H194</f>
      </c>
      <c r="J194" s="153" t="s">
        <v>4</v>
      </c>
      <c r="K194" s="146"/>
      <c r="Z194" s="111">
        <f>IF(AQ194="5",BJ194,0)</f>
      </c>
      <c r="AB194" s="111">
        <f>IF(AQ194="1",BH194,0)</f>
      </c>
      <c r="AC194" s="111">
        <f>IF(AQ194="1",BI194,0)</f>
      </c>
      <c r="AD194" s="111">
        <f>IF(AQ194="7",BH194,0)</f>
      </c>
      <c r="AE194" s="111">
        <f>IF(AQ194="7",BI194,0)</f>
      </c>
      <c r="AF194" s="111">
        <f>IF(AQ194="2",BH194,0)</f>
      </c>
      <c r="AG194" s="111">
        <f>IF(AQ194="2",BI194,0)</f>
      </c>
      <c r="AH194" s="111">
        <f>IF(AQ194="0",BJ194,0)</f>
      </c>
      <c r="AI194" s="132" t="s">
        <v>91</v>
      </c>
      <c r="AJ194" s="111">
        <f>IF(AN194=0,I194,0)</f>
      </c>
      <c r="AK194" s="111">
        <f>IF(AN194=12,I194,0)</f>
      </c>
      <c r="AL194" s="111">
        <f>IF(AN194=21,I194,0)</f>
      </c>
      <c r="AN194" s="111" t="n">
        <v>21</v>
      </c>
      <c r="AO194" s="111">
        <f>H194*0</f>
      </c>
      <c r="AP194" s="111">
        <f>H194*(1-0)</f>
      </c>
      <c r="AQ194" s="153" t="s">
        <v>173</v>
      </c>
      <c r="AV194" s="111">
        <f>AW194+AX194</f>
      </c>
      <c r="AW194" s="111">
        <f>G194*AO194</f>
      </c>
      <c r="AX194" s="111">
        <f>G194*AP194</f>
      </c>
      <c r="AY194" s="153" t="s">
        <v>2278</v>
      </c>
      <c r="AZ194" s="153" t="s">
        <v>4546</v>
      </c>
      <c r="BA194" s="132" t="s">
        <v>4138</v>
      </c>
      <c r="BC194" s="111">
        <f>AW194+AX194</f>
      </c>
      <c r="BD194" s="111">
        <f>H194/(100-BE194)*100</f>
      </c>
      <c r="BE194" s="111" t="n">
        <v>0</v>
      </c>
      <c r="BF194" s="111">
        <f>194</f>
      </c>
      <c r="BH194" s="111">
        <f>G194*AO194</f>
      </c>
      <c r="BI194" s="111">
        <f>G194*AP194</f>
      </c>
      <c r="BJ194" s="111">
        <f>G194*H194</f>
      </c>
      <c r="BK194" s="111"/>
      <c r="BL194" s="111" t="n">
        <v>767</v>
      </c>
      <c r="BW194" s="111" t="n">
        <v>21</v>
      </c>
      <c r="BX194" s="14" t="s">
        <v>4551</v>
      </c>
    </row>
    <row r="195">
      <c r="A195" s="9" t="s">
        <v>884</v>
      </c>
      <c r="B195" s="10" t="s">
        <v>91</v>
      </c>
      <c r="C195" s="10" t="s">
        <v>4553</v>
      </c>
      <c r="D195" s="14" t="s">
        <v>4088</v>
      </c>
      <c r="E195" s="10"/>
      <c r="F195" s="10" t="s">
        <v>2426</v>
      </c>
      <c r="G195" s="111">
        <f>'Stavební rozpočet'!G2835</f>
      </c>
      <c r="H195" s="111">
        <f>'Stavební rozpočet'!H2835</f>
      </c>
      <c r="I195" s="111">
        <f>G195*H195</f>
      </c>
      <c r="J195" s="153" t="s">
        <v>4</v>
      </c>
      <c r="K195" s="146"/>
      <c r="Z195" s="111">
        <f>IF(AQ195="5",BJ195,0)</f>
      </c>
      <c r="AB195" s="111">
        <f>IF(AQ195="1",BH195,0)</f>
      </c>
      <c r="AC195" s="111">
        <f>IF(AQ195="1",BI195,0)</f>
      </c>
      <c r="AD195" s="111">
        <f>IF(AQ195="7",BH195,0)</f>
      </c>
      <c r="AE195" s="111">
        <f>IF(AQ195="7",BI195,0)</f>
      </c>
      <c r="AF195" s="111">
        <f>IF(AQ195="2",BH195,0)</f>
      </c>
      <c r="AG195" s="111">
        <f>IF(AQ195="2",BI195,0)</f>
      </c>
      <c r="AH195" s="111">
        <f>IF(AQ195="0",BJ195,0)</f>
      </c>
      <c r="AI195" s="132" t="s">
        <v>91</v>
      </c>
      <c r="AJ195" s="111">
        <f>IF(AN195=0,I195,0)</f>
      </c>
      <c r="AK195" s="111">
        <f>IF(AN195=12,I195,0)</f>
      </c>
      <c r="AL195" s="111">
        <f>IF(AN195=21,I195,0)</f>
      </c>
      <c r="AN195" s="111" t="n">
        <v>21</v>
      </c>
      <c r="AO195" s="111">
        <f>H195*1</f>
      </c>
      <c r="AP195" s="111">
        <f>H195*(1-1)</f>
      </c>
      <c r="AQ195" s="153" t="s">
        <v>173</v>
      </c>
      <c r="AV195" s="111">
        <f>AW195+AX195</f>
      </c>
      <c r="AW195" s="111">
        <f>G195*AO195</f>
      </c>
      <c r="AX195" s="111">
        <f>G195*AP195</f>
      </c>
      <c r="AY195" s="153" t="s">
        <v>2278</v>
      </c>
      <c r="AZ195" s="153" t="s">
        <v>4546</v>
      </c>
      <c r="BA195" s="132" t="s">
        <v>4138</v>
      </c>
      <c r="BC195" s="111">
        <f>AW195+AX195</f>
      </c>
      <c r="BD195" s="111">
        <f>H195/(100-BE195)*100</f>
      </c>
      <c r="BE195" s="111" t="n">
        <v>0</v>
      </c>
      <c r="BF195" s="111">
        <f>195</f>
      </c>
      <c r="BH195" s="111">
        <f>G195*AO195</f>
      </c>
      <c r="BI195" s="111">
        <f>G195*AP195</f>
      </c>
      <c r="BJ195" s="111">
        <f>G195*H195</f>
      </c>
      <c r="BK195" s="111"/>
      <c r="BL195" s="111" t="n">
        <v>767</v>
      </c>
      <c r="BW195" s="111" t="n">
        <v>21</v>
      </c>
      <c r="BX195" s="14" t="s">
        <v>4088</v>
      </c>
    </row>
    <row r="196">
      <c r="A196" s="9" t="s">
        <v>887</v>
      </c>
      <c r="B196" s="10" t="s">
        <v>91</v>
      </c>
      <c r="C196" s="10" t="s">
        <v>4555</v>
      </c>
      <c r="D196" s="14" t="s">
        <v>4556</v>
      </c>
      <c r="E196" s="10"/>
      <c r="F196" s="10" t="s">
        <v>3860</v>
      </c>
      <c r="G196" s="111">
        <f>'Stavební rozpočet'!G2836</f>
      </c>
      <c r="H196" s="111">
        <f>'Stavební rozpočet'!H2836</f>
      </c>
      <c r="I196" s="111">
        <f>G196*H196</f>
      </c>
      <c r="J196" s="153" t="s">
        <v>4</v>
      </c>
      <c r="K196" s="146"/>
      <c r="Z196" s="111">
        <f>IF(AQ196="5",BJ196,0)</f>
      </c>
      <c r="AB196" s="111">
        <f>IF(AQ196="1",BH196,0)</f>
      </c>
      <c r="AC196" s="111">
        <f>IF(AQ196="1",BI196,0)</f>
      </c>
      <c r="AD196" s="111">
        <f>IF(AQ196="7",BH196,0)</f>
      </c>
      <c r="AE196" s="111">
        <f>IF(AQ196="7",BI196,0)</f>
      </c>
      <c r="AF196" s="111">
        <f>IF(AQ196="2",BH196,0)</f>
      </c>
      <c r="AG196" s="111">
        <f>IF(AQ196="2",BI196,0)</f>
      </c>
      <c r="AH196" s="111">
        <f>IF(AQ196="0",BJ196,0)</f>
      </c>
      <c r="AI196" s="132" t="s">
        <v>91</v>
      </c>
      <c r="AJ196" s="111">
        <f>IF(AN196=0,I196,0)</f>
      </c>
      <c r="AK196" s="111">
        <f>IF(AN196=12,I196,0)</f>
      </c>
      <c r="AL196" s="111">
        <f>IF(AN196=21,I196,0)</f>
      </c>
      <c r="AN196" s="111" t="n">
        <v>21</v>
      </c>
      <c r="AO196" s="111">
        <f>H196*1</f>
      </c>
      <c r="AP196" s="111">
        <f>H196*(1-1)</f>
      </c>
      <c r="AQ196" s="153" t="s">
        <v>173</v>
      </c>
      <c r="AV196" s="111">
        <f>AW196+AX196</f>
      </c>
      <c r="AW196" s="111">
        <f>G196*AO196</f>
      </c>
      <c r="AX196" s="111">
        <f>G196*AP196</f>
      </c>
      <c r="AY196" s="153" t="s">
        <v>2278</v>
      </c>
      <c r="AZ196" s="153" t="s">
        <v>4546</v>
      </c>
      <c r="BA196" s="132" t="s">
        <v>4138</v>
      </c>
      <c r="BC196" s="111">
        <f>AW196+AX196</f>
      </c>
      <c r="BD196" s="111">
        <f>H196/(100-BE196)*100</f>
      </c>
      <c r="BE196" s="111" t="n">
        <v>0</v>
      </c>
      <c r="BF196" s="111">
        <f>196</f>
      </c>
      <c r="BH196" s="111">
        <f>G196*AO196</f>
      </c>
      <c r="BI196" s="111">
        <f>G196*AP196</f>
      </c>
      <c r="BJ196" s="111">
        <f>G196*H196</f>
      </c>
      <c r="BK196" s="111"/>
      <c r="BL196" s="111" t="n">
        <v>767</v>
      </c>
      <c r="BW196" s="111" t="n">
        <v>21</v>
      </c>
      <c r="BX196" s="14" t="s">
        <v>4556</v>
      </c>
    </row>
    <row r="197">
      <c r="A197" s="147" t="s">
        <v>4</v>
      </c>
      <c r="B197" s="148" t="s">
        <v>91</v>
      </c>
      <c r="C197" s="148" t="s">
        <v>4107</v>
      </c>
      <c r="D197" s="149" t="s">
        <v>4108</v>
      </c>
      <c r="E197" s="148"/>
      <c r="F197" s="150" t="s">
        <v>79</v>
      </c>
      <c r="G197" s="150" t="s">
        <v>79</v>
      </c>
      <c r="H197" s="150" t="s">
        <v>79</v>
      </c>
      <c r="I197" s="117">
        <f>SUM(I198:I206)</f>
      </c>
      <c r="J197" s="132" t="s">
        <v>4</v>
      </c>
      <c r="K197" s="146"/>
      <c r="AI197" s="132" t="s">
        <v>91</v>
      </c>
      <c r="AS197" s="117">
        <f>SUM(AJ198:AJ206)</f>
      </c>
      <c r="AT197" s="117">
        <f>SUM(AK198:AK206)</f>
      </c>
      <c r="AU197" s="117">
        <f>SUM(AL198:AL206)</f>
      </c>
    </row>
    <row r="198">
      <c r="A198" s="9" t="s">
        <v>894</v>
      </c>
      <c r="B198" s="10" t="s">
        <v>91</v>
      </c>
      <c r="C198" s="10" t="s">
        <v>4558</v>
      </c>
      <c r="D198" s="14" t="s">
        <v>4559</v>
      </c>
      <c r="E198" s="10"/>
      <c r="F198" s="10" t="s">
        <v>1324</v>
      </c>
      <c r="G198" s="111">
        <f>'Stavební rozpočet'!G2838</f>
      </c>
      <c r="H198" s="111">
        <f>'Stavební rozpočet'!H2838</f>
      </c>
      <c r="I198" s="111">
        <f>G198*H198</f>
      </c>
      <c r="J198" s="153" t="s">
        <v>4</v>
      </c>
      <c r="K198" s="146"/>
      <c r="Z198" s="111">
        <f>IF(AQ198="5",BJ198,0)</f>
      </c>
      <c r="AB198" s="111">
        <f>IF(AQ198="1",BH198,0)</f>
      </c>
      <c r="AC198" s="111">
        <f>IF(AQ198="1",BI198,0)</f>
      </c>
      <c r="AD198" s="111">
        <f>IF(AQ198="7",BH198,0)</f>
      </c>
      <c r="AE198" s="111">
        <f>IF(AQ198="7",BI198,0)</f>
      </c>
      <c r="AF198" s="111">
        <f>IF(AQ198="2",BH198,0)</f>
      </c>
      <c r="AG198" s="111">
        <f>IF(AQ198="2",BI198,0)</f>
      </c>
      <c r="AH198" s="111">
        <f>IF(AQ198="0",BJ198,0)</f>
      </c>
      <c r="AI198" s="132" t="s">
        <v>91</v>
      </c>
      <c r="AJ198" s="111">
        <f>IF(AN198=0,I198,0)</f>
      </c>
      <c r="AK198" s="111">
        <f>IF(AN198=12,I198,0)</f>
      </c>
      <c r="AL198" s="111">
        <f>IF(AN198=21,I198,0)</f>
      </c>
      <c r="AN198" s="111" t="n">
        <v>21</v>
      </c>
      <c r="AO198" s="111">
        <f>H198*0</f>
      </c>
      <c r="AP198" s="111">
        <f>H198*(1-0)</f>
      </c>
      <c r="AQ198" s="153" t="s">
        <v>130</v>
      </c>
      <c r="AV198" s="111">
        <f>AW198+AX198</f>
      </c>
      <c r="AW198" s="111">
        <f>G198*AO198</f>
      </c>
      <c r="AX198" s="111">
        <f>G198*AP198</f>
      </c>
      <c r="AY198" s="153" t="s">
        <v>4112</v>
      </c>
      <c r="AZ198" s="153" t="s">
        <v>4137</v>
      </c>
      <c r="BA198" s="132" t="s">
        <v>4138</v>
      </c>
      <c r="BC198" s="111">
        <f>AW198+AX198</f>
      </c>
      <c r="BD198" s="111">
        <f>H198/(100-BE198)*100</f>
      </c>
      <c r="BE198" s="111" t="n">
        <v>0</v>
      </c>
      <c r="BF198" s="111">
        <f>198</f>
      </c>
      <c r="BH198" s="111">
        <f>G198*AO198</f>
      </c>
      <c r="BI198" s="111">
        <f>G198*AP198</f>
      </c>
      <c r="BJ198" s="111">
        <f>G198*H198</f>
      </c>
      <c r="BK198" s="111"/>
      <c r="BL198" s="111"/>
      <c r="BW198" s="111" t="n">
        <v>21</v>
      </c>
      <c r="BX198" s="14" t="s">
        <v>4559</v>
      </c>
    </row>
    <row r="199" customHeight="true" ht="13.5">
      <c r="A199" s="159"/>
      <c r="C199" s="160" t="s">
        <v>146</v>
      </c>
      <c r="D199" s="161" t="s">
        <v>4560</v>
      </c>
      <c r="E199" s="156"/>
      <c r="F199" s="156"/>
      <c r="G199" s="156"/>
      <c r="H199" s="156"/>
      <c r="I199" s="156"/>
      <c r="J199" s="156"/>
      <c r="K199" s="163"/>
    </row>
    <row r="200">
      <c r="A200" s="154"/>
      <c r="B200" s="155"/>
      <c r="C200" s="155"/>
      <c r="D200" s="156" t="s">
        <v>202</v>
      </c>
      <c r="E200" s="156" t="s">
        <v>4561</v>
      </c>
      <c r="F200" s="155"/>
      <c r="G200" s="157" t="n">
        <v>16</v>
      </c>
      <c r="H200" s="155"/>
      <c r="I200" s="155"/>
      <c r="J200" s="155"/>
      <c r="K200" s="146"/>
    </row>
    <row r="201">
      <c r="A201" s="154"/>
      <c r="B201" s="155"/>
      <c r="C201" s="155"/>
      <c r="D201" s="156" t="s">
        <v>4</v>
      </c>
      <c r="E201" s="156" t="s">
        <v>4562</v>
      </c>
      <c r="F201" s="155"/>
      <c r="G201" s="157" t="n">
        <v>0</v>
      </c>
      <c r="H201" s="155"/>
      <c r="I201" s="155"/>
      <c r="J201" s="155"/>
      <c r="K201" s="146"/>
    </row>
    <row r="202" ht="24.75">
      <c r="A202" s="9" t="s">
        <v>899</v>
      </c>
      <c r="B202" s="10" t="s">
        <v>91</v>
      </c>
      <c r="C202" s="10" t="s">
        <v>4564</v>
      </c>
      <c r="D202" s="14" t="s">
        <v>4565</v>
      </c>
      <c r="E202" s="10"/>
      <c r="F202" s="10" t="s">
        <v>3860</v>
      </c>
      <c r="G202" s="111">
        <f>'Stavební rozpočet'!G2842</f>
      </c>
      <c r="H202" s="111">
        <f>'Stavební rozpočet'!H2842</f>
      </c>
      <c r="I202" s="111">
        <f>G202*H202</f>
      </c>
      <c r="J202" s="153" t="s">
        <v>4</v>
      </c>
      <c r="K202" s="146"/>
      <c r="Z202" s="111">
        <f>IF(AQ202="5",BJ202,0)</f>
      </c>
      <c r="AB202" s="111">
        <f>IF(AQ202="1",BH202,0)</f>
      </c>
      <c r="AC202" s="111">
        <f>IF(AQ202="1",BI202,0)</f>
      </c>
      <c r="AD202" s="111">
        <f>IF(AQ202="7",BH202,0)</f>
      </c>
      <c r="AE202" s="111">
        <f>IF(AQ202="7",BI202,0)</f>
      </c>
      <c r="AF202" s="111">
        <f>IF(AQ202="2",BH202,0)</f>
      </c>
      <c r="AG202" s="111">
        <f>IF(AQ202="2",BI202,0)</f>
      </c>
      <c r="AH202" s="111">
        <f>IF(AQ202="0",BJ202,0)</f>
      </c>
      <c r="AI202" s="132" t="s">
        <v>91</v>
      </c>
      <c r="AJ202" s="111">
        <f>IF(AN202=0,I202,0)</f>
      </c>
      <c r="AK202" s="111">
        <f>IF(AN202=12,I202,0)</f>
      </c>
      <c r="AL202" s="111">
        <f>IF(AN202=21,I202,0)</f>
      </c>
      <c r="AN202" s="111" t="n">
        <v>21</v>
      </c>
      <c r="AO202" s="111">
        <f>H202*0</f>
      </c>
      <c r="AP202" s="111">
        <f>H202*(1-0)</f>
      </c>
      <c r="AQ202" s="153" t="s">
        <v>130</v>
      </c>
      <c r="AV202" s="111">
        <f>AW202+AX202</f>
      </c>
      <c r="AW202" s="111">
        <f>G202*AO202</f>
      </c>
      <c r="AX202" s="111">
        <f>G202*AP202</f>
      </c>
      <c r="AY202" s="153" t="s">
        <v>4112</v>
      </c>
      <c r="AZ202" s="153" t="s">
        <v>4137</v>
      </c>
      <c r="BA202" s="132" t="s">
        <v>4138</v>
      </c>
      <c r="BC202" s="111">
        <f>AW202+AX202</f>
      </c>
      <c r="BD202" s="111">
        <f>H202/(100-BE202)*100</f>
      </c>
      <c r="BE202" s="111" t="n">
        <v>0</v>
      </c>
      <c r="BF202" s="111">
        <f>202</f>
      </c>
      <c r="BH202" s="111">
        <f>G202*AO202</f>
      </c>
      <c r="BI202" s="111">
        <f>G202*AP202</f>
      </c>
      <c r="BJ202" s="111">
        <f>G202*H202</f>
      </c>
      <c r="BK202" s="111"/>
      <c r="BL202" s="111"/>
      <c r="BW202" s="111" t="n">
        <v>21</v>
      </c>
      <c r="BX202" s="14" t="s">
        <v>4565</v>
      </c>
    </row>
    <row r="203" ht="24.75">
      <c r="A203" s="9" t="s">
        <v>904</v>
      </c>
      <c r="B203" s="10" t="s">
        <v>91</v>
      </c>
      <c r="C203" s="10" t="s">
        <v>4567</v>
      </c>
      <c r="D203" s="14" t="s">
        <v>4568</v>
      </c>
      <c r="E203" s="10"/>
      <c r="F203" s="10" t="s">
        <v>3860</v>
      </c>
      <c r="G203" s="111">
        <f>'Stavební rozpočet'!G2843</f>
      </c>
      <c r="H203" s="111">
        <f>'Stavební rozpočet'!H2843</f>
      </c>
      <c r="I203" s="111">
        <f>G203*H203</f>
      </c>
      <c r="J203" s="153" t="s">
        <v>4</v>
      </c>
      <c r="K203" s="146"/>
      <c r="Z203" s="111">
        <f>IF(AQ203="5",BJ203,0)</f>
      </c>
      <c r="AB203" s="111">
        <f>IF(AQ203="1",BH203,0)</f>
      </c>
      <c r="AC203" s="111">
        <f>IF(AQ203="1",BI203,0)</f>
      </c>
      <c r="AD203" s="111">
        <f>IF(AQ203="7",BH203,0)</f>
      </c>
      <c r="AE203" s="111">
        <f>IF(AQ203="7",BI203,0)</f>
      </c>
      <c r="AF203" s="111">
        <f>IF(AQ203="2",BH203,0)</f>
      </c>
      <c r="AG203" s="111">
        <f>IF(AQ203="2",BI203,0)</f>
      </c>
      <c r="AH203" s="111">
        <f>IF(AQ203="0",BJ203,0)</f>
      </c>
      <c r="AI203" s="132" t="s">
        <v>91</v>
      </c>
      <c r="AJ203" s="111">
        <f>IF(AN203=0,I203,0)</f>
      </c>
      <c r="AK203" s="111">
        <f>IF(AN203=12,I203,0)</f>
      </c>
      <c r="AL203" s="111">
        <f>IF(AN203=21,I203,0)</f>
      </c>
      <c r="AN203" s="111" t="n">
        <v>21</v>
      </c>
      <c r="AO203" s="111">
        <f>H203*0</f>
      </c>
      <c r="AP203" s="111">
        <f>H203*(1-0)</f>
      </c>
      <c r="AQ203" s="153" t="s">
        <v>130</v>
      </c>
      <c r="AV203" s="111">
        <f>AW203+AX203</f>
      </c>
      <c r="AW203" s="111">
        <f>G203*AO203</f>
      </c>
      <c r="AX203" s="111">
        <f>G203*AP203</f>
      </c>
      <c r="AY203" s="153" t="s">
        <v>4112</v>
      </c>
      <c r="AZ203" s="153" t="s">
        <v>4137</v>
      </c>
      <c r="BA203" s="132" t="s">
        <v>4138</v>
      </c>
      <c r="BC203" s="111">
        <f>AW203+AX203</f>
      </c>
      <c r="BD203" s="111">
        <f>H203/(100-BE203)*100</f>
      </c>
      <c r="BE203" s="111" t="n">
        <v>0</v>
      </c>
      <c r="BF203" s="111">
        <f>203</f>
      </c>
      <c r="BH203" s="111">
        <f>G203*AO203</f>
      </c>
      <c r="BI203" s="111">
        <f>G203*AP203</f>
      </c>
      <c r="BJ203" s="111">
        <f>G203*H203</f>
      </c>
      <c r="BK203" s="111"/>
      <c r="BL203" s="111"/>
      <c r="BW203" s="111" t="n">
        <v>21</v>
      </c>
      <c r="BX203" s="14" t="s">
        <v>4568</v>
      </c>
    </row>
    <row r="204">
      <c r="A204" s="9" t="s">
        <v>908</v>
      </c>
      <c r="B204" s="10" t="s">
        <v>91</v>
      </c>
      <c r="C204" s="10" t="s">
        <v>4570</v>
      </c>
      <c r="D204" s="14" t="s">
        <v>4571</v>
      </c>
      <c r="E204" s="10"/>
      <c r="F204" s="10" t="s">
        <v>2277</v>
      </c>
      <c r="G204" s="111">
        <f>'Stavební rozpočet'!G2844</f>
      </c>
      <c r="H204" s="111">
        <f>'Stavební rozpočet'!H2844</f>
      </c>
      <c r="I204" s="111">
        <f>G204*H204</f>
      </c>
      <c r="J204" s="153" t="s">
        <v>4</v>
      </c>
      <c r="K204" s="146"/>
      <c r="Z204" s="111">
        <f>IF(AQ204="5",BJ204,0)</f>
      </c>
      <c r="AB204" s="111">
        <f>IF(AQ204="1",BH204,0)</f>
      </c>
      <c r="AC204" s="111">
        <f>IF(AQ204="1",BI204,0)</f>
      </c>
      <c r="AD204" s="111">
        <f>IF(AQ204="7",BH204,0)</f>
      </c>
      <c r="AE204" s="111">
        <f>IF(AQ204="7",BI204,0)</f>
      </c>
      <c r="AF204" s="111">
        <f>IF(AQ204="2",BH204,0)</f>
      </c>
      <c r="AG204" s="111">
        <f>IF(AQ204="2",BI204,0)</f>
      </c>
      <c r="AH204" s="111">
        <f>IF(AQ204="0",BJ204,0)</f>
      </c>
      <c r="AI204" s="132" t="s">
        <v>91</v>
      </c>
      <c r="AJ204" s="111">
        <f>IF(AN204=0,I204,0)</f>
      </c>
      <c r="AK204" s="111">
        <f>IF(AN204=12,I204,0)</f>
      </c>
      <c r="AL204" s="111">
        <f>IF(AN204=21,I204,0)</f>
      </c>
      <c r="AN204" s="111" t="n">
        <v>21</v>
      </c>
      <c r="AO204" s="111">
        <f>H204*1</f>
      </c>
      <c r="AP204" s="111">
        <f>H204*(1-1)</f>
      </c>
      <c r="AQ204" s="153" t="s">
        <v>130</v>
      </c>
      <c r="AV204" s="111">
        <f>AW204+AX204</f>
      </c>
      <c r="AW204" s="111">
        <f>G204*AO204</f>
      </c>
      <c r="AX204" s="111">
        <f>G204*AP204</f>
      </c>
      <c r="AY204" s="153" t="s">
        <v>4112</v>
      </c>
      <c r="AZ204" s="153" t="s">
        <v>4137</v>
      </c>
      <c r="BA204" s="132" t="s">
        <v>4138</v>
      </c>
      <c r="BC204" s="111">
        <f>AW204+AX204</f>
      </c>
      <c r="BD204" s="111">
        <f>H204/(100-BE204)*100</f>
      </c>
      <c r="BE204" s="111" t="n">
        <v>0</v>
      </c>
      <c r="BF204" s="111">
        <f>204</f>
      </c>
      <c r="BH204" s="111">
        <f>G204*AO204</f>
      </c>
      <c r="BI204" s="111">
        <f>G204*AP204</f>
      </c>
      <c r="BJ204" s="111">
        <f>G204*H204</f>
      </c>
      <c r="BK204" s="111"/>
      <c r="BL204" s="111"/>
      <c r="BW204" s="111" t="n">
        <v>21</v>
      </c>
      <c r="BX204" s="14" t="s">
        <v>4571</v>
      </c>
    </row>
    <row r="205">
      <c r="A205" s="9" t="s">
        <v>914</v>
      </c>
      <c r="B205" s="10" t="s">
        <v>91</v>
      </c>
      <c r="C205" s="10" t="s">
        <v>4573</v>
      </c>
      <c r="D205" s="14" t="s">
        <v>4574</v>
      </c>
      <c r="E205" s="10"/>
      <c r="F205" s="10" t="s">
        <v>2277</v>
      </c>
      <c r="G205" s="111">
        <f>'Stavební rozpočet'!G2845</f>
      </c>
      <c r="H205" s="111">
        <f>'Stavební rozpočet'!H2845</f>
      </c>
      <c r="I205" s="111">
        <f>G205*H205</f>
      </c>
      <c r="J205" s="153" t="s">
        <v>4</v>
      </c>
      <c r="K205" s="146"/>
      <c r="Z205" s="111">
        <f>IF(AQ205="5",BJ205,0)</f>
      </c>
      <c r="AB205" s="111">
        <f>IF(AQ205="1",BH205,0)</f>
      </c>
      <c r="AC205" s="111">
        <f>IF(AQ205="1",BI205,0)</f>
      </c>
      <c r="AD205" s="111">
        <f>IF(AQ205="7",BH205,0)</f>
      </c>
      <c r="AE205" s="111">
        <f>IF(AQ205="7",BI205,0)</f>
      </c>
      <c r="AF205" s="111">
        <f>IF(AQ205="2",BH205,0)</f>
      </c>
      <c r="AG205" s="111">
        <f>IF(AQ205="2",BI205,0)</f>
      </c>
      <c r="AH205" s="111">
        <f>IF(AQ205="0",BJ205,0)</f>
      </c>
      <c r="AI205" s="132" t="s">
        <v>91</v>
      </c>
      <c r="AJ205" s="111">
        <f>IF(AN205=0,I205,0)</f>
      </c>
      <c r="AK205" s="111">
        <f>IF(AN205=12,I205,0)</f>
      </c>
      <c r="AL205" s="111">
        <f>IF(AN205=21,I205,0)</f>
      </c>
      <c r="AN205" s="111" t="n">
        <v>21</v>
      </c>
      <c r="AO205" s="111">
        <f>H205*1</f>
      </c>
      <c r="AP205" s="111">
        <f>H205*(1-1)</f>
      </c>
      <c r="AQ205" s="153" t="s">
        <v>130</v>
      </c>
      <c r="AV205" s="111">
        <f>AW205+AX205</f>
      </c>
      <c r="AW205" s="111">
        <f>G205*AO205</f>
      </c>
      <c r="AX205" s="111">
        <f>G205*AP205</f>
      </c>
      <c r="AY205" s="153" t="s">
        <v>4112</v>
      </c>
      <c r="AZ205" s="153" t="s">
        <v>4137</v>
      </c>
      <c r="BA205" s="132" t="s">
        <v>4138</v>
      </c>
      <c r="BC205" s="111">
        <f>AW205+AX205</f>
      </c>
      <c r="BD205" s="111">
        <f>H205/(100-BE205)*100</f>
      </c>
      <c r="BE205" s="111" t="n">
        <v>0</v>
      </c>
      <c r="BF205" s="111">
        <f>205</f>
      </c>
      <c r="BH205" s="111">
        <f>G205*AO205</f>
      </c>
      <c r="BI205" s="111">
        <f>G205*AP205</f>
      </c>
      <c r="BJ205" s="111">
        <f>G205*H205</f>
      </c>
      <c r="BK205" s="111"/>
      <c r="BL205" s="111"/>
      <c r="BW205" s="111" t="n">
        <v>21</v>
      </c>
      <c r="BX205" s="14" t="s">
        <v>4574</v>
      </c>
    </row>
    <row r="206">
      <c r="A206" s="9" t="s">
        <v>917</v>
      </c>
      <c r="B206" s="10" t="s">
        <v>91</v>
      </c>
      <c r="C206" s="10" t="s">
        <v>4576</v>
      </c>
      <c r="D206" s="14" t="s">
        <v>4577</v>
      </c>
      <c r="E206" s="10"/>
      <c r="F206" s="10" t="s">
        <v>2277</v>
      </c>
      <c r="G206" s="111">
        <f>'Stavební rozpočet'!G2846</f>
      </c>
      <c r="H206" s="111">
        <f>'Stavební rozpočet'!H2846</f>
      </c>
      <c r="I206" s="111">
        <f>G206*H206</f>
      </c>
      <c r="J206" s="153" t="s">
        <v>4</v>
      </c>
      <c r="K206" s="146"/>
      <c r="Z206" s="111">
        <f>IF(AQ206="5",BJ206,0)</f>
      </c>
      <c r="AB206" s="111">
        <f>IF(AQ206="1",BH206,0)</f>
      </c>
      <c r="AC206" s="111">
        <f>IF(AQ206="1",BI206,0)</f>
      </c>
      <c r="AD206" s="111">
        <f>IF(AQ206="7",BH206,0)</f>
      </c>
      <c r="AE206" s="111">
        <f>IF(AQ206="7",BI206,0)</f>
      </c>
      <c r="AF206" s="111">
        <f>IF(AQ206="2",BH206,0)</f>
      </c>
      <c r="AG206" s="111">
        <f>IF(AQ206="2",BI206,0)</f>
      </c>
      <c r="AH206" s="111">
        <f>IF(AQ206="0",BJ206,0)</f>
      </c>
      <c r="AI206" s="132" t="s">
        <v>91</v>
      </c>
      <c r="AJ206" s="111">
        <f>IF(AN206=0,I206,0)</f>
      </c>
      <c r="AK206" s="111">
        <f>IF(AN206=12,I206,0)</f>
      </c>
      <c r="AL206" s="111">
        <f>IF(AN206=21,I206,0)</f>
      </c>
      <c r="AN206" s="111" t="n">
        <v>21</v>
      </c>
      <c r="AO206" s="111">
        <f>H206*1</f>
      </c>
      <c r="AP206" s="111">
        <f>H206*(1-1)</f>
      </c>
      <c r="AQ206" s="153" t="s">
        <v>130</v>
      </c>
      <c r="AV206" s="111">
        <f>AW206+AX206</f>
      </c>
      <c r="AW206" s="111">
        <f>G206*AO206</f>
      </c>
      <c r="AX206" s="111">
        <f>G206*AP206</f>
      </c>
      <c r="AY206" s="153" t="s">
        <v>4112</v>
      </c>
      <c r="AZ206" s="153" t="s">
        <v>4137</v>
      </c>
      <c r="BA206" s="132" t="s">
        <v>4138</v>
      </c>
      <c r="BC206" s="111">
        <f>AW206+AX206</f>
      </c>
      <c r="BD206" s="111">
        <f>H206/(100-BE206)*100</f>
      </c>
      <c r="BE206" s="111" t="n">
        <v>0</v>
      </c>
      <c r="BF206" s="111">
        <f>206</f>
      </c>
      <c r="BH206" s="111">
        <f>G206*AO206</f>
      </c>
      <c r="BI206" s="111">
        <f>G206*AP206</f>
      </c>
      <c r="BJ206" s="111">
        <f>G206*H206</f>
      </c>
      <c r="BK206" s="111"/>
      <c r="BL206" s="111"/>
      <c r="BW206" s="111" t="n">
        <v>21</v>
      </c>
      <c r="BX206" s="14" t="s">
        <v>4577</v>
      </c>
    </row>
    <row r="207">
      <c r="A207" s="147" t="s">
        <v>4</v>
      </c>
      <c r="B207" s="148" t="s">
        <v>91</v>
      </c>
      <c r="C207" s="148" t="s">
        <v>4578</v>
      </c>
      <c r="D207" s="149" t="s">
        <v>4579</v>
      </c>
      <c r="E207" s="148"/>
      <c r="F207" s="150" t="s">
        <v>79</v>
      </c>
      <c r="G207" s="150" t="s">
        <v>79</v>
      </c>
      <c r="H207" s="150" t="s">
        <v>79</v>
      </c>
      <c r="I207" s="117">
        <f>SUM(I208:I210)</f>
      </c>
      <c r="J207" s="132" t="s">
        <v>4</v>
      </c>
      <c r="K207" s="146"/>
      <c r="AI207" s="132" t="s">
        <v>91</v>
      </c>
      <c r="AS207" s="117">
        <f>SUM(AJ208:AJ210)</f>
      </c>
      <c r="AT207" s="117">
        <f>SUM(AK208:AK210)</f>
      </c>
      <c r="AU207" s="117">
        <f>SUM(AL208:AL210)</f>
      </c>
    </row>
    <row r="208">
      <c r="A208" s="9" t="s">
        <v>920</v>
      </c>
      <c r="B208" s="10" t="s">
        <v>91</v>
      </c>
      <c r="C208" s="10" t="s">
        <v>4581</v>
      </c>
      <c r="D208" s="14" t="s">
        <v>4582</v>
      </c>
      <c r="E208" s="10"/>
      <c r="F208" s="10" t="s">
        <v>133</v>
      </c>
      <c r="G208" s="111">
        <f>'Stavební rozpočet'!G2848</f>
      </c>
      <c r="H208" s="111">
        <f>'Stavební rozpočet'!H2848</f>
      </c>
      <c r="I208" s="111">
        <f>G208*H208</f>
      </c>
      <c r="J208" s="153" t="s">
        <v>4</v>
      </c>
      <c r="K208" s="146"/>
      <c r="Z208" s="111">
        <f>IF(AQ208="5",BJ208,0)</f>
      </c>
      <c r="AB208" s="111">
        <f>IF(AQ208="1",BH208,0)</f>
      </c>
      <c r="AC208" s="111">
        <f>IF(AQ208="1",BI208,0)</f>
      </c>
      <c r="AD208" s="111">
        <f>IF(AQ208="7",BH208,0)</f>
      </c>
      <c r="AE208" s="111">
        <f>IF(AQ208="7",BI208,0)</f>
      </c>
      <c r="AF208" s="111">
        <f>IF(AQ208="2",BH208,0)</f>
      </c>
      <c r="AG208" s="111">
        <f>IF(AQ208="2",BI208,0)</f>
      </c>
      <c r="AH208" s="111">
        <f>IF(AQ208="0",BJ208,0)</f>
      </c>
      <c r="AI208" s="132" t="s">
        <v>91</v>
      </c>
      <c r="AJ208" s="111">
        <f>IF(AN208=0,I208,0)</f>
      </c>
      <c r="AK208" s="111">
        <f>IF(AN208=12,I208,0)</f>
      </c>
      <c r="AL208" s="111">
        <f>IF(AN208=21,I208,0)</f>
      </c>
      <c r="AN208" s="111" t="n">
        <v>21</v>
      </c>
      <c r="AO208" s="111">
        <f>H208*0</f>
      </c>
      <c r="AP208" s="111">
        <f>H208*(1-0)</f>
      </c>
      <c r="AQ208" s="153" t="s">
        <v>130</v>
      </c>
      <c r="AV208" s="111">
        <f>AW208+AX208</f>
      </c>
      <c r="AW208" s="111">
        <f>G208*AO208</f>
      </c>
      <c r="AX208" s="111">
        <f>G208*AP208</f>
      </c>
      <c r="AY208" s="153" t="s">
        <v>4583</v>
      </c>
      <c r="AZ208" s="153" t="s">
        <v>4137</v>
      </c>
      <c r="BA208" s="132" t="s">
        <v>4138</v>
      </c>
      <c r="BC208" s="111">
        <f>AW208+AX208</f>
      </c>
      <c r="BD208" s="111">
        <f>H208/(100-BE208)*100</f>
      </c>
      <c r="BE208" s="111" t="n">
        <v>0</v>
      </c>
      <c r="BF208" s="111">
        <f>208</f>
      </c>
      <c r="BH208" s="111">
        <f>G208*AO208</f>
      </c>
      <c r="BI208" s="111">
        <f>G208*AP208</f>
      </c>
      <c r="BJ208" s="111">
        <f>G208*H208</f>
      </c>
      <c r="BK208" s="111"/>
      <c r="BL208" s="111"/>
      <c r="BW208" s="111" t="n">
        <v>21</v>
      </c>
      <c r="BX208" s="14" t="s">
        <v>4582</v>
      </c>
    </row>
    <row r="209">
      <c r="A209" s="9" t="s">
        <v>927</v>
      </c>
      <c r="B209" s="10" t="s">
        <v>91</v>
      </c>
      <c r="C209" s="10" t="s">
        <v>4585</v>
      </c>
      <c r="D209" s="14" t="s">
        <v>4586</v>
      </c>
      <c r="E209" s="10"/>
      <c r="F209" s="10" t="s">
        <v>133</v>
      </c>
      <c r="G209" s="111">
        <f>'Stavební rozpočet'!G2849</f>
      </c>
      <c r="H209" s="111">
        <f>'Stavební rozpočet'!H2849</f>
      </c>
      <c r="I209" s="111">
        <f>G209*H209</f>
      </c>
      <c r="J209" s="153" t="s">
        <v>4</v>
      </c>
      <c r="K209" s="146"/>
      <c r="Z209" s="111">
        <f>IF(AQ209="5",BJ209,0)</f>
      </c>
      <c r="AB209" s="111">
        <f>IF(AQ209="1",BH209,0)</f>
      </c>
      <c r="AC209" s="111">
        <f>IF(AQ209="1",BI209,0)</f>
      </c>
      <c r="AD209" s="111">
        <f>IF(AQ209="7",BH209,0)</f>
      </c>
      <c r="AE209" s="111">
        <f>IF(AQ209="7",BI209,0)</f>
      </c>
      <c r="AF209" s="111">
        <f>IF(AQ209="2",BH209,0)</f>
      </c>
      <c r="AG209" s="111">
        <f>IF(AQ209="2",BI209,0)</f>
      </c>
      <c r="AH209" s="111">
        <f>IF(AQ209="0",BJ209,0)</f>
      </c>
      <c r="AI209" s="132" t="s">
        <v>91</v>
      </c>
      <c r="AJ209" s="111">
        <f>IF(AN209=0,I209,0)</f>
      </c>
      <c r="AK209" s="111">
        <f>IF(AN209=12,I209,0)</f>
      </c>
      <c r="AL209" s="111">
        <f>IF(AN209=21,I209,0)</f>
      </c>
      <c r="AN209" s="111" t="n">
        <v>21</v>
      </c>
      <c r="AO209" s="111">
        <f>H209*1</f>
      </c>
      <c r="AP209" s="111">
        <f>H209*(1-1)</f>
      </c>
      <c r="AQ209" s="153" t="s">
        <v>130</v>
      </c>
      <c r="AV209" s="111">
        <f>AW209+AX209</f>
      </c>
      <c r="AW209" s="111">
        <f>G209*AO209</f>
      </c>
      <c r="AX209" s="111">
        <f>G209*AP209</f>
      </c>
      <c r="AY209" s="153" t="s">
        <v>4583</v>
      </c>
      <c r="AZ209" s="153" t="s">
        <v>4137</v>
      </c>
      <c r="BA209" s="132" t="s">
        <v>4138</v>
      </c>
      <c r="BC209" s="111">
        <f>AW209+AX209</f>
      </c>
      <c r="BD209" s="111">
        <f>H209/(100-BE209)*100</f>
      </c>
      <c r="BE209" s="111" t="n">
        <v>0</v>
      </c>
      <c r="BF209" s="111">
        <f>209</f>
      </c>
      <c r="BH209" s="111">
        <f>G209*AO209</f>
      </c>
      <c r="BI209" s="111">
        <f>G209*AP209</f>
      </c>
      <c r="BJ209" s="111">
        <f>G209*H209</f>
      </c>
      <c r="BK209" s="111"/>
      <c r="BL209" s="111"/>
      <c r="BW209" s="111" t="n">
        <v>21</v>
      </c>
      <c r="BX209" s="14" t="s">
        <v>4586</v>
      </c>
    </row>
    <row r="210">
      <c r="A210" s="17" t="s">
        <v>935</v>
      </c>
      <c r="B210" s="18" t="s">
        <v>91</v>
      </c>
      <c r="C210" s="18" t="s">
        <v>4588</v>
      </c>
      <c r="D210" s="164" t="s">
        <v>4589</v>
      </c>
      <c r="E210" s="18"/>
      <c r="F210" s="18" t="s">
        <v>2277</v>
      </c>
      <c r="G210" s="165">
        <f>'Stavební rozpočet'!G2850</f>
      </c>
      <c r="H210" s="165">
        <f>'Stavební rozpočet'!H2850</f>
      </c>
      <c r="I210" s="165">
        <f>G210*H210</f>
      </c>
      <c r="J210" s="167" t="s">
        <v>4</v>
      </c>
      <c r="K210" s="168"/>
      <c r="Z210" s="111">
        <f>IF(AQ210="5",BJ210,0)</f>
      </c>
      <c r="AB210" s="111">
        <f>IF(AQ210="1",BH210,0)</f>
      </c>
      <c r="AC210" s="111">
        <f>IF(AQ210="1",BI210,0)</f>
      </c>
      <c r="AD210" s="111">
        <f>IF(AQ210="7",BH210,0)</f>
      </c>
      <c r="AE210" s="111">
        <f>IF(AQ210="7",BI210,0)</f>
      </c>
      <c r="AF210" s="111">
        <f>IF(AQ210="2",BH210,0)</f>
      </c>
      <c r="AG210" s="111">
        <f>IF(AQ210="2",BI210,0)</f>
      </c>
      <c r="AH210" s="111">
        <f>IF(AQ210="0",BJ210,0)</f>
      </c>
      <c r="AI210" s="132" t="s">
        <v>91</v>
      </c>
      <c r="AJ210" s="111">
        <f>IF(AN210=0,I210,0)</f>
      </c>
      <c r="AK210" s="111">
        <f>IF(AN210=12,I210,0)</f>
      </c>
      <c r="AL210" s="111">
        <f>IF(AN210=21,I210,0)</f>
      </c>
      <c r="AN210" s="111" t="n">
        <v>21</v>
      </c>
      <c r="AO210" s="111">
        <f>H210*1</f>
      </c>
      <c r="AP210" s="111">
        <f>H210*(1-1)</f>
      </c>
      <c r="AQ210" s="153" t="s">
        <v>130</v>
      </c>
      <c r="AV210" s="111">
        <f>AW210+AX210</f>
      </c>
      <c r="AW210" s="111">
        <f>G210*AO210</f>
      </c>
      <c r="AX210" s="111">
        <f>G210*AP210</f>
      </c>
      <c r="AY210" s="153" t="s">
        <v>4583</v>
      </c>
      <c r="AZ210" s="153" t="s">
        <v>4137</v>
      </c>
      <c r="BA210" s="132" t="s">
        <v>4138</v>
      </c>
      <c r="BC210" s="111">
        <f>AW210+AX210</f>
      </c>
      <c r="BD210" s="111">
        <f>H210/(100-BE210)*100</f>
      </c>
      <c r="BE210" s="111" t="n">
        <v>0</v>
      </c>
      <c r="BF210" s="111">
        <f>210</f>
      </c>
      <c r="BH210" s="111">
        <f>G210*AO210</f>
      </c>
      <c r="BI210" s="111">
        <f>G210*AP210</f>
      </c>
      <c r="BJ210" s="111">
        <f>G210*H210</f>
      </c>
      <c r="BK210" s="111"/>
      <c r="BL210" s="111"/>
      <c r="BW210" s="111" t="n">
        <v>21</v>
      </c>
      <c r="BX210" s="14" t="s">
        <v>4589</v>
      </c>
    </row>
    <row r="211">
      <c r="I211" s="115">
        <f>I13+I16+I24+I51+I88+I107+I139+I190+I197+I207</f>
      </c>
    </row>
    <row r="212">
      <c r="A212" s="116" t="s">
        <v>56</v>
      </c>
    </row>
    <row r="213" customHeight="true" ht="12.75">
      <c r="A213" s="14" t="s">
        <v>4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H8:H9"/>
    <mergeCell ref="J2:K3"/>
    <mergeCell ref="J4:K5"/>
    <mergeCell ref="J6:K7"/>
    <mergeCell ref="J8:K9"/>
    <mergeCell ref="D10:E10"/>
    <mergeCell ref="D11:E11"/>
    <mergeCell ref="D12:E12"/>
    <mergeCell ref="D13:E13"/>
    <mergeCell ref="D14:E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7:E27"/>
    <mergeCell ref="D32:E32"/>
    <mergeCell ref="D33:E33"/>
    <mergeCell ref="D34:E34"/>
    <mergeCell ref="D35:E35"/>
    <mergeCell ref="D38:E38"/>
    <mergeCell ref="D41:E41"/>
    <mergeCell ref="D44:E44"/>
    <mergeCell ref="D47:E47"/>
    <mergeCell ref="D48:E48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3:E143"/>
    <mergeCell ref="D144:E144"/>
    <mergeCell ref="D150:E150"/>
    <mergeCell ref="D155:E155"/>
    <mergeCell ref="D157:E157"/>
    <mergeCell ref="D161:E161"/>
    <mergeCell ref="D165:E165"/>
    <mergeCell ref="D173:E173"/>
    <mergeCell ref="D176:E176"/>
    <mergeCell ref="D177:E177"/>
    <mergeCell ref="D178:E178"/>
    <mergeCell ref="D179:E179"/>
    <mergeCell ref="D183:E183"/>
    <mergeCell ref="D185:E185"/>
    <mergeCell ref="D187:E187"/>
    <mergeCell ref="D189:E189"/>
    <mergeCell ref="D190:E190"/>
    <mergeCell ref="D191:E191"/>
    <mergeCell ref="D194:E194"/>
    <mergeCell ref="D195:E195"/>
    <mergeCell ref="D196:E196"/>
    <mergeCell ref="D197:E197"/>
    <mergeCell ref="D198:E198"/>
    <mergeCell ref="D199:K199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A213:K213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348"/>
  <sheetViews>
    <sheetView workbookViewId="0" showZeros="true" showFormulas="false" showGridLines="true" showRowColHeaders="true">
      <pane topLeftCell="A12" state="frozen" activePane="bottomLeft" ySplit="11"/>
      <selection pane="bottomLeft" sqref="A348:K348" activeCell="A348"/>
    </sheetView>
  </sheetViews>
  <sheetFormatPr defaultColWidth="12.140625" customHeight="true" defaultRowHeight="15"/>
  <cols>
    <col max="1" min="1" style="0" width="3.140625" customWidth="true"/>
    <col max="2" min="2" style="0" width="7.5703125" customWidth="true"/>
    <col max="3" min="3" style="0" width="17.85546875" customWidth="true"/>
    <col max="4" min="4" style="0" width="42.85546875" customWidth="true"/>
    <col max="5" min="5" style="0" width="35.7109375" customWidth="true"/>
    <col max="6" min="6" style="0" width="4.28515625" customWidth="true"/>
    <col max="7" min="7" style="0" width="12.85546875" customWidth="true"/>
    <col max="8" min="8" style="0" width="12" customWidth="true"/>
    <col max="9" min="9" style="0" width="15.7109375" customWidth="true"/>
    <col max="10" min="10" style="0" width="13.42578125" customWidth="true"/>
    <col max="11" min="11" style="0" width="12.140625"/>
    <col max="75" min="25" style="0" width="12.140625" hidden="true"/>
    <col max="76" min="76" style="0" width="78.5703125" customWidth="true" hidden="true"/>
    <col max="78" min="77" style="0" width="12.140625" hidden="true"/>
  </cols>
  <sheetData>
    <row r="1" customHeight="true" ht="54.75">
      <c r="A1" s="2" t="s">
        <v>5092</v>
      </c>
      <c r="B1" s="2"/>
      <c r="C1" s="2"/>
      <c r="D1" s="2"/>
      <c r="E1" s="2"/>
      <c r="F1" s="2"/>
      <c r="G1" s="2"/>
      <c r="H1" s="2"/>
      <c r="I1" s="2"/>
      <c r="J1" s="2"/>
      <c r="K1" s="2"/>
      <c r="AS1" s="117">
        <f>SUM(AJ1:AJ2)</f>
      </c>
      <c r="AT1" s="117">
        <f>SUM(AK1:AK2)</f>
      </c>
      <c r="AU1" s="117">
        <f>SUM(AL1:AL2)</f>
      </c>
    </row>
    <row r="2">
      <c r="A2" s="3" t="s">
        <v>1</v>
      </c>
      <c r="B2" s="4"/>
      <c r="C2" s="4"/>
      <c r="D2" s="5">
        <f>'Stavební rozpočet'!D2</f>
      </c>
      <c r="E2" s="6"/>
      <c r="F2" s="4" t="s">
        <v>77</v>
      </c>
      <c r="G2" s="4"/>
      <c r="H2" s="7">
        <f>'Stavební rozpočet'!H2</f>
      </c>
      <c r="I2" s="7" t="s">
        <v>2</v>
      </c>
      <c r="J2" s="7">
        <f>'Stavební rozpočet'!J2</f>
      </c>
      <c r="K2" s="8"/>
    </row>
    <row r="3">
      <c r="A3" s="9"/>
      <c r="B3" s="10"/>
      <c r="C3" s="10"/>
      <c r="D3" s="11"/>
      <c r="E3" s="11"/>
      <c r="F3" s="10"/>
      <c r="G3" s="10"/>
      <c r="H3" s="10"/>
      <c r="I3" s="10"/>
      <c r="J3" s="10"/>
      <c r="K3" s="12"/>
    </row>
    <row r="4">
      <c r="A4" s="13" t="s">
        <v>5</v>
      </c>
      <c r="B4" s="10"/>
      <c r="C4" s="10"/>
      <c r="D4" s="14">
        <f>'Stavební rozpočet'!D4</f>
      </c>
      <c r="E4" s="10"/>
      <c r="F4" s="10" t="s">
        <v>9</v>
      </c>
      <c r="G4" s="10"/>
      <c r="H4" s="14">
        <f>'Stavební rozpočet'!H4</f>
      </c>
      <c r="I4" s="14" t="s">
        <v>6</v>
      </c>
      <c r="J4" s="14">
        <f>'Stavební rozpočet'!J4</f>
      </c>
      <c r="K4" s="12"/>
    </row>
    <row r="5">
      <c r="A5" s="9"/>
      <c r="B5" s="10"/>
      <c r="C5" s="10"/>
      <c r="D5" s="10"/>
      <c r="E5" s="10"/>
      <c r="F5" s="10"/>
      <c r="G5" s="10"/>
      <c r="H5" s="10"/>
      <c r="I5" s="10"/>
      <c r="J5" s="10"/>
      <c r="K5" s="12"/>
    </row>
    <row r="6">
      <c r="A6" s="13" t="s">
        <v>7</v>
      </c>
      <c r="B6" s="10"/>
      <c r="C6" s="10"/>
      <c r="D6" s="14">
        <f>'Stavební rozpočet'!D6</f>
      </c>
      <c r="E6" s="10"/>
      <c r="F6" s="10" t="s">
        <v>10</v>
      </c>
      <c r="G6" s="10"/>
      <c r="H6" s="14">
        <f>'Stavební rozpočet'!H6</f>
      </c>
      <c r="I6" s="14" t="s">
        <v>8</v>
      </c>
      <c r="J6" s="14">
        <f>'Stavební rozpočet'!J6</f>
      </c>
      <c r="K6" s="12"/>
    </row>
    <row r="7">
      <c r="A7" s="9"/>
      <c r="B7" s="10"/>
      <c r="C7" s="10"/>
      <c r="D7" s="10"/>
      <c r="E7" s="10"/>
      <c r="F7" s="10"/>
      <c r="G7" s="10"/>
      <c r="H7" s="10"/>
      <c r="I7" s="10"/>
      <c r="J7" s="10"/>
      <c r="K7" s="12"/>
    </row>
    <row r="8">
      <c r="A8" s="13" t="s">
        <v>12</v>
      </c>
      <c r="B8" s="10"/>
      <c r="C8" s="10"/>
      <c r="D8" s="14">
        <f>'Stavební rozpočet'!D8</f>
      </c>
      <c r="E8" s="10"/>
      <c r="F8" s="10" t="s">
        <v>78</v>
      </c>
      <c r="G8" s="10"/>
      <c r="H8" s="14">
        <f>'Stavební rozpočet'!H8</f>
      </c>
      <c r="I8" s="14" t="s">
        <v>13</v>
      </c>
      <c r="J8" s="14">
        <f>'Stavební rozpočet'!J8</f>
      </c>
      <c r="K8" s="12"/>
    </row>
    <row r="9">
      <c r="A9" s="94"/>
      <c r="B9" s="95"/>
      <c r="C9" s="95"/>
      <c r="D9" s="95"/>
      <c r="E9" s="95"/>
      <c r="F9" s="95"/>
      <c r="G9" s="95"/>
      <c r="H9" s="95"/>
      <c r="I9" s="95"/>
      <c r="J9" s="95"/>
      <c r="K9" s="19"/>
    </row>
    <row r="10">
      <c r="A10" s="124" t="s">
        <v>103</v>
      </c>
      <c r="B10" s="125" t="s">
        <v>81</v>
      </c>
      <c r="C10" s="125" t="s">
        <v>104</v>
      </c>
      <c r="D10" s="126" t="s">
        <v>105</v>
      </c>
      <c r="E10" s="127"/>
      <c r="F10" s="125" t="s">
        <v>106</v>
      </c>
      <c r="G10" s="128" t="s">
        <v>107</v>
      </c>
      <c r="H10" s="169" t="s">
        <v>108</v>
      </c>
      <c r="I10" s="101" t="s">
        <v>80</v>
      </c>
      <c r="J10" s="130" t="s">
        <v>109</v>
      </c>
      <c r="K10" s="131"/>
      <c r="BK10" s="132" t="s">
        <v>110</v>
      </c>
      <c r="BL10" s="133" t="s">
        <v>111</v>
      </c>
      <c r="BW10" s="133" t="s">
        <v>112</v>
      </c>
    </row>
    <row r="11">
      <c r="A11" s="134" t="s">
        <v>79</v>
      </c>
      <c r="B11" s="135" t="s">
        <v>79</v>
      </c>
      <c r="C11" s="135" t="s">
        <v>79</v>
      </c>
      <c r="D11" s="103" t="s">
        <v>113</v>
      </c>
      <c r="E11" s="105"/>
      <c r="F11" s="135" t="s">
        <v>79</v>
      </c>
      <c r="G11" s="135" t="s">
        <v>79</v>
      </c>
      <c r="H11" s="170" t="s">
        <v>114</v>
      </c>
      <c r="I11" s="106" t="s">
        <v>83</v>
      </c>
      <c r="J11" s="137" t="s">
        <v>115</v>
      </c>
      <c r="K11" s="138"/>
      <c r="Z11" s="132" t="s">
        <v>116</v>
      </c>
      <c r="AA11" s="132" t="s">
        <v>117</v>
      </c>
      <c r="AB11" s="132" t="s">
        <v>118</v>
      </c>
      <c r="AC11" s="132" t="s">
        <v>119</v>
      </c>
      <c r="AD11" s="132" t="s">
        <v>120</v>
      </c>
      <c r="AE11" s="132" t="s">
        <v>121</v>
      </c>
      <c r="AF11" s="132" t="s">
        <v>122</v>
      </c>
      <c r="AG11" s="132" t="s">
        <v>123</v>
      </c>
      <c r="AH11" s="132" t="s">
        <v>124</v>
      </c>
      <c r="BH11" s="132" t="s">
        <v>125</v>
      </c>
      <c r="BI11" s="132" t="s">
        <v>126</v>
      </c>
      <c r="BJ11" s="132" t="s">
        <v>127</v>
      </c>
    </row>
    <row r="12">
      <c r="A12" s="139" t="s">
        <v>4</v>
      </c>
      <c r="B12" s="140" t="s">
        <v>93</v>
      </c>
      <c r="C12" s="140" t="s">
        <v>4</v>
      </c>
      <c r="D12" s="141" t="s">
        <v>94</v>
      </c>
      <c r="E12" s="140"/>
      <c r="F12" s="142" t="s">
        <v>79</v>
      </c>
      <c r="G12" s="142" t="s">
        <v>79</v>
      </c>
      <c r="H12" s="142" t="s">
        <v>79</v>
      </c>
      <c r="I12" s="144">
        <f>I13+I21+I59+I62+I78+I82+I112+I115+I236+I253</f>
      </c>
      <c r="J12" s="145" t="s">
        <v>4</v>
      </c>
      <c r="K12" s="146"/>
    </row>
    <row r="13">
      <c r="A13" s="147" t="s">
        <v>4</v>
      </c>
      <c r="B13" s="148" t="s">
        <v>93</v>
      </c>
      <c r="C13" s="148" t="s">
        <v>534</v>
      </c>
      <c r="D13" s="149" t="s">
        <v>970</v>
      </c>
      <c r="E13" s="148"/>
      <c r="F13" s="150" t="s">
        <v>79</v>
      </c>
      <c r="G13" s="150" t="s">
        <v>79</v>
      </c>
      <c r="H13" s="150" t="s">
        <v>79</v>
      </c>
      <c r="I13" s="117">
        <f>SUM(I14:I18)</f>
      </c>
      <c r="J13" s="132" t="s">
        <v>4</v>
      </c>
      <c r="K13" s="146"/>
      <c r="AI13" s="132" t="s">
        <v>93</v>
      </c>
      <c r="AS13" s="117">
        <f>SUM(AJ14:AJ18)</f>
      </c>
      <c r="AT13" s="117">
        <f>SUM(AK14:AK18)</f>
      </c>
      <c r="AU13" s="117">
        <f>SUM(AL14:AL18)</f>
      </c>
    </row>
    <row r="14">
      <c r="A14" s="9" t="s">
        <v>130</v>
      </c>
      <c r="B14" s="10" t="s">
        <v>93</v>
      </c>
      <c r="C14" s="10" t="s">
        <v>4591</v>
      </c>
      <c r="D14" s="14" t="s">
        <v>4592</v>
      </c>
      <c r="E14" s="10"/>
      <c r="F14" s="10" t="s">
        <v>145</v>
      </c>
      <c r="G14" s="111">
        <f>'Stavební rozpočet'!G2853</f>
      </c>
      <c r="H14" s="111">
        <f>'Stavební rozpočet'!H2853</f>
      </c>
      <c r="I14" s="111">
        <f>G14*H14</f>
      </c>
      <c r="J14" s="153" t="s">
        <v>134</v>
      </c>
      <c r="K14" s="146"/>
      <c r="Z14" s="111">
        <f>IF(AQ14="5",BJ14,0)</f>
      </c>
      <c r="AB14" s="111">
        <f>IF(AQ14="1",BH14,0)</f>
      </c>
      <c r="AC14" s="111">
        <f>IF(AQ14="1",BI14,0)</f>
      </c>
      <c r="AD14" s="111">
        <f>IF(AQ14="7",BH14,0)</f>
      </c>
      <c r="AE14" s="111">
        <f>IF(AQ14="7",BI14,0)</f>
      </c>
      <c r="AF14" s="111">
        <f>IF(AQ14="2",BH14,0)</f>
      </c>
      <c r="AG14" s="111">
        <f>IF(AQ14="2",BI14,0)</f>
      </c>
      <c r="AH14" s="111">
        <f>IF(AQ14="0",BJ14,0)</f>
      </c>
      <c r="AI14" s="132" t="s">
        <v>93</v>
      </c>
      <c r="AJ14" s="111">
        <f>IF(AN14=0,I14,0)</f>
      </c>
      <c r="AK14" s="111">
        <f>IF(AN14=12,I14,0)</f>
      </c>
      <c r="AL14" s="111">
        <f>IF(AN14=21,I14,0)</f>
      </c>
      <c r="AN14" s="111" t="n">
        <v>21</v>
      </c>
      <c r="AO14" s="111">
        <f>H14*0.17222408</f>
      </c>
      <c r="AP14" s="111">
        <f>H14*(1-0.17222408)</f>
      </c>
      <c r="AQ14" s="153" t="s">
        <v>130</v>
      </c>
      <c r="AV14" s="111">
        <f>AW14+AX14</f>
      </c>
      <c r="AW14" s="111">
        <f>G14*AO14</f>
      </c>
      <c r="AX14" s="111">
        <f>G14*AP14</f>
      </c>
      <c r="AY14" s="153" t="s">
        <v>974</v>
      </c>
      <c r="AZ14" s="153" t="s">
        <v>4593</v>
      </c>
      <c r="BA14" s="132" t="s">
        <v>4594</v>
      </c>
      <c r="BC14" s="111">
        <f>AW14+AX14</f>
      </c>
      <c r="BD14" s="111">
        <f>H14/(100-BE14)*100</f>
      </c>
      <c r="BE14" s="111" t="n">
        <v>0</v>
      </c>
      <c r="BF14" s="111">
        <f>14</f>
      </c>
      <c r="BH14" s="111">
        <f>G14*AO14</f>
      </c>
      <c r="BI14" s="111">
        <f>G14*AP14</f>
      </c>
      <c r="BJ14" s="111">
        <f>G14*H14</f>
      </c>
      <c r="BK14" s="111"/>
      <c r="BL14" s="111" t="n">
        <v>61</v>
      </c>
      <c r="BW14" s="111" t="n">
        <v>21</v>
      </c>
      <c r="BX14" s="14" t="s">
        <v>4592</v>
      </c>
    </row>
    <row r="15" customHeight="true" ht="13.5">
      <c r="A15" s="159"/>
      <c r="C15" s="160" t="s">
        <v>146</v>
      </c>
      <c r="D15" s="161" t="s">
        <v>4595</v>
      </c>
      <c r="E15" s="156"/>
      <c r="F15" s="156"/>
      <c r="G15" s="156"/>
      <c r="H15" s="156"/>
      <c r="I15" s="156"/>
      <c r="J15" s="156"/>
      <c r="K15" s="163"/>
    </row>
    <row r="16">
      <c r="A16" s="154"/>
      <c r="B16" s="155"/>
      <c r="C16" s="155"/>
      <c r="D16" s="156" t="s">
        <v>4596</v>
      </c>
      <c r="E16" s="156" t="s">
        <v>4597</v>
      </c>
      <c r="F16" s="155"/>
      <c r="G16" s="157" t="n">
        <v>17.9</v>
      </c>
      <c r="H16" s="155"/>
      <c r="I16" s="155"/>
      <c r="J16" s="155"/>
      <c r="K16" s="146"/>
    </row>
    <row r="17">
      <c r="A17" s="154"/>
      <c r="B17" s="155"/>
      <c r="C17" s="155"/>
      <c r="D17" s="156" t="s">
        <v>4598</v>
      </c>
      <c r="E17" s="156" t="s">
        <v>4599</v>
      </c>
      <c r="F17" s="155"/>
      <c r="G17" s="157" t="n">
        <v>11.75</v>
      </c>
      <c r="H17" s="155"/>
      <c r="I17" s="155"/>
      <c r="J17" s="155"/>
      <c r="K17" s="146"/>
    </row>
    <row r="18">
      <c r="A18" s="9" t="s">
        <v>140</v>
      </c>
      <c r="B18" s="10" t="s">
        <v>93</v>
      </c>
      <c r="C18" s="10" t="s">
        <v>4601</v>
      </c>
      <c r="D18" s="14" t="s">
        <v>4602</v>
      </c>
      <c r="E18" s="10"/>
      <c r="F18" s="10" t="s">
        <v>2426</v>
      </c>
      <c r="G18" s="111">
        <f>'Stavební rozpočet'!G2857</f>
      </c>
      <c r="H18" s="111">
        <f>'Stavební rozpočet'!H2857</f>
      </c>
      <c r="I18" s="111">
        <f>G18*H18</f>
      </c>
      <c r="J18" s="153" t="s">
        <v>134</v>
      </c>
      <c r="K18" s="146"/>
      <c r="Z18" s="111">
        <f>IF(AQ18="5",BJ18,0)</f>
      </c>
      <c r="AB18" s="111">
        <f>IF(AQ18="1",BH18,0)</f>
      </c>
      <c r="AC18" s="111">
        <f>IF(AQ18="1",BI18,0)</f>
      </c>
      <c r="AD18" s="111">
        <f>IF(AQ18="7",BH18,0)</f>
      </c>
      <c r="AE18" s="111">
        <f>IF(AQ18="7",BI18,0)</f>
      </c>
      <c r="AF18" s="111">
        <f>IF(AQ18="2",BH18,0)</f>
      </c>
      <c r="AG18" s="111">
        <f>IF(AQ18="2",BI18,0)</f>
      </c>
      <c r="AH18" s="111">
        <f>IF(AQ18="0",BJ18,0)</f>
      </c>
      <c r="AI18" s="132" t="s">
        <v>93</v>
      </c>
      <c r="AJ18" s="111">
        <f>IF(AN18=0,I18,0)</f>
      </c>
      <c r="AK18" s="111">
        <f>IF(AN18=12,I18,0)</f>
      </c>
      <c r="AL18" s="111">
        <f>IF(AN18=21,I18,0)</f>
      </c>
      <c r="AN18" s="111" t="n">
        <v>21</v>
      </c>
      <c r="AO18" s="111">
        <f>H18*1</f>
      </c>
      <c r="AP18" s="111">
        <f>H18*(1-1)</f>
      </c>
      <c r="AQ18" s="153" t="s">
        <v>130</v>
      </c>
      <c r="AV18" s="111">
        <f>AW18+AX18</f>
      </c>
      <c r="AW18" s="111">
        <f>G18*AO18</f>
      </c>
      <c r="AX18" s="111">
        <f>G18*AP18</f>
      </c>
      <c r="AY18" s="153" t="s">
        <v>974</v>
      </c>
      <c r="AZ18" s="153" t="s">
        <v>4593</v>
      </c>
      <c r="BA18" s="132" t="s">
        <v>4594</v>
      </c>
      <c r="BC18" s="111">
        <f>AW18+AX18</f>
      </c>
      <c r="BD18" s="111">
        <f>H18/(100-BE18)*100</f>
      </c>
      <c r="BE18" s="111" t="n">
        <v>0</v>
      </c>
      <c r="BF18" s="111">
        <f>18</f>
      </c>
      <c r="BH18" s="111">
        <f>G18*AO18</f>
      </c>
      <c r="BI18" s="111">
        <f>G18*AP18</f>
      </c>
      <c r="BJ18" s="111">
        <f>G18*H18</f>
      </c>
      <c r="BK18" s="111"/>
      <c r="BL18" s="111" t="n">
        <v>61</v>
      </c>
      <c r="BW18" s="111" t="n">
        <v>21</v>
      </c>
      <c r="BX18" s="14" t="s">
        <v>4602</v>
      </c>
    </row>
    <row r="19">
      <c r="A19" s="154"/>
      <c r="B19" s="155"/>
      <c r="C19" s="155"/>
      <c r="D19" s="156" t="s">
        <v>1202</v>
      </c>
      <c r="E19" s="156" t="s">
        <v>4597</v>
      </c>
      <c r="F19" s="155"/>
      <c r="G19" s="157" t="n">
        <v>150</v>
      </c>
      <c r="H19" s="155"/>
      <c r="I19" s="155"/>
      <c r="J19" s="155"/>
      <c r="K19" s="146"/>
    </row>
    <row r="20">
      <c r="A20" s="154"/>
      <c r="B20" s="155"/>
      <c r="C20" s="155"/>
      <c r="D20" s="156" t="s">
        <v>737</v>
      </c>
      <c r="E20" s="156" t="s">
        <v>4599</v>
      </c>
      <c r="F20" s="155"/>
      <c r="G20" s="157" t="n">
        <v>90</v>
      </c>
      <c r="H20" s="155"/>
      <c r="I20" s="155"/>
      <c r="J20" s="155"/>
      <c r="K20" s="146"/>
    </row>
    <row r="21">
      <c r="A21" s="147" t="s">
        <v>4</v>
      </c>
      <c r="B21" s="148" t="s">
        <v>93</v>
      </c>
      <c r="C21" s="148" t="s">
        <v>737</v>
      </c>
      <c r="D21" s="149" t="s">
        <v>1320</v>
      </c>
      <c r="E21" s="148"/>
      <c r="F21" s="150" t="s">
        <v>79</v>
      </c>
      <c r="G21" s="150" t="s">
        <v>79</v>
      </c>
      <c r="H21" s="150" t="s">
        <v>79</v>
      </c>
      <c r="I21" s="117">
        <f>SUM(I22:I57)</f>
      </c>
      <c r="J21" s="132" t="s">
        <v>4</v>
      </c>
      <c r="K21" s="146"/>
      <c r="AI21" s="132" t="s">
        <v>93</v>
      </c>
      <c r="AS21" s="117">
        <f>SUM(AJ22:AJ57)</f>
      </c>
      <c r="AT21" s="117">
        <f>SUM(AK22:AK57)</f>
      </c>
      <c r="AU21" s="117">
        <f>SUM(AL22:AL57)</f>
      </c>
    </row>
    <row r="22">
      <c r="A22" s="9" t="s">
        <v>138</v>
      </c>
      <c r="B22" s="10" t="s">
        <v>93</v>
      </c>
      <c r="C22" s="10" t="s">
        <v>4604</v>
      </c>
      <c r="D22" s="14" t="s">
        <v>4605</v>
      </c>
      <c r="E22" s="10"/>
      <c r="F22" s="10" t="s">
        <v>3854</v>
      </c>
      <c r="G22" s="111">
        <f>'Stavební rozpočet'!G2861</f>
      </c>
      <c r="H22" s="111">
        <f>'Stavební rozpočet'!H2861</f>
      </c>
      <c r="I22" s="111">
        <f>G22*H22</f>
      </c>
      <c r="J22" s="153" t="s">
        <v>2936</v>
      </c>
      <c r="K22" s="146"/>
      <c r="Z22" s="111">
        <f>IF(AQ22="5",BJ22,0)</f>
      </c>
      <c r="AB22" s="111">
        <f>IF(AQ22="1",BH22,0)</f>
      </c>
      <c r="AC22" s="111">
        <f>IF(AQ22="1",BI22,0)</f>
      </c>
      <c r="AD22" s="111">
        <f>IF(AQ22="7",BH22,0)</f>
      </c>
      <c r="AE22" s="111">
        <f>IF(AQ22="7",BI22,0)</f>
      </c>
      <c r="AF22" s="111">
        <f>IF(AQ22="2",BH22,0)</f>
      </c>
      <c r="AG22" s="111">
        <f>IF(AQ22="2",BI22,0)</f>
      </c>
      <c r="AH22" s="111">
        <f>IF(AQ22="0",BJ22,0)</f>
      </c>
      <c r="AI22" s="132" t="s">
        <v>93</v>
      </c>
      <c r="AJ22" s="111">
        <f>IF(AN22=0,I22,0)</f>
      </c>
      <c r="AK22" s="111">
        <f>IF(AN22=12,I22,0)</f>
      </c>
      <c r="AL22" s="111">
        <f>IF(AN22=21,I22,0)</f>
      </c>
      <c r="AN22" s="111" t="n">
        <v>21</v>
      </c>
      <c r="AO22" s="111">
        <f>H22*0</f>
      </c>
      <c r="AP22" s="111">
        <f>H22*(1-0)</f>
      </c>
      <c r="AQ22" s="153" t="s">
        <v>130</v>
      </c>
      <c r="AV22" s="111">
        <f>AW22+AX22</f>
      </c>
      <c r="AW22" s="111">
        <f>G22*AO22</f>
      </c>
      <c r="AX22" s="111">
        <f>G22*AP22</f>
      </c>
      <c r="AY22" s="153" t="s">
        <v>1325</v>
      </c>
      <c r="AZ22" s="153" t="s">
        <v>4606</v>
      </c>
      <c r="BA22" s="132" t="s">
        <v>4594</v>
      </c>
      <c r="BC22" s="111">
        <f>AW22+AX22</f>
      </c>
      <c r="BD22" s="111">
        <f>H22/(100-BE22)*100</f>
      </c>
      <c r="BE22" s="111" t="n">
        <v>0</v>
      </c>
      <c r="BF22" s="111">
        <f>22</f>
      </c>
      <c r="BH22" s="111">
        <f>G22*AO22</f>
      </c>
      <c r="BI22" s="111">
        <f>G22*AP22</f>
      </c>
      <c r="BJ22" s="111">
        <f>G22*H22</f>
      </c>
      <c r="BK22" s="111"/>
      <c r="BL22" s="111" t="n">
        <v>90</v>
      </c>
      <c r="BW22" s="111" t="n">
        <v>21</v>
      </c>
      <c r="BX22" s="14" t="s">
        <v>4605</v>
      </c>
    </row>
    <row r="23" customHeight="true" ht="13.5">
      <c r="A23" s="159"/>
      <c r="C23" s="160" t="s">
        <v>146</v>
      </c>
      <c r="D23" s="161" t="s">
        <v>4607</v>
      </c>
      <c r="E23" s="156"/>
      <c r="F23" s="156"/>
      <c r="G23" s="156"/>
      <c r="H23" s="156"/>
      <c r="I23" s="156"/>
      <c r="J23" s="156"/>
      <c r="K23" s="163"/>
    </row>
    <row r="24">
      <c r="A24" s="9" t="s">
        <v>149</v>
      </c>
      <c r="B24" s="10" t="s">
        <v>93</v>
      </c>
      <c r="C24" s="10" t="s">
        <v>4604</v>
      </c>
      <c r="D24" s="14" t="s">
        <v>4609</v>
      </c>
      <c r="E24" s="10"/>
      <c r="F24" s="10" t="s">
        <v>3854</v>
      </c>
      <c r="G24" s="111">
        <f>'Stavební rozpočet'!G2863</f>
      </c>
      <c r="H24" s="111">
        <f>'Stavební rozpočet'!H2863</f>
      </c>
      <c r="I24" s="111">
        <f>G24*H24</f>
      </c>
      <c r="J24" s="153" t="s">
        <v>2936</v>
      </c>
      <c r="K24" s="146"/>
      <c r="Z24" s="111">
        <f>IF(AQ24="5",BJ24,0)</f>
      </c>
      <c r="AB24" s="111">
        <f>IF(AQ24="1",BH24,0)</f>
      </c>
      <c r="AC24" s="111">
        <f>IF(AQ24="1",BI24,0)</f>
      </c>
      <c r="AD24" s="111">
        <f>IF(AQ24="7",BH24,0)</f>
      </c>
      <c r="AE24" s="111">
        <f>IF(AQ24="7",BI24,0)</f>
      </c>
      <c r="AF24" s="111">
        <f>IF(AQ24="2",BH24,0)</f>
      </c>
      <c r="AG24" s="111">
        <f>IF(AQ24="2",BI24,0)</f>
      </c>
      <c r="AH24" s="111">
        <f>IF(AQ24="0",BJ24,0)</f>
      </c>
      <c r="AI24" s="132" t="s">
        <v>93</v>
      </c>
      <c r="AJ24" s="111">
        <f>IF(AN24=0,I24,0)</f>
      </c>
      <c r="AK24" s="111">
        <f>IF(AN24=12,I24,0)</f>
      </c>
      <c r="AL24" s="111">
        <f>IF(AN24=21,I24,0)</f>
      </c>
      <c r="AN24" s="111" t="n">
        <v>21</v>
      </c>
      <c r="AO24" s="111">
        <f>H24*0</f>
      </c>
      <c r="AP24" s="111">
        <f>H24*(1-0)</f>
      </c>
      <c r="AQ24" s="153" t="s">
        <v>130</v>
      </c>
      <c r="AV24" s="111">
        <f>AW24+AX24</f>
      </c>
      <c r="AW24" s="111">
        <f>G24*AO24</f>
      </c>
      <c r="AX24" s="111">
        <f>G24*AP24</f>
      </c>
      <c r="AY24" s="153" t="s">
        <v>1325</v>
      </c>
      <c r="AZ24" s="153" t="s">
        <v>4606</v>
      </c>
      <c r="BA24" s="132" t="s">
        <v>4594</v>
      </c>
      <c r="BC24" s="111">
        <f>AW24+AX24</f>
      </c>
      <c r="BD24" s="111">
        <f>H24/(100-BE24)*100</f>
      </c>
      <c r="BE24" s="111" t="n">
        <v>0</v>
      </c>
      <c r="BF24" s="111">
        <f>24</f>
      </c>
      <c r="BH24" s="111">
        <f>G24*AO24</f>
      </c>
      <c r="BI24" s="111">
        <f>G24*AP24</f>
      </c>
      <c r="BJ24" s="111">
        <f>G24*H24</f>
      </c>
      <c r="BK24" s="111"/>
      <c r="BL24" s="111" t="n">
        <v>90</v>
      </c>
      <c r="BW24" s="111" t="n">
        <v>21</v>
      </c>
      <c r="BX24" s="14" t="s">
        <v>4609</v>
      </c>
    </row>
    <row r="25" customHeight="true" ht="13.5">
      <c r="A25" s="159"/>
      <c r="C25" s="160" t="s">
        <v>146</v>
      </c>
      <c r="D25" s="161" t="s">
        <v>4610</v>
      </c>
      <c r="E25" s="156"/>
      <c r="F25" s="156"/>
      <c r="G25" s="156"/>
      <c r="H25" s="156"/>
      <c r="I25" s="156"/>
      <c r="J25" s="156"/>
      <c r="K25" s="163"/>
    </row>
    <row r="26">
      <c r="A26" s="9" t="s">
        <v>156</v>
      </c>
      <c r="B26" s="10" t="s">
        <v>93</v>
      </c>
      <c r="C26" s="10" t="s">
        <v>4604</v>
      </c>
      <c r="D26" s="14" t="s">
        <v>4612</v>
      </c>
      <c r="E26" s="10"/>
      <c r="F26" s="10" t="s">
        <v>3854</v>
      </c>
      <c r="G26" s="111">
        <f>'Stavební rozpočet'!G2865</f>
      </c>
      <c r="H26" s="111">
        <f>'Stavební rozpočet'!H2865</f>
      </c>
      <c r="I26" s="111">
        <f>G26*H26</f>
      </c>
      <c r="J26" s="153" t="s">
        <v>2936</v>
      </c>
      <c r="K26" s="146"/>
      <c r="Z26" s="111">
        <f>IF(AQ26="5",BJ26,0)</f>
      </c>
      <c r="AB26" s="111">
        <f>IF(AQ26="1",BH26,0)</f>
      </c>
      <c r="AC26" s="111">
        <f>IF(AQ26="1",BI26,0)</f>
      </c>
      <c r="AD26" s="111">
        <f>IF(AQ26="7",BH26,0)</f>
      </c>
      <c r="AE26" s="111">
        <f>IF(AQ26="7",BI26,0)</f>
      </c>
      <c r="AF26" s="111">
        <f>IF(AQ26="2",BH26,0)</f>
      </c>
      <c r="AG26" s="111">
        <f>IF(AQ26="2",BI26,0)</f>
      </c>
      <c r="AH26" s="111">
        <f>IF(AQ26="0",BJ26,0)</f>
      </c>
      <c r="AI26" s="132" t="s">
        <v>93</v>
      </c>
      <c r="AJ26" s="111">
        <f>IF(AN26=0,I26,0)</f>
      </c>
      <c r="AK26" s="111">
        <f>IF(AN26=12,I26,0)</f>
      </c>
      <c r="AL26" s="111">
        <f>IF(AN26=21,I26,0)</f>
      </c>
      <c r="AN26" s="111" t="n">
        <v>21</v>
      </c>
      <c r="AO26" s="111">
        <f>H26*0</f>
      </c>
      <c r="AP26" s="111">
        <f>H26*(1-0)</f>
      </c>
      <c r="AQ26" s="153" t="s">
        <v>130</v>
      </c>
      <c r="AV26" s="111">
        <f>AW26+AX26</f>
      </c>
      <c r="AW26" s="111">
        <f>G26*AO26</f>
      </c>
      <c r="AX26" s="111">
        <f>G26*AP26</f>
      </c>
      <c r="AY26" s="153" t="s">
        <v>1325</v>
      </c>
      <c r="AZ26" s="153" t="s">
        <v>4606</v>
      </c>
      <c r="BA26" s="132" t="s">
        <v>4594</v>
      </c>
      <c r="BC26" s="111">
        <f>AW26+AX26</f>
      </c>
      <c r="BD26" s="111">
        <f>H26/(100-BE26)*100</f>
      </c>
      <c r="BE26" s="111" t="n">
        <v>0</v>
      </c>
      <c r="BF26" s="111">
        <f>26</f>
      </c>
      <c r="BH26" s="111">
        <f>G26*AO26</f>
      </c>
      <c r="BI26" s="111">
        <f>G26*AP26</f>
      </c>
      <c r="BJ26" s="111">
        <f>G26*H26</f>
      </c>
      <c r="BK26" s="111"/>
      <c r="BL26" s="111" t="n">
        <v>90</v>
      </c>
      <c r="BW26" s="111" t="n">
        <v>21</v>
      </c>
      <c r="BX26" s="14" t="s">
        <v>4612</v>
      </c>
    </row>
    <row r="27" customHeight="true" ht="13.5">
      <c r="A27" s="159"/>
      <c r="C27" s="160" t="s">
        <v>146</v>
      </c>
      <c r="D27" s="161" t="s">
        <v>4613</v>
      </c>
      <c r="E27" s="156"/>
      <c r="F27" s="156"/>
      <c r="G27" s="156"/>
      <c r="H27" s="156"/>
      <c r="I27" s="156"/>
      <c r="J27" s="156"/>
      <c r="K27" s="163"/>
    </row>
    <row r="28">
      <c r="A28" s="154"/>
      <c r="B28" s="155"/>
      <c r="C28" s="155"/>
      <c r="D28" s="156" t="s">
        <v>154</v>
      </c>
      <c r="E28" s="156" t="s">
        <v>4</v>
      </c>
      <c r="F28" s="155"/>
      <c r="G28" s="157" t="n">
        <v>12</v>
      </c>
      <c r="H28" s="155"/>
      <c r="I28" s="155"/>
      <c r="J28" s="155"/>
      <c r="K28" s="146"/>
    </row>
    <row r="29">
      <c r="A29" s="9" t="s">
        <v>165</v>
      </c>
      <c r="B29" s="10" t="s">
        <v>93</v>
      </c>
      <c r="C29" s="10" t="s">
        <v>4604</v>
      </c>
      <c r="D29" s="14" t="s">
        <v>4615</v>
      </c>
      <c r="E29" s="10"/>
      <c r="F29" s="10" t="s">
        <v>3854</v>
      </c>
      <c r="G29" s="111">
        <f>'Stavební rozpočet'!G2868</f>
      </c>
      <c r="H29" s="111">
        <f>'Stavební rozpočet'!H2868</f>
      </c>
      <c r="I29" s="111">
        <f>G29*H29</f>
      </c>
      <c r="J29" s="153" t="s">
        <v>2936</v>
      </c>
      <c r="K29" s="146"/>
      <c r="Z29" s="111">
        <f>IF(AQ29="5",BJ29,0)</f>
      </c>
      <c r="AB29" s="111">
        <f>IF(AQ29="1",BH29,0)</f>
      </c>
      <c r="AC29" s="111">
        <f>IF(AQ29="1",BI29,0)</f>
      </c>
      <c r="AD29" s="111">
        <f>IF(AQ29="7",BH29,0)</f>
      </c>
      <c r="AE29" s="111">
        <f>IF(AQ29="7",BI29,0)</f>
      </c>
      <c r="AF29" s="111">
        <f>IF(AQ29="2",BH29,0)</f>
      </c>
      <c r="AG29" s="111">
        <f>IF(AQ29="2",BI29,0)</f>
      </c>
      <c r="AH29" s="111">
        <f>IF(AQ29="0",BJ29,0)</f>
      </c>
      <c r="AI29" s="132" t="s">
        <v>93</v>
      </c>
      <c r="AJ29" s="111">
        <f>IF(AN29=0,I29,0)</f>
      </c>
      <c r="AK29" s="111">
        <f>IF(AN29=12,I29,0)</f>
      </c>
      <c r="AL29" s="111">
        <f>IF(AN29=21,I29,0)</f>
      </c>
      <c r="AN29" s="111" t="n">
        <v>21</v>
      </c>
      <c r="AO29" s="111">
        <f>H29*0</f>
      </c>
      <c r="AP29" s="111">
        <f>H29*(1-0)</f>
      </c>
      <c r="AQ29" s="153" t="s">
        <v>130</v>
      </c>
      <c r="AV29" s="111">
        <f>AW29+AX29</f>
      </c>
      <c r="AW29" s="111">
        <f>G29*AO29</f>
      </c>
      <c r="AX29" s="111">
        <f>G29*AP29</f>
      </c>
      <c r="AY29" s="153" t="s">
        <v>1325</v>
      </c>
      <c r="AZ29" s="153" t="s">
        <v>4606</v>
      </c>
      <c r="BA29" s="132" t="s">
        <v>4594</v>
      </c>
      <c r="BC29" s="111">
        <f>AW29+AX29</f>
      </c>
      <c r="BD29" s="111">
        <f>H29/(100-BE29)*100</f>
      </c>
      <c r="BE29" s="111" t="n">
        <v>0</v>
      </c>
      <c r="BF29" s="111">
        <f>29</f>
      </c>
      <c r="BH29" s="111">
        <f>G29*AO29</f>
      </c>
      <c r="BI29" s="111">
        <f>G29*AP29</f>
      </c>
      <c r="BJ29" s="111">
        <f>G29*H29</f>
      </c>
      <c r="BK29" s="111"/>
      <c r="BL29" s="111" t="n">
        <v>90</v>
      </c>
      <c r="BW29" s="111" t="n">
        <v>21</v>
      </c>
      <c r="BX29" s="14" t="s">
        <v>4615</v>
      </c>
    </row>
    <row r="30" customHeight="true" ht="13.5">
      <c r="A30" s="159"/>
      <c r="C30" s="160" t="s">
        <v>146</v>
      </c>
      <c r="D30" s="161" t="s">
        <v>4613</v>
      </c>
      <c r="E30" s="156"/>
      <c r="F30" s="156"/>
      <c r="G30" s="156"/>
      <c r="H30" s="156"/>
      <c r="I30" s="156"/>
      <c r="J30" s="156"/>
      <c r="K30" s="163"/>
    </row>
    <row r="31">
      <c r="A31" s="154"/>
      <c r="B31" s="155"/>
      <c r="C31" s="155"/>
      <c r="D31" s="156" t="s">
        <v>154</v>
      </c>
      <c r="E31" s="156" t="s">
        <v>4</v>
      </c>
      <c r="F31" s="155"/>
      <c r="G31" s="157" t="n">
        <v>12</v>
      </c>
      <c r="H31" s="155"/>
      <c r="I31" s="155"/>
      <c r="J31" s="155"/>
      <c r="K31" s="146"/>
    </row>
    <row r="32">
      <c r="A32" s="9" t="s">
        <v>173</v>
      </c>
      <c r="B32" s="10" t="s">
        <v>93</v>
      </c>
      <c r="C32" s="10" t="s">
        <v>4604</v>
      </c>
      <c r="D32" s="14" t="s">
        <v>4617</v>
      </c>
      <c r="E32" s="10"/>
      <c r="F32" s="10" t="s">
        <v>3854</v>
      </c>
      <c r="G32" s="111">
        <f>'Stavební rozpočet'!G2871</f>
      </c>
      <c r="H32" s="111">
        <f>'Stavební rozpočet'!H2871</f>
      </c>
      <c r="I32" s="111">
        <f>G32*H32</f>
      </c>
      <c r="J32" s="153" t="s">
        <v>2936</v>
      </c>
      <c r="K32" s="146"/>
      <c r="Z32" s="111">
        <f>IF(AQ32="5",BJ32,0)</f>
      </c>
      <c r="AB32" s="111">
        <f>IF(AQ32="1",BH32,0)</f>
      </c>
      <c r="AC32" s="111">
        <f>IF(AQ32="1",BI32,0)</f>
      </c>
      <c r="AD32" s="111">
        <f>IF(AQ32="7",BH32,0)</f>
      </c>
      <c r="AE32" s="111">
        <f>IF(AQ32="7",BI32,0)</f>
      </c>
      <c r="AF32" s="111">
        <f>IF(AQ32="2",BH32,0)</f>
      </c>
      <c r="AG32" s="111">
        <f>IF(AQ32="2",BI32,0)</f>
      </c>
      <c r="AH32" s="111">
        <f>IF(AQ32="0",BJ32,0)</f>
      </c>
      <c r="AI32" s="132" t="s">
        <v>93</v>
      </c>
      <c r="AJ32" s="111">
        <f>IF(AN32=0,I32,0)</f>
      </c>
      <c r="AK32" s="111">
        <f>IF(AN32=12,I32,0)</f>
      </c>
      <c r="AL32" s="111">
        <f>IF(AN32=21,I32,0)</f>
      </c>
      <c r="AN32" s="111" t="n">
        <v>21</v>
      </c>
      <c r="AO32" s="111">
        <f>H32*0</f>
      </c>
      <c r="AP32" s="111">
        <f>H32*(1-0)</f>
      </c>
      <c r="AQ32" s="153" t="s">
        <v>130</v>
      </c>
      <c r="AV32" s="111">
        <f>AW32+AX32</f>
      </c>
      <c r="AW32" s="111">
        <f>G32*AO32</f>
      </c>
      <c r="AX32" s="111">
        <f>G32*AP32</f>
      </c>
      <c r="AY32" s="153" t="s">
        <v>1325</v>
      </c>
      <c r="AZ32" s="153" t="s">
        <v>4606</v>
      </c>
      <c r="BA32" s="132" t="s">
        <v>4594</v>
      </c>
      <c r="BC32" s="111">
        <f>AW32+AX32</f>
      </c>
      <c r="BD32" s="111">
        <f>H32/(100-BE32)*100</f>
      </c>
      <c r="BE32" s="111" t="n">
        <v>0</v>
      </c>
      <c r="BF32" s="111">
        <f>32</f>
      </c>
      <c r="BH32" s="111">
        <f>G32*AO32</f>
      </c>
      <c r="BI32" s="111">
        <f>G32*AP32</f>
      </c>
      <c r="BJ32" s="111">
        <f>G32*H32</f>
      </c>
      <c r="BK32" s="111"/>
      <c r="BL32" s="111" t="n">
        <v>90</v>
      </c>
      <c r="BW32" s="111" t="n">
        <v>21</v>
      </c>
      <c r="BX32" s="14" t="s">
        <v>4617</v>
      </c>
    </row>
    <row r="33">
      <c r="A33" s="154"/>
      <c r="B33" s="155"/>
      <c r="C33" s="155"/>
      <c r="D33" s="156" t="s">
        <v>176</v>
      </c>
      <c r="E33" s="156" t="s">
        <v>4</v>
      </c>
      <c r="F33" s="155"/>
      <c r="G33" s="157" t="n">
        <v>8</v>
      </c>
      <c r="H33" s="155"/>
      <c r="I33" s="155"/>
      <c r="J33" s="155"/>
      <c r="K33" s="146"/>
    </row>
    <row r="34">
      <c r="A34" s="9" t="s">
        <v>176</v>
      </c>
      <c r="B34" s="10" t="s">
        <v>93</v>
      </c>
      <c r="C34" s="10" t="s">
        <v>4604</v>
      </c>
      <c r="D34" s="14" t="s">
        <v>4619</v>
      </c>
      <c r="E34" s="10"/>
      <c r="F34" s="10" t="s">
        <v>3854</v>
      </c>
      <c r="G34" s="111">
        <f>'Stavební rozpočet'!G2873</f>
      </c>
      <c r="H34" s="111">
        <f>'Stavební rozpočet'!H2873</f>
      </c>
      <c r="I34" s="111">
        <f>G34*H34</f>
      </c>
      <c r="J34" s="153" t="s">
        <v>2936</v>
      </c>
      <c r="K34" s="146"/>
      <c r="Z34" s="111">
        <f>IF(AQ34="5",BJ34,0)</f>
      </c>
      <c r="AB34" s="111">
        <f>IF(AQ34="1",BH34,0)</f>
      </c>
      <c r="AC34" s="111">
        <f>IF(AQ34="1",BI34,0)</f>
      </c>
      <c r="AD34" s="111">
        <f>IF(AQ34="7",BH34,0)</f>
      </c>
      <c r="AE34" s="111">
        <f>IF(AQ34="7",BI34,0)</f>
      </c>
      <c r="AF34" s="111">
        <f>IF(AQ34="2",BH34,0)</f>
      </c>
      <c r="AG34" s="111">
        <f>IF(AQ34="2",BI34,0)</f>
      </c>
      <c r="AH34" s="111">
        <f>IF(AQ34="0",BJ34,0)</f>
      </c>
      <c r="AI34" s="132" t="s">
        <v>93</v>
      </c>
      <c r="AJ34" s="111">
        <f>IF(AN34=0,I34,0)</f>
      </c>
      <c r="AK34" s="111">
        <f>IF(AN34=12,I34,0)</f>
      </c>
      <c r="AL34" s="111">
        <f>IF(AN34=21,I34,0)</f>
      </c>
      <c r="AN34" s="111" t="n">
        <v>21</v>
      </c>
      <c r="AO34" s="111">
        <f>H34*0</f>
      </c>
      <c r="AP34" s="111">
        <f>H34*(1-0)</f>
      </c>
      <c r="AQ34" s="153" t="s">
        <v>130</v>
      </c>
      <c r="AV34" s="111">
        <f>AW34+AX34</f>
      </c>
      <c r="AW34" s="111">
        <f>G34*AO34</f>
      </c>
      <c r="AX34" s="111">
        <f>G34*AP34</f>
      </c>
      <c r="AY34" s="153" t="s">
        <v>1325</v>
      </c>
      <c r="AZ34" s="153" t="s">
        <v>4606</v>
      </c>
      <c r="BA34" s="132" t="s">
        <v>4594</v>
      </c>
      <c r="BC34" s="111">
        <f>AW34+AX34</f>
      </c>
      <c r="BD34" s="111">
        <f>H34/(100-BE34)*100</f>
      </c>
      <c r="BE34" s="111" t="n">
        <v>0</v>
      </c>
      <c r="BF34" s="111">
        <f>34</f>
      </c>
      <c r="BH34" s="111">
        <f>G34*AO34</f>
      </c>
      <c r="BI34" s="111">
        <f>G34*AP34</f>
      </c>
      <c r="BJ34" s="111">
        <f>G34*H34</f>
      </c>
      <c r="BK34" s="111"/>
      <c r="BL34" s="111" t="n">
        <v>90</v>
      </c>
      <c r="BW34" s="111" t="n">
        <v>21</v>
      </c>
      <c r="BX34" s="14" t="s">
        <v>4619</v>
      </c>
    </row>
    <row r="35">
      <c r="A35" s="9" t="s">
        <v>183</v>
      </c>
      <c r="B35" s="10" t="s">
        <v>93</v>
      </c>
      <c r="C35" s="10" t="s">
        <v>4604</v>
      </c>
      <c r="D35" s="14" t="s">
        <v>4621</v>
      </c>
      <c r="E35" s="10"/>
      <c r="F35" s="10" t="s">
        <v>3854</v>
      </c>
      <c r="G35" s="111">
        <f>'Stavební rozpočet'!G2874</f>
      </c>
      <c r="H35" s="111">
        <f>'Stavební rozpočet'!H2874</f>
      </c>
      <c r="I35" s="111">
        <f>G35*H35</f>
      </c>
      <c r="J35" s="153" t="s">
        <v>2936</v>
      </c>
      <c r="K35" s="146"/>
      <c r="Z35" s="111">
        <f>IF(AQ35="5",BJ35,0)</f>
      </c>
      <c r="AB35" s="111">
        <f>IF(AQ35="1",BH35,0)</f>
      </c>
      <c r="AC35" s="111">
        <f>IF(AQ35="1",BI35,0)</f>
      </c>
      <c r="AD35" s="111">
        <f>IF(AQ35="7",BH35,0)</f>
      </c>
      <c r="AE35" s="111">
        <f>IF(AQ35="7",BI35,0)</f>
      </c>
      <c r="AF35" s="111">
        <f>IF(AQ35="2",BH35,0)</f>
      </c>
      <c r="AG35" s="111">
        <f>IF(AQ35="2",BI35,0)</f>
      </c>
      <c r="AH35" s="111">
        <f>IF(AQ35="0",BJ35,0)</f>
      </c>
      <c r="AI35" s="132" t="s">
        <v>93</v>
      </c>
      <c r="AJ35" s="111">
        <f>IF(AN35=0,I35,0)</f>
      </c>
      <c r="AK35" s="111">
        <f>IF(AN35=12,I35,0)</f>
      </c>
      <c r="AL35" s="111">
        <f>IF(AN35=21,I35,0)</f>
      </c>
      <c r="AN35" s="111" t="n">
        <v>21</v>
      </c>
      <c r="AO35" s="111">
        <f>H35*0</f>
      </c>
      <c r="AP35" s="111">
        <f>H35*(1-0)</f>
      </c>
      <c r="AQ35" s="153" t="s">
        <v>130</v>
      </c>
      <c r="AV35" s="111">
        <f>AW35+AX35</f>
      </c>
      <c r="AW35" s="111">
        <f>G35*AO35</f>
      </c>
      <c r="AX35" s="111">
        <f>G35*AP35</f>
      </c>
      <c r="AY35" s="153" t="s">
        <v>1325</v>
      </c>
      <c r="AZ35" s="153" t="s">
        <v>4606</v>
      </c>
      <c r="BA35" s="132" t="s">
        <v>4594</v>
      </c>
      <c r="BC35" s="111">
        <f>AW35+AX35</f>
      </c>
      <c r="BD35" s="111">
        <f>H35/(100-BE35)*100</f>
      </c>
      <c r="BE35" s="111" t="n">
        <v>0</v>
      </c>
      <c r="BF35" s="111">
        <f>35</f>
      </c>
      <c r="BH35" s="111">
        <f>G35*AO35</f>
      </c>
      <c r="BI35" s="111">
        <f>G35*AP35</f>
      </c>
      <c r="BJ35" s="111">
        <f>G35*H35</f>
      </c>
      <c r="BK35" s="111"/>
      <c r="BL35" s="111" t="n">
        <v>90</v>
      </c>
      <c r="BW35" s="111" t="n">
        <v>21</v>
      </c>
      <c r="BX35" s="14" t="s">
        <v>4621</v>
      </c>
    </row>
    <row r="36">
      <c r="A36" s="9" t="s">
        <v>186</v>
      </c>
      <c r="B36" s="10" t="s">
        <v>93</v>
      </c>
      <c r="C36" s="10" t="s">
        <v>4604</v>
      </c>
      <c r="D36" s="14" t="s">
        <v>4623</v>
      </c>
      <c r="E36" s="10"/>
      <c r="F36" s="10" t="s">
        <v>3854</v>
      </c>
      <c r="G36" s="111">
        <f>'Stavební rozpočet'!G2875</f>
      </c>
      <c r="H36" s="111">
        <f>'Stavební rozpočet'!H2875</f>
      </c>
      <c r="I36" s="111">
        <f>G36*H36</f>
      </c>
      <c r="J36" s="153" t="s">
        <v>2936</v>
      </c>
      <c r="K36" s="146"/>
      <c r="Z36" s="111">
        <f>IF(AQ36="5",BJ36,0)</f>
      </c>
      <c r="AB36" s="111">
        <f>IF(AQ36="1",BH36,0)</f>
      </c>
      <c r="AC36" s="111">
        <f>IF(AQ36="1",BI36,0)</f>
      </c>
      <c r="AD36" s="111">
        <f>IF(AQ36="7",BH36,0)</f>
      </c>
      <c r="AE36" s="111">
        <f>IF(AQ36="7",BI36,0)</f>
      </c>
      <c r="AF36" s="111">
        <f>IF(AQ36="2",BH36,0)</f>
      </c>
      <c r="AG36" s="111">
        <f>IF(AQ36="2",BI36,0)</f>
      </c>
      <c r="AH36" s="111">
        <f>IF(AQ36="0",BJ36,0)</f>
      </c>
      <c r="AI36" s="132" t="s">
        <v>93</v>
      </c>
      <c r="AJ36" s="111">
        <f>IF(AN36=0,I36,0)</f>
      </c>
      <c r="AK36" s="111">
        <f>IF(AN36=12,I36,0)</f>
      </c>
      <c r="AL36" s="111">
        <f>IF(AN36=21,I36,0)</f>
      </c>
      <c r="AN36" s="111" t="n">
        <v>21</v>
      </c>
      <c r="AO36" s="111">
        <f>H36*0</f>
      </c>
      <c r="AP36" s="111">
        <f>H36*(1-0)</f>
      </c>
      <c r="AQ36" s="153" t="s">
        <v>130</v>
      </c>
      <c r="AV36" s="111">
        <f>AW36+AX36</f>
      </c>
      <c r="AW36" s="111">
        <f>G36*AO36</f>
      </c>
      <c r="AX36" s="111">
        <f>G36*AP36</f>
      </c>
      <c r="AY36" s="153" t="s">
        <v>1325</v>
      </c>
      <c r="AZ36" s="153" t="s">
        <v>4606</v>
      </c>
      <c r="BA36" s="132" t="s">
        <v>4594</v>
      </c>
      <c r="BC36" s="111">
        <f>AW36+AX36</f>
      </c>
      <c r="BD36" s="111">
        <f>H36/(100-BE36)*100</f>
      </c>
      <c r="BE36" s="111" t="n">
        <v>0</v>
      </c>
      <c r="BF36" s="111">
        <f>36</f>
      </c>
      <c r="BH36" s="111">
        <f>G36*AO36</f>
      </c>
      <c r="BI36" s="111">
        <f>G36*AP36</f>
      </c>
      <c r="BJ36" s="111">
        <f>G36*H36</f>
      </c>
      <c r="BK36" s="111"/>
      <c r="BL36" s="111" t="n">
        <v>90</v>
      </c>
      <c r="BW36" s="111" t="n">
        <v>21</v>
      </c>
      <c r="BX36" s="14" t="s">
        <v>4623</v>
      </c>
    </row>
    <row r="37">
      <c r="A37" s="9" t="s">
        <v>128</v>
      </c>
      <c r="B37" s="10" t="s">
        <v>93</v>
      </c>
      <c r="C37" s="10" t="s">
        <v>4604</v>
      </c>
      <c r="D37" s="14" t="s">
        <v>4625</v>
      </c>
      <c r="E37" s="10"/>
      <c r="F37" s="10" t="s">
        <v>3854</v>
      </c>
      <c r="G37" s="111">
        <f>'Stavební rozpočet'!G2876</f>
      </c>
      <c r="H37" s="111">
        <f>'Stavební rozpočet'!H2876</f>
      </c>
      <c r="I37" s="111">
        <f>G37*H37</f>
      </c>
      <c r="J37" s="153" t="s">
        <v>2936</v>
      </c>
      <c r="K37" s="146"/>
      <c r="Z37" s="111">
        <f>IF(AQ37="5",BJ37,0)</f>
      </c>
      <c r="AB37" s="111">
        <f>IF(AQ37="1",BH37,0)</f>
      </c>
      <c r="AC37" s="111">
        <f>IF(AQ37="1",BI37,0)</f>
      </c>
      <c r="AD37" s="111">
        <f>IF(AQ37="7",BH37,0)</f>
      </c>
      <c r="AE37" s="111">
        <f>IF(AQ37="7",BI37,0)</f>
      </c>
      <c r="AF37" s="111">
        <f>IF(AQ37="2",BH37,0)</f>
      </c>
      <c r="AG37" s="111">
        <f>IF(AQ37="2",BI37,0)</f>
      </c>
      <c r="AH37" s="111">
        <f>IF(AQ37="0",BJ37,0)</f>
      </c>
      <c r="AI37" s="132" t="s">
        <v>93</v>
      </c>
      <c r="AJ37" s="111">
        <f>IF(AN37=0,I37,0)</f>
      </c>
      <c r="AK37" s="111">
        <f>IF(AN37=12,I37,0)</f>
      </c>
      <c r="AL37" s="111">
        <f>IF(AN37=21,I37,0)</f>
      </c>
      <c r="AN37" s="111" t="n">
        <v>21</v>
      </c>
      <c r="AO37" s="111">
        <f>H37*0</f>
      </c>
      <c r="AP37" s="111">
        <f>H37*(1-0)</f>
      </c>
      <c r="AQ37" s="153" t="s">
        <v>130</v>
      </c>
      <c r="AV37" s="111">
        <f>AW37+AX37</f>
      </c>
      <c r="AW37" s="111">
        <f>G37*AO37</f>
      </c>
      <c r="AX37" s="111">
        <f>G37*AP37</f>
      </c>
      <c r="AY37" s="153" t="s">
        <v>1325</v>
      </c>
      <c r="AZ37" s="153" t="s">
        <v>4606</v>
      </c>
      <c r="BA37" s="132" t="s">
        <v>4594</v>
      </c>
      <c r="BC37" s="111">
        <f>AW37+AX37</f>
      </c>
      <c r="BD37" s="111">
        <f>H37/(100-BE37)*100</f>
      </c>
      <c r="BE37" s="111" t="n">
        <v>0</v>
      </c>
      <c r="BF37" s="111">
        <f>37</f>
      </c>
      <c r="BH37" s="111">
        <f>G37*AO37</f>
      </c>
      <c r="BI37" s="111">
        <f>G37*AP37</f>
      </c>
      <c r="BJ37" s="111">
        <f>G37*H37</f>
      </c>
      <c r="BK37" s="111"/>
      <c r="BL37" s="111" t="n">
        <v>90</v>
      </c>
      <c r="BW37" s="111" t="n">
        <v>21</v>
      </c>
      <c r="BX37" s="14" t="s">
        <v>4625</v>
      </c>
    </row>
    <row r="38">
      <c r="A38" s="9" t="s">
        <v>154</v>
      </c>
      <c r="B38" s="10" t="s">
        <v>93</v>
      </c>
      <c r="C38" s="10" t="s">
        <v>4604</v>
      </c>
      <c r="D38" s="14" t="s">
        <v>4627</v>
      </c>
      <c r="E38" s="10"/>
      <c r="F38" s="10" t="s">
        <v>3854</v>
      </c>
      <c r="G38" s="111">
        <f>'Stavební rozpočet'!G2877</f>
      </c>
      <c r="H38" s="111">
        <f>'Stavební rozpočet'!H2877</f>
      </c>
      <c r="I38" s="111">
        <f>G38*H38</f>
      </c>
      <c r="J38" s="153" t="s">
        <v>2936</v>
      </c>
      <c r="K38" s="146"/>
      <c r="Z38" s="111">
        <f>IF(AQ38="5",BJ38,0)</f>
      </c>
      <c r="AB38" s="111">
        <f>IF(AQ38="1",BH38,0)</f>
      </c>
      <c r="AC38" s="111">
        <f>IF(AQ38="1",BI38,0)</f>
      </c>
      <c r="AD38" s="111">
        <f>IF(AQ38="7",BH38,0)</f>
      </c>
      <c r="AE38" s="111">
        <f>IF(AQ38="7",BI38,0)</f>
      </c>
      <c r="AF38" s="111">
        <f>IF(AQ38="2",BH38,0)</f>
      </c>
      <c r="AG38" s="111">
        <f>IF(AQ38="2",BI38,0)</f>
      </c>
      <c r="AH38" s="111">
        <f>IF(AQ38="0",BJ38,0)</f>
      </c>
      <c r="AI38" s="132" t="s">
        <v>93</v>
      </c>
      <c r="AJ38" s="111">
        <f>IF(AN38=0,I38,0)</f>
      </c>
      <c r="AK38" s="111">
        <f>IF(AN38=12,I38,0)</f>
      </c>
      <c r="AL38" s="111">
        <f>IF(AN38=21,I38,0)</f>
      </c>
      <c r="AN38" s="111" t="n">
        <v>21</v>
      </c>
      <c r="AO38" s="111">
        <f>H38*0</f>
      </c>
      <c r="AP38" s="111">
        <f>H38*(1-0)</f>
      </c>
      <c r="AQ38" s="153" t="s">
        <v>130</v>
      </c>
      <c r="AV38" s="111">
        <f>AW38+AX38</f>
      </c>
      <c r="AW38" s="111">
        <f>G38*AO38</f>
      </c>
      <c r="AX38" s="111">
        <f>G38*AP38</f>
      </c>
      <c r="AY38" s="153" t="s">
        <v>1325</v>
      </c>
      <c r="AZ38" s="153" t="s">
        <v>4606</v>
      </c>
      <c r="BA38" s="132" t="s">
        <v>4594</v>
      </c>
      <c r="BC38" s="111">
        <f>AW38+AX38</f>
      </c>
      <c r="BD38" s="111">
        <f>H38/(100-BE38)*100</f>
      </c>
      <c r="BE38" s="111" t="n">
        <v>0</v>
      </c>
      <c r="BF38" s="111">
        <f>38</f>
      </c>
      <c r="BH38" s="111">
        <f>G38*AO38</f>
      </c>
      <c r="BI38" s="111">
        <f>G38*AP38</f>
      </c>
      <c r="BJ38" s="111">
        <f>G38*H38</f>
      </c>
      <c r="BK38" s="111"/>
      <c r="BL38" s="111" t="n">
        <v>90</v>
      </c>
      <c r="BW38" s="111" t="n">
        <v>21</v>
      </c>
      <c r="BX38" s="14" t="s">
        <v>4627</v>
      </c>
    </row>
    <row r="39" customHeight="true" ht="13.5">
      <c r="A39" s="159"/>
      <c r="C39" s="160" t="s">
        <v>146</v>
      </c>
      <c r="D39" s="161" t="s">
        <v>4597</v>
      </c>
      <c r="E39" s="156"/>
      <c r="F39" s="156"/>
      <c r="G39" s="156"/>
      <c r="H39" s="156"/>
      <c r="I39" s="156"/>
      <c r="J39" s="156"/>
      <c r="K39" s="163"/>
    </row>
    <row r="40">
      <c r="A40" s="154"/>
      <c r="B40" s="155"/>
      <c r="C40" s="155"/>
      <c r="D40" s="156" t="s">
        <v>130</v>
      </c>
      <c r="E40" s="156" t="s">
        <v>4597</v>
      </c>
      <c r="F40" s="155"/>
      <c r="G40" s="157" t="n">
        <v>1</v>
      </c>
      <c r="H40" s="155"/>
      <c r="I40" s="155"/>
      <c r="J40" s="155"/>
      <c r="K40" s="146"/>
    </row>
    <row r="41">
      <c r="A41" s="9" t="s">
        <v>163</v>
      </c>
      <c r="B41" s="10" t="s">
        <v>93</v>
      </c>
      <c r="C41" s="10" t="s">
        <v>4604</v>
      </c>
      <c r="D41" s="14" t="s">
        <v>4629</v>
      </c>
      <c r="E41" s="10"/>
      <c r="F41" s="10" t="s">
        <v>3854</v>
      </c>
      <c r="G41" s="111">
        <f>'Stavební rozpočet'!G2880</f>
      </c>
      <c r="H41" s="111">
        <f>'Stavební rozpočet'!H2880</f>
      </c>
      <c r="I41" s="111">
        <f>G41*H41</f>
      </c>
      <c r="J41" s="153" t="s">
        <v>2936</v>
      </c>
      <c r="K41" s="146"/>
      <c r="Z41" s="111">
        <f>IF(AQ41="5",BJ41,0)</f>
      </c>
      <c r="AB41" s="111">
        <f>IF(AQ41="1",BH41,0)</f>
      </c>
      <c r="AC41" s="111">
        <f>IF(AQ41="1",BI41,0)</f>
      </c>
      <c r="AD41" s="111">
        <f>IF(AQ41="7",BH41,0)</f>
      </c>
      <c r="AE41" s="111">
        <f>IF(AQ41="7",BI41,0)</f>
      </c>
      <c r="AF41" s="111">
        <f>IF(AQ41="2",BH41,0)</f>
      </c>
      <c r="AG41" s="111">
        <f>IF(AQ41="2",BI41,0)</f>
      </c>
      <c r="AH41" s="111">
        <f>IF(AQ41="0",BJ41,0)</f>
      </c>
      <c r="AI41" s="132" t="s">
        <v>93</v>
      </c>
      <c r="AJ41" s="111">
        <f>IF(AN41=0,I41,0)</f>
      </c>
      <c r="AK41" s="111">
        <f>IF(AN41=12,I41,0)</f>
      </c>
      <c r="AL41" s="111">
        <f>IF(AN41=21,I41,0)</f>
      </c>
      <c r="AN41" s="111" t="n">
        <v>21</v>
      </c>
      <c r="AO41" s="111">
        <f>H41*0</f>
      </c>
      <c r="AP41" s="111">
        <f>H41*(1-0)</f>
      </c>
      <c r="AQ41" s="153" t="s">
        <v>130</v>
      </c>
      <c r="AV41" s="111">
        <f>AW41+AX41</f>
      </c>
      <c r="AW41" s="111">
        <f>G41*AO41</f>
      </c>
      <c r="AX41" s="111">
        <f>G41*AP41</f>
      </c>
      <c r="AY41" s="153" t="s">
        <v>1325</v>
      </c>
      <c r="AZ41" s="153" t="s">
        <v>4606</v>
      </c>
      <c r="BA41" s="132" t="s">
        <v>4594</v>
      </c>
      <c r="BC41" s="111">
        <f>AW41+AX41</f>
      </c>
      <c r="BD41" s="111">
        <f>H41/(100-BE41)*100</f>
      </c>
      <c r="BE41" s="111" t="n">
        <v>0</v>
      </c>
      <c r="BF41" s="111">
        <f>41</f>
      </c>
      <c r="BH41" s="111">
        <f>G41*AO41</f>
      </c>
      <c r="BI41" s="111">
        <f>G41*AP41</f>
      </c>
      <c r="BJ41" s="111">
        <f>G41*H41</f>
      </c>
      <c r="BK41" s="111"/>
      <c r="BL41" s="111" t="n">
        <v>90</v>
      </c>
      <c r="BW41" s="111" t="n">
        <v>21</v>
      </c>
      <c r="BX41" s="14" t="s">
        <v>4629</v>
      </c>
    </row>
    <row r="42" customHeight="true" ht="13.5">
      <c r="A42" s="159"/>
      <c r="C42" s="160" t="s">
        <v>146</v>
      </c>
      <c r="D42" s="161" t="s">
        <v>4630</v>
      </c>
      <c r="E42" s="156"/>
      <c r="F42" s="156"/>
      <c r="G42" s="156"/>
      <c r="H42" s="156"/>
      <c r="I42" s="156"/>
      <c r="J42" s="156"/>
      <c r="K42" s="163"/>
    </row>
    <row r="43">
      <c r="A43" s="154"/>
      <c r="B43" s="155"/>
      <c r="C43" s="155"/>
      <c r="D43" s="156" t="s">
        <v>202</v>
      </c>
      <c r="E43" s="156" t="s">
        <v>4631</v>
      </c>
      <c r="F43" s="155"/>
      <c r="G43" s="157" t="n">
        <v>16</v>
      </c>
      <c r="H43" s="155"/>
      <c r="I43" s="155"/>
      <c r="J43" s="155"/>
      <c r="K43" s="146"/>
    </row>
    <row r="44">
      <c r="A44" s="9" t="s">
        <v>212</v>
      </c>
      <c r="B44" s="10" t="s">
        <v>93</v>
      </c>
      <c r="C44" s="10" t="s">
        <v>4604</v>
      </c>
      <c r="D44" s="14" t="s">
        <v>4633</v>
      </c>
      <c r="E44" s="10"/>
      <c r="F44" s="10" t="s">
        <v>3854</v>
      </c>
      <c r="G44" s="111">
        <f>'Stavební rozpočet'!G2883</f>
      </c>
      <c r="H44" s="111">
        <f>'Stavební rozpočet'!H2883</f>
      </c>
      <c r="I44" s="111">
        <f>G44*H44</f>
      </c>
      <c r="J44" s="153" t="s">
        <v>2936</v>
      </c>
      <c r="K44" s="146"/>
      <c r="Z44" s="111">
        <f>IF(AQ44="5",BJ44,0)</f>
      </c>
      <c r="AB44" s="111">
        <f>IF(AQ44="1",BH44,0)</f>
      </c>
      <c r="AC44" s="111">
        <f>IF(AQ44="1",BI44,0)</f>
      </c>
      <c r="AD44" s="111">
        <f>IF(AQ44="7",BH44,0)</f>
      </c>
      <c r="AE44" s="111">
        <f>IF(AQ44="7",BI44,0)</f>
      </c>
      <c r="AF44" s="111">
        <f>IF(AQ44="2",BH44,0)</f>
      </c>
      <c r="AG44" s="111">
        <f>IF(AQ44="2",BI44,0)</f>
      </c>
      <c r="AH44" s="111">
        <f>IF(AQ44="0",BJ44,0)</f>
      </c>
      <c r="AI44" s="132" t="s">
        <v>93</v>
      </c>
      <c r="AJ44" s="111">
        <f>IF(AN44=0,I44,0)</f>
      </c>
      <c r="AK44" s="111">
        <f>IF(AN44=12,I44,0)</f>
      </c>
      <c r="AL44" s="111">
        <f>IF(AN44=21,I44,0)</f>
      </c>
      <c r="AN44" s="111" t="n">
        <v>21</v>
      </c>
      <c r="AO44" s="111">
        <f>H44*0</f>
      </c>
      <c r="AP44" s="111">
        <f>H44*(1-0)</f>
      </c>
      <c r="AQ44" s="153" t="s">
        <v>130</v>
      </c>
      <c r="AV44" s="111">
        <f>AW44+AX44</f>
      </c>
      <c r="AW44" s="111">
        <f>G44*AO44</f>
      </c>
      <c r="AX44" s="111">
        <f>G44*AP44</f>
      </c>
      <c r="AY44" s="153" t="s">
        <v>1325</v>
      </c>
      <c r="AZ44" s="153" t="s">
        <v>4606</v>
      </c>
      <c r="BA44" s="132" t="s">
        <v>4594</v>
      </c>
      <c r="BC44" s="111">
        <f>AW44+AX44</f>
      </c>
      <c r="BD44" s="111">
        <f>H44/(100-BE44)*100</f>
      </c>
      <c r="BE44" s="111" t="n">
        <v>0</v>
      </c>
      <c r="BF44" s="111">
        <f>44</f>
      </c>
      <c r="BH44" s="111">
        <f>G44*AO44</f>
      </c>
      <c r="BI44" s="111">
        <f>G44*AP44</f>
      </c>
      <c r="BJ44" s="111">
        <f>G44*H44</f>
      </c>
      <c r="BK44" s="111"/>
      <c r="BL44" s="111" t="n">
        <v>90</v>
      </c>
      <c r="BW44" s="111" t="n">
        <v>21</v>
      </c>
      <c r="BX44" s="14" t="s">
        <v>4633</v>
      </c>
    </row>
    <row r="45" customHeight="true" ht="13.5">
      <c r="A45" s="159"/>
      <c r="C45" s="160" t="s">
        <v>146</v>
      </c>
      <c r="D45" s="161" t="s">
        <v>4634</v>
      </c>
      <c r="E45" s="156"/>
      <c r="F45" s="156"/>
      <c r="G45" s="156"/>
      <c r="H45" s="156"/>
      <c r="I45" s="156"/>
      <c r="J45" s="156"/>
      <c r="K45" s="163"/>
    </row>
    <row r="46">
      <c r="A46" s="154"/>
      <c r="B46" s="155"/>
      <c r="C46" s="155"/>
      <c r="D46" s="156" t="s">
        <v>395</v>
      </c>
      <c r="E46" s="156" t="s">
        <v>4631</v>
      </c>
      <c r="F46" s="155"/>
      <c r="G46" s="157" t="n">
        <v>40</v>
      </c>
      <c r="H46" s="155"/>
      <c r="I46" s="155"/>
      <c r="J46" s="155"/>
      <c r="K46" s="146"/>
    </row>
    <row r="47">
      <c r="A47" s="9" t="s">
        <v>224</v>
      </c>
      <c r="B47" s="10" t="s">
        <v>93</v>
      </c>
      <c r="C47" s="10" t="s">
        <v>4604</v>
      </c>
      <c r="D47" s="14" t="s">
        <v>4636</v>
      </c>
      <c r="E47" s="10"/>
      <c r="F47" s="10" t="s">
        <v>3854</v>
      </c>
      <c r="G47" s="111">
        <f>'Stavební rozpočet'!G2886</f>
      </c>
      <c r="H47" s="111">
        <f>'Stavební rozpočet'!H2886</f>
      </c>
      <c r="I47" s="111">
        <f>G47*H47</f>
      </c>
      <c r="J47" s="153" t="s">
        <v>2936</v>
      </c>
      <c r="K47" s="146"/>
      <c r="Z47" s="111">
        <f>IF(AQ47="5",BJ47,0)</f>
      </c>
      <c r="AB47" s="111">
        <f>IF(AQ47="1",BH47,0)</f>
      </c>
      <c r="AC47" s="111">
        <f>IF(AQ47="1",BI47,0)</f>
      </c>
      <c r="AD47" s="111">
        <f>IF(AQ47="7",BH47,0)</f>
      </c>
      <c r="AE47" s="111">
        <f>IF(AQ47="7",BI47,0)</f>
      </c>
      <c r="AF47" s="111">
        <f>IF(AQ47="2",BH47,0)</f>
      </c>
      <c r="AG47" s="111">
        <f>IF(AQ47="2",BI47,0)</f>
      </c>
      <c r="AH47" s="111">
        <f>IF(AQ47="0",BJ47,0)</f>
      </c>
      <c r="AI47" s="132" t="s">
        <v>93</v>
      </c>
      <c r="AJ47" s="111">
        <f>IF(AN47=0,I47,0)</f>
      </c>
      <c r="AK47" s="111">
        <f>IF(AN47=12,I47,0)</f>
      </c>
      <c r="AL47" s="111">
        <f>IF(AN47=21,I47,0)</f>
      </c>
      <c r="AN47" s="111" t="n">
        <v>21</v>
      </c>
      <c r="AO47" s="111">
        <f>H47*0</f>
      </c>
      <c r="AP47" s="111">
        <f>H47*(1-0)</f>
      </c>
      <c r="AQ47" s="153" t="s">
        <v>130</v>
      </c>
      <c r="AV47" s="111">
        <f>AW47+AX47</f>
      </c>
      <c r="AW47" s="111">
        <f>G47*AO47</f>
      </c>
      <c r="AX47" s="111">
        <f>G47*AP47</f>
      </c>
      <c r="AY47" s="153" t="s">
        <v>1325</v>
      </c>
      <c r="AZ47" s="153" t="s">
        <v>4606</v>
      </c>
      <c r="BA47" s="132" t="s">
        <v>4594</v>
      </c>
      <c r="BC47" s="111">
        <f>AW47+AX47</f>
      </c>
      <c r="BD47" s="111">
        <f>H47/(100-BE47)*100</f>
      </c>
      <c r="BE47" s="111" t="n">
        <v>0</v>
      </c>
      <c r="BF47" s="111">
        <f>47</f>
      </c>
      <c r="BH47" s="111">
        <f>G47*AO47</f>
      </c>
      <c r="BI47" s="111">
        <f>G47*AP47</f>
      </c>
      <c r="BJ47" s="111">
        <f>G47*H47</f>
      </c>
      <c r="BK47" s="111"/>
      <c r="BL47" s="111" t="n">
        <v>90</v>
      </c>
      <c r="BW47" s="111" t="n">
        <v>21</v>
      </c>
      <c r="BX47" s="14" t="s">
        <v>4636</v>
      </c>
    </row>
    <row r="48" customHeight="true" ht="13.5">
      <c r="A48" s="159"/>
      <c r="C48" s="160" t="s">
        <v>146</v>
      </c>
      <c r="D48" s="161" t="s">
        <v>4597</v>
      </c>
      <c r="E48" s="156"/>
      <c r="F48" s="156"/>
      <c r="G48" s="156"/>
      <c r="H48" s="156"/>
      <c r="I48" s="156"/>
      <c r="J48" s="156"/>
      <c r="K48" s="163"/>
    </row>
    <row r="49">
      <c r="A49" s="154"/>
      <c r="B49" s="155"/>
      <c r="C49" s="155"/>
      <c r="D49" s="156" t="s">
        <v>212</v>
      </c>
      <c r="E49" s="156" t="s">
        <v>4631</v>
      </c>
      <c r="F49" s="155"/>
      <c r="G49" s="157" t="n">
        <v>14</v>
      </c>
      <c r="H49" s="155"/>
      <c r="I49" s="155"/>
      <c r="J49" s="155"/>
      <c r="K49" s="146"/>
    </row>
    <row r="50">
      <c r="A50" s="9" t="s">
        <v>202</v>
      </c>
      <c r="B50" s="10" t="s">
        <v>93</v>
      </c>
      <c r="C50" s="10" t="s">
        <v>4604</v>
      </c>
      <c r="D50" s="14" t="s">
        <v>4638</v>
      </c>
      <c r="E50" s="10"/>
      <c r="F50" s="10" t="s">
        <v>3854</v>
      </c>
      <c r="G50" s="111">
        <f>'Stavební rozpočet'!G2889</f>
      </c>
      <c r="H50" s="111">
        <f>'Stavební rozpočet'!H2889</f>
      </c>
      <c r="I50" s="111">
        <f>G50*H50</f>
      </c>
      <c r="J50" s="153" t="s">
        <v>2936</v>
      </c>
      <c r="K50" s="146"/>
      <c r="Z50" s="111">
        <f>IF(AQ50="5",BJ50,0)</f>
      </c>
      <c r="AB50" s="111">
        <f>IF(AQ50="1",BH50,0)</f>
      </c>
      <c r="AC50" s="111">
        <f>IF(AQ50="1",BI50,0)</f>
      </c>
      <c r="AD50" s="111">
        <f>IF(AQ50="7",BH50,0)</f>
      </c>
      <c r="AE50" s="111">
        <f>IF(AQ50="7",BI50,0)</f>
      </c>
      <c r="AF50" s="111">
        <f>IF(AQ50="2",BH50,0)</f>
      </c>
      <c r="AG50" s="111">
        <f>IF(AQ50="2",BI50,0)</f>
      </c>
      <c r="AH50" s="111">
        <f>IF(AQ50="0",BJ50,0)</f>
      </c>
      <c r="AI50" s="132" t="s">
        <v>93</v>
      </c>
      <c r="AJ50" s="111">
        <f>IF(AN50=0,I50,0)</f>
      </c>
      <c r="AK50" s="111">
        <f>IF(AN50=12,I50,0)</f>
      </c>
      <c r="AL50" s="111">
        <f>IF(AN50=21,I50,0)</f>
      </c>
      <c r="AN50" s="111" t="n">
        <v>21</v>
      </c>
      <c r="AO50" s="111">
        <f>H50*0</f>
      </c>
      <c r="AP50" s="111">
        <f>H50*(1-0)</f>
      </c>
      <c r="AQ50" s="153" t="s">
        <v>130</v>
      </c>
      <c r="AV50" s="111">
        <f>AW50+AX50</f>
      </c>
      <c r="AW50" s="111">
        <f>G50*AO50</f>
      </c>
      <c r="AX50" s="111">
        <f>G50*AP50</f>
      </c>
      <c r="AY50" s="153" t="s">
        <v>1325</v>
      </c>
      <c r="AZ50" s="153" t="s">
        <v>4606</v>
      </c>
      <c r="BA50" s="132" t="s">
        <v>4594</v>
      </c>
      <c r="BC50" s="111">
        <f>AW50+AX50</f>
      </c>
      <c r="BD50" s="111">
        <f>H50/(100-BE50)*100</f>
      </c>
      <c r="BE50" s="111" t="n">
        <v>0</v>
      </c>
      <c r="BF50" s="111">
        <f>50</f>
      </c>
      <c r="BH50" s="111">
        <f>G50*AO50</f>
      </c>
      <c r="BI50" s="111">
        <f>G50*AP50</f>
      </c>
      <c r="BJ50" s="111">
        <f>G50*H50</f>
      </c>
      <c r="BK50" s="111"/>
      <c r="BL50" s="111" t="n">
        <v>90</v>
      </c>
      <c r="BW50" s="111" t="n">
        <v>21</v>
      </c>
      <c r="BX50" s="14" t="s">
        <v>4638</v>
      </c>
    </row>
    <row r="51">
      <c r="A51" s="9" t="s">
        <v>232</v>
      </c>
      <c r="B51" s="10" t="s">
        <v>93</v>
      </c>
      <c r="C51" s="10" t="s">
        <v>4604</v>
      </c>
      <c r="D51" s="14" t="s">
        <v>4640</v>
      </c>
      <c r="E51" s="10"/>
      <c r="F51" s="10" t="s">
        <v>3854</v>
      </c>
      <c r="G51" s="111">
        <f>'Stavební rozpočet'!G2890</f>
      </c>
      <c r="H51" s="111">
        <f>'Stavební rozpočet'!H2890</f>
      </c>
      <c r="I51" s="111">
        <f>G51*H51</f>
      </c>
      <c r="J51" s="153" t="s">
        <v>2936</v>
      </c>
      <c r="K51" s="146"/>
      <c r="Z51" s="111">
        <f>IF(AQ51="5",BJ51,0)</f>
      </c>
      <c r="AB51" s="111">
        <f>IF(AQ51="1",BH51,0)</f>
      </c>
      <c r="AC51" s="111">
        <f>IF(AQ51="1",BI51,0)</f>
      </c>
      <c r="AD51" s="111">
        <f>IF(AQ51="7",BH51,0)</f>
      </c>
      <c r="AE51" s="111">
        <f>IF(AQ51="7",BI51,0)</f>
      </c>
      <c r="AF51" s="111">
        <f>IF(AQ51="2",BH51,0)</f>
      </c>
      <c r="AG51" s="111">
        <f>IF(AQ51="2",BI51,0)</f>
      </c>
      <c r="AH51" s="111">
        <f>IF(AQ51="0",BJ51,0)</f>
      </c>
      <c r="AI51" s="132" t="s">
        <v>93</v>
      </c>
      <c r="AJ51" s="111">
        <f>IF(AN51=0,I51,0)</f>
      </c>
      <c r="AK51" s="111">
        <f>IF(AN51=12,I51,0)</f>
      </c>
      <c r="AL51" s="111">
        <f>IF(AN51=21,I51,0)</f>
      </c>
      <c r="AN51" s="111" t="n">
        <v>21</v>
      </c>
      <c r="AO51" s="111">
        <f>H51*0</f>
      </c>
      <c r="AP51" s="111">
        <f>H51*(1-0)</f>
      </c>
      <c r="AQ51" s="153" t="s">
        <v>130</v>
      </c>
      <c r="AV51" s="111">
        <f>AW51+AX51</f>
      </c>
      <c r="AW51" s="111">
        <f>G51*AO51</f>
      </c>
      <c r="AX51" s="111">
        <f>G51*AP51</f>
      </c>
      <c r="AY51" s="153" t="s">
        <v>1325</v>
      </c>
      <c r="AZ51" s="153" t="s">
        <v>4606</v>
      </c>
      <c r="BA51" s="132" t="s">
        <v>4594</v>
      </c>
      <c r="BC51" s="111">
        <f>AW51+AX51</f>
      </c>
      <c r="BD51" s="111">
        <f>H51/(100-BE51)*100</f>
      </c>
      <c r="BE51" s="111" t="n">
        <v>0</v>
      </c>
      <c r="BF51" s="111">
        <f>51</f>
      </c>
      <c r="BH51" s="111">
        <f>G51*AO51</f>
      </c>
      <c r="BI51" s="111">
        <f>G51*AP51</f>
      </c>
      <c r="BJ51" s="111">
        <f>G51*H51</f>
      </c>
      <c r="BK51" s="111"/>
      <c r="BL51" s="111" t="n">
        <v>90</v>
      </c>
      <c r="BW51" s="111" t="n">
        <v>21</v>
      </c>
      <c r="BX51" s="14" t="s">
        <v>4640</v>
      </c>
    </row>
    <row r="52">
      <c r="A52" s="9" t="s">
        <v>235</v>
      </c>
      <c r="B52" s="10" t="s">
        <v>93</v>
      </c>
      <c r="C52" s="10" t="s">
        <v>4604</v>
      </c>
      <c r="D52" s="14" t="s">
        <v>4642</v>
      </c>
      <c r="E52" s="10"/>
      <c r="F52" s="10" t="s">
        <v>3854</v>
      </c>
      <c r="G52" s="111">
        <f>'Stavební rozpočet'!G2891</f>
      </c>
      <c r="H52" s="111">
        <f>'Stavební rozpočet'!H2891</f>
      </c>
      <c r="I52" s="111">
        <f>G52*H52</f>
      </c>
      <c r="J52" s="153" t="s">
        <v>2936</v>
      </c>
      <c r="K52" s="146"/>
      <c r="Z52" s="111">
        <f>IF(AQ52="5",BJ52,0)</f>
      </c>
      <c r="AB52" s="111">
        <f>IF(AQ52="1",BH52,0)</f>
      </c>
      <c r="AC52" s="111">
        <f>IF(AQ52="1",BI52,0)</f>
      </c>
      <c r="AD52" s="111">
        <f>IF(AQ52="7",BH52,0)</f>
      </c>
      <c r="AE52" s="111">
        <f>IF(AQ52="7",BI52,0)</f>
      </c>
      <c r="AF52" s="111">
        <f>IF(AQ52="2",BH52,0)</f>
      </c>
      <c r="AG52" s="111">
        <f>IF(AQ52="2",BI52,0)</f>
      </c>
      <c r="AH52" s="111">
        <f>IF(AQ52="0",BJ52,0)</f>
      </c>
      <c r="AI52" s="132" t="s">
        <v>93</v>
      </c>
      <c r="AJ52" s="111">
        <f>IF(AN52=0,I52,0)</f>
      </c>
      <c r="AK52" s="111">
        <f>IF(AN52=12,I52,0)</f>
      </c>
      <c r="AL52" s="111">
        <f>IF(AN52=21,I52,0)</f>
      </c>
      <c r="AN52" s="111" t="n">
        <v>21</v>
      </c>
      <c r="AO52" s="111">
        <f>H52*0</f>
      </c>
      <c r="AP52" s="111">
        <f>H52*(1-0)</f>
      </c>
      <c r="AQ52" s="153" t="s">
        <v>130</v>
      </c>
      <c r="AV52" s="111">
        <f>AW52+AX52</f>
      </c>
      <c r="AW52" s="111">
        <f>G52*AO52</f>
      </c>
      <c r="AX52" s="111">
        <f>G52*AP52</f>
      </c>
      <c r="AY52" s="153" t="s">
        <v>1325</v>
      </c>
      <c r="AZ52" s="153" t="s">
        <v>4606</v>
      </c>
      <c r="BA52" s="132" t="s">
        <v>4594</v>
      </c>
      <c r="BC52" s="111">
        <f>AW52+AX52</f>
      </c>
      <c r="BD52" s="111">
        <f>H52/(100-BE52)*100</f>
      </c>
      <c r="BE52" s="111" t="n">
        <v>0</v>
      </c>
      <c r="BF52" s="111">
        <f>52</f>
      </c>
      <c r="BH52" s="111">
        <f>G52*AO52</f>
      </c>
      <c r="BI52" s="111">
        <f>G52*AP52</f>
      </c>
      <c r="BJ52" s="111">
        <f>G52*H52</f>
      </c>
      <c r="BK52" s="111"/>
      <c r="BL52" s="111" t="n">
        <v>90</v>
      </c>
      <c r="BW52" s="111" t="n">
        <v>21</v>
      </c>
      <c r="BX52" s="14" t="s">
        <v>4642</v>
      </c>
    </row>
    <row r="53" ht="24.75">
      <c r="A53" s="9" t="s">
        <v>239</v>
      </c>
      <c r="B53" s="10" t="s">
        <v>93</v>
      </c>
      <c r="C53" s="10" t="s">
        <v>4604</v>
      </c>
      <c r="D53" s="14" t="s">
        <v>4644</v>
      </c>
      <c r="E53" s="10"/>
      <c r="F53" s="10" t="s">
        <v>3854</v>
      </c>
      <c r="G53" s="111">
        <f>'Stavební rozpočet'!G2892</f>
      </c>
      <c r="H53" s="111">
        <f>'Stavební rozpočet'!H2892</f>
      </c>
      <c r="I53" s="111">
        <f>G53*H53</f>
      </c>
      <c r="J53" s="153" t="s">
        <v>2936</v>
      </c>
      <c r="K53" s="146"/>
      <c r="Z53" s="111">
        <f>IF(AQ53="5",BJ53,0)</f>
      </c>
      <c r="AB53" s="111">
        <f>IF(AQ53="1",BH53,0)</f>
      </c>
      <c r="AC53" s="111">
        <f>IF(AQ53="1",BI53,0)</f>
      </c>
      <c r="AD53" s="111">
        <f>IF(AQ53="7",BH53,0)</f>
      </c>
      <c r="AE53" s="111">
        <f>IF(AQ53="7",BI53,0)</f>
      </c>
      <c r="AF53" s="111">
        <f>IF(AQ53="2",BH53,0)</f>
      </c>
      <c r="AG53" s="111">
        <f>IF(AQ53="2",BI53,0)</f>
      </c>
      <c r="AH53" s="111">
        <f>IF(AQ53="0",BJ53,0)</f>
      </c>
      <c r="AI53" s="132" t="s">
        <v>93</v>
      </c>
      <c r="AJ53" s="111">
        <f>IF(AN53=0,I53,0)</f>
      </c>
      <c r="AK53" s="111">
        <f>IF(AN53=12,I53,0)</f>
      </c>
      <c r="AL53" s="111">
        <f>IF(AN53=21,I53,0)</f>
      </c>
      <c r="AN53" s="111" t="n">
        <v>21</v>
      </c>
      <c r="AO53" s="111">
        <f>H53*0</f>
      </c>
      <c r="AP53" s="111">
        <f>H53*(1-0)</f>
      </c>
      <c r="AQ53" s="153" t="s">
        <v>130</v>
      </c>
      <c r="AV53" s="111">
        <f>AW53+AX53</f>
      </c>
      <c r="AW53" s="111">
        <f>G53*AO53</f>
      </c>
      <c r="AX53" s="111">
        <f>G53*AP53</f>
      </c>
      <c r="AY53" s="153" t="s">
        <v>1325</v>
      </c>
      <c r="AZ53" s="153" t="s">
        <v>4606</v>
      </c>
      <c r="BA53" s="132" t="s">
        <v>4594</v>
      </c>
      <c r="BC53" s="111">
        <f>AW53+AX53</f>
      </c>
      <c r="BD53" s="111">
        <f>H53/(100-BE53)*100</f>
      </c>
      <c r="BE53" s="111" t="n">
        <v>0</v>
      </c>
      <c r="BF53" s="111">
        <f>53</f>
      </c>
      <c r="BH53" s="111">
        <f>G53*AO53</f>
      </c>
      <c r="BI53" s="111">
        <f>G53*AP53</f>
      </c>
      <c r="BJ53" s="111">
        <f>G53*H53</f>
      </c>
      <c r="BK53" s="111"/>
      <c r="BL53" s="111" t="n">
        <v>90</v>
      </c>
      <c r="BW53" s="111" t="n">
        <v>21</v>
      </c>
      <c r="BX53" s="14" t="s">
        <v>4644</v>
      </c>
    </row>
    <row r="54">
      <c r="A54" s="9" t="s">
        <v>255</v>
      </c>
      <c r="B54" s="10" t="s">
        <v>93</v>
      </c>
      <c r="C54" s="10" t="s">
        <v>4604</v>
      </c>
      <c r="D54" s="14" t="s">
        <v>4646</v>
      </c>
      <c r="E54" s="10"/>
      <c r="F54" s="10" t="s">
        <v>3854</v>
      </c>
      <c r="G54" s="111">
        <f>'Stavební rozpočet'!G2893</f>
      </c>
      <c r="H54" s="111">
        <f>'Stavební rozpočet'!H2893</f>
      </c>
      <c r="I54" s="111">
        <f>G54*H54</f>
      </c>
      <c r="J54" s="153" t="s">
        <v>2936</v>
      </c>
      <c r="K54" s="146"/>
      <c r="Z54" s="111">
        <f>IF(AQ54="5",BJ54,0)</f>
      </c>
      <c r="AB54" s="111">
        <f>IF(AQ54="1",BH54,0)</f>
      </c>
      <c r="AC54" s="111">
        <f>IF(AQ54="1",BI54,0)</f>
      </c>
      <c r="AD54" s="111">
        <f>IF(AQ54="7",BH54,0)</f>
      </c>
      <c r="AE54" s="111">
        <f>IF(AQ54="7",BI54,0)</f>
      </c>
      <c r="AF54" s="111">
        <f>IF(AQ54="2",BH54,0)</f>
      </c>
      <c r="AG54" s="111">
        <f>IF(AQ54="2",BI54,0)</f>
      </c>
      <c r="AH54" s="111">
        <f>IF(AQ54="0",BJ54,0)</f>
      </c>
      <c r="AI54" s="132" t="s">
        <v>93</v>
      </c>
      <c r="AJ54" s="111">
        <f>IF(AN54=0,I54,0)</f>
      </c>
      <c r="AK54" s="111">
        <f>IF(AN54=12,I54,0)</f>
      </c>
      <c r="AL54" s="111">
        <f>IF(AN54=21,I54,0)</f>
      </c>
      <c r="AN54" s="111" t="n">
        <v>21</v>
      </c>
      <c r="AO54" s="111">
        <f>H54*0</f>
      </c>
      <c r="AP54" s="111">
        <f>H54*(1-0)</f>
      </c>
      <c r="AQ54" s="153" t="s">
        <v>130</v>
      </c>
      <c r="AV54" s="111">
        <f>AW54+AX54</f>
      </c>
      <c r="AW54" s="111">
        <f>G54*AO54</f>
      </c>
      <c r="AX54" s="111">
        <f>G54*AP54</f>
      </c>
      <c r="AY54" s="153" t="s">
        <v>1325</v>
      </c>
      <c r="AZ54" s="153" t="s">
        <v>4606</v>
      </c>
      <c r="BA54" s="132" t="s">
        <v>4594</v>
      </c>
      <c r="BC54" s="111">
        <f>AW54+AX54</f>
      </c>
      <c r="BD54" s="111">
        <f>H54/(100-BE54)*100</f>
      </c>
      <c r="BE54" s="111" t="n">
        <v>0</v>
      </c>
      <c r="BF54" s="111">
        <f>54</f>
      </c>
      <c r="BH54" s="111">
        <f>G54*AO54</f>
      </c>
      <c r="BI54" s="111">
        <f>G54*AP54</f>
      </c>
      <c r="BJ54" s="111">
        <f>G54*H54</f>
      </c>
      <c r="BK54" s="111"/>
      <c r="BL54" s="111" t="n">
        <v>90</v>
      </c>
      <c r="BW54" s="111" t="n">
        <v>21</v>
      </c>
      <c r="BX54" s="14" t="s">
        <v>4646</v>
      </c>
    </row>
    <row r="55">
      <c r="A55" s="9" t="s">
        <v>261</v>
      </c>
      <c r="B55" s="10" t="s">
        <v>93</v>
      </c>
      <c r="C55" s="10" t="s">
        <v>4648</v>
      </c>
      <c r="D55" s="14" t="s">
        <v>4649</v>
      </c>
      <c r="E55" s="10"/>
      <c r="F55" s="10" t="s">
        <v>1324</v>
      </c>
      <c r="G55" s="111">
        <f>'Stavební rozpočet'!G2894</f>
      </c>
      <c r="H55" s="111">
        <f>'Stavební rozpočet'!H2894</f>
      </c>
      <c r="I55" s="111">
        <f>G55*H55</f>
      </c>
      <c r="J55" s="153" t="s">
        <v>134</v>
      </c>
      <c r="K55" s="146"/>
      <c r="Z55" s="111">
        <f>IF(AQ55="5",BJ55,0)</f>
      </c>
      <c r="AB55" s="111">
        <f>IF(AQ55="1",BH55,0)</f>
      </c>
      <c r="AC55" s="111">
        <f>IF(AQ55="1",BI55,0)</f>
      </c>
      <c r="AD55" s="111">
        <f>IF(AQ55="7",BH55,0)</f>
      </c>
      <c r="AE55" s="111">
        <f>IF(AQ55="7",BI55,0)</f>
      </c>
      <c r="AF55" s="111">
        <f>IF(AQ55="2",BH55,0)</f>
      </c>
      <c r="AG55" s="111">
        <f>IF(AQ55="2",BI55,0)</f>
      </c>
      <c r="AH55" s="111">
        <f>IF(AQ55="0",BJ55,0)</f>
      </c>
      <c r="AI55" s="132" t="s">
        <v>93</v>
      </c>
      <c r="AJ55" s="111">
        <f>IF(AN55=0,I55,0)</f>
      </c>
      <c r="AK55" s="111">
        <f>IF(AN55=12,I55,0)</f>
      </c>
      <c r="AL55" s="111">
        <f>IF(AN55=21,I55,0)</f>
      </c>
      <c r="AN55" s="111" t="n">
        <v>21</v>
      </c>
      <c r="AO55" s="111">
        <f>H55*0</f>
      </c>
      <c r="AP55" s="111">
        <f>H55*(1-0)</f>
      </c>
      <c r="AQ55" s="153" t="s">
        <v>130</v>
      </c>
      <c r="AV55" s="111">
        <f>AW55+AX55</f>
      </c>
      <c r="AW55" s="111">
        <f>G55*AO55</f>
      </c>
      <c r="AX55" s="111">
        <f>G55*AP55</f>
      </c>
      <c r="AY55" s="153" t="s">
        <v>1325</v>
      </c>
      <c r="AZ55" s="153" t="s">
        <v>4606</v>
      </c>
      <c r="BA55" s="132" t="s">
        <v>4594</v>
      </c>
      <c r="BC55" s="111">
        <f>AW55+AX55</f>
      </c>
      <c r="BD55" s="111">
        <f>H55/(100-BE55)*100</f>
      </c>
      <c r="BE55" s="111" t="n">
        <v>0</v>
      </c>
      <c r="BF55" s="111">
        <f>55</f>
      </c>
      <c r="BH55" s="111">
        <f>G55*AO55</f>
      </c>
      <c r="BI55" s="111">
        <f>G55*AP55</f>
      </c>
      <c r="BJ55" s="111">
        <f>G55*H55</f>
      </c>
      <c r="BK55" s="111"/>
      <c r="BL55" s="111" t="n">
        <v>90</v>
      </c>
      <c r="BW55" s="111" t="n">
        <v>21</v>
      </c>
      <c r="BX55" s="14" t="s">
        <v>4649</v>
      </c>
    </row>
    <row r="56" customHeight="true" ht="13.5">
      <c r="A56" s="159"/>
      <c r="C56" s="160" t="s">
        <v>146</v>
      </c>
      <c r="D56" s="161" t="s">
        <v>4650</v>
      </c>
      <c r="E56" s="156"/>
      <c r="F56" s="156"/>
      <c r="G56" s="156"/>
      <c r="H56" s="156"/>
      <c r="I56" s="156"/>
      <c r="J56" s="156"/>
      <c r="K56" s="163"/>
    </row>
    <row r="57">
      <c r="A57" s="9" t="s">
        <v>266</v>
      </c>
      <c r="B57" s="10" t="s">
        <v>93</v>
      </c>
      <c r="C57" s="10" t="s">
        <v>4652</v>
      </c>
      <c r="D57" s="14" t="s">
        <v>4653</v>
      </c>
      <c r="E57" s="10"/>
      <c r="F57" s="10" t="s">
        <v>1324</v>
      </c>
      <c r="G57" s="111">
        <f>'Stavební rozpočet'!G2896</f>
      </c>
      <c r="H57" s="111">
        <f>'Stavební rozpočet'!H2896</f>
      </c>
      <c r="I57" s="111">
        <f>G57*H57</f>
      </c>
      <c r="J57" s="153" t="s">
        <v>134</v>
      </c>
      <c r="K57" s="146"/>
      <c r="Z57" s="111">
        <f>IF(AQ57="5",BJ57,0)</f>
      </c>
      <c r="AB57" s="111">
        <f>IF(AQ57="1",BH57,0)</f>
      </c>
      <c r="AC57" s="111">
        <f>IF(AQ57="1",BI57,0)</f>
      </c>
      <c r="AD57" s="111">
        <f>IF(AQ57="7",BH57,0)</f>
      </c>
      <c r="AE57" s="111">
        <f>IF(AQ57="7",BI57,0)</f>
      </c>
      <c r="AF57" s="111">
        <f>IF(AQ57="2",BH57,0)</f>
      </c>
      <c r="AG57" s="111">
        <f>IF(AQ57="2",BI57,0)</f>
      </c>
      <c r="AH57" s="111">
        <f>IF(AQ57="0",BJ57,0)</f>
      </c>
      <c r="AI57" s="132" t="s">
        <v>93</v>
      </c>
      <c r="AJ57" s="111">
        <f>IF(AN57=0,I57,0)</f>
      </c>
      <c r="AK57" s="111">
        <f>IF(AN57=12,I57,0)</f>
      </c>
      <c r="AL57" s="111">
        <f>IF(AN57=21,I57,0)</f>
      </c>
      <c r="AN57" s="111" t="n">
        <v>21</v>
      </c>
      <c r="AO57" s="111">
        <f>H57*0</f>
      </c>
      <c r="AP57" s="111">
        <f>H57*(1-0)</f>
      </c>
      <c r="AQ57" s="153" t="s">
        <v>130</v>
      </c>
      <c r="AV57" s="111">
        <f>AW57+AX57</f>
      </c>
      <c r="AW57" s="111">
        <f>G57*AO57</f>
      </c>
      <c r="AX57" s="111">
        <f>G57*AP57</f>
      </c>
      <c r="AY57" s="153" t="s">
        <v>1325</v>
      </c>
      <c r="AZ57" s="153" t="s">
        <v>4606</v>
      </c>
      <c r="BA57" s="132" t="s">
        <v>4594</v>
      </c>
      <c r="BC57" s="111">
        <f>AW57+AX57</f>
      </c>
      <c r="BD57" s="111">
        <f>H57/(100-BE57)*100</f>
      </c>
      <c r="BE57" s="111" t="n">
        <v>0</v>
      </c>
      <c r="BF57" s="111">
        <f>57</f>
      </c>
      <c r="BH57" s="111">
        <f>G57*AO57</f>
      </c>
      <c r="BI57" s="111">
        <f>G57*AP57</f>
      </c>
      <c r="BJ57" s="111">
        <f>G57*H57</f>
      </c>
      <c r="BK57" s="111"/>
      <c r="BL57" s="111" t="n">
        <v>90</v>
      </c>
      <c r="BW57" s="111" t="n">
        <v>21</v>
      </c>
      <c r="BX57" s="14" t="s">
        <v>4653</v>
      </c>
    </row>
    <row r="58" customHeight="true" ht="13.5">
      <c r="A58" s="159"/>
      <c r="C58" s="160" t="s">
        <v>146</v>
      </c>
      <c r="D58" s="161" t="s">
        <v>4654</v>
      </c>
      <c r="E58" s="156"/>
      <c r="F58" s="156"/>
      <c r="G58" s="156"/>
      <c r="H58" s="156"/>
      <c r="I58" s="156"/>
      <c r="J58" s="156"/>
      <c r="K58" s="163"/>
    </row>
    <row r="59">
      <c r="A59" s="147" t="s">
        <v>4</v>
      </c>
      <c r="B59" s="148" t="s">
        <v>93</v>
      </c>
      <c r="C59" s="148" t="s">
        <v>761</v>
      </c>
      <c r="D59" s="149" t="s">
        <v>1362</v>
      </c>
      <c r="E59" s="148"/>
      <c r="F59" s="150" t="s">
        <v>79</v>
      </c>
      <c r="G59" s="150" t="s">
        <v>79</v>
      </c>
      <c r="H59" s="150" t="s">
        <v>79</v>
      </c>
      <c r="I59" s="117">
        <f>SUM(I60:I61)</f>
      </c>
      <c r="J59" s="132" t="s">
        <v>4</v>
      </c>
      <c r="K59" s="146"/>
      <c r="AI59" s="132" t="s">
        <v>93</v>
      </c>
      <c r="AS59" s="117">
        <f>SUM(AJ60:AJ61)</f>
      </c>
      <c r="AT59" s="117">
        <f>SUM(AK60:AK61)</f>
      </c>
      <c r="AU59" s="117">
        <f>SUM(AL60:AL61)</f>
      </c>
    </row>
    <row r="60">
      <c r="A60" s="9" t="s">
        <v>274</v>
      </c>
      <c r="B60" s="10" t="s">
        <v>93</v>
      </c>
      <c r="C60" s="10" t="s">
        <v>4656</v>
      </c>
      <c r="D60" s="14" t="s">
        <v>4657</v>
      </c>
      <c r="E60" s="10"/>
      <c r="F60" s="10" t="s">
        <v>145</v>
      </c>
      <c r="G60" s="111">
        <f>'Stavební rozpočet'!G2899</f>
      </c>
      <c r="H60" s="111">
        <f>'Stavební rozpočet'!H2899</f>
      </c>
      <c r="I60" s="111">
        <f>G60*H60</f>
      </c>
      <c r="J60" s="153" t="s">
        <v>134</v>
      </c>
      <c r="K60" s="146"/>
      <c r="Z60" s="111">
        <f>IF(AQ60="5",BJ60,0)</f>
      </c>
      <c r="AB60" s="111">
        <f>IF(AQ60="1",BH60,0)</f>
      </c>
      <c r="AC60" s="111">
        <f>IF(AQ60="1",BI60,0)</f>
      </c>
      <c r="AD60" s="111">
        <f>IF(AQ60="7",BH60,0)</f>
      </c>
      <c r="AE60" s="111">
        <f>IF(AQ60="7",BI60,0)</f>
      </c>
      <c r="AF60" s="111">
        <f>IF(AQ60="2",BH60,0)</f>
      </c>
      <c r="AG60" s="111">
        <f>IF(AQ60="2",BI60,0)</f>
      </c>
      <c r="AH60" s="111">
        <f>IF(AQ60="0",BJ60,0)</f>
      </c>
      <c r="AI60" s="132" t="s">
        <v>93</v>
      </c>
      <c r="AJ60" s="111">
        <f>IF(AN60=0,I60,0)</f>
      </c>
      <c r="AK60" s="111">
        <f>IF(AN60=12,I60,0)</f>
      </c>
      <c r="AL60" s="111">
        <f>IF(AN60=21,I60,0)</f>
      </c>
      <c r="AN60" s="111" t="n">
        <v>21</v>
      </c>
      <c r="AO60" s="111">
        <f>H60*0.401849366</f>
      </c>
      <c r="AP60" s="111">
        <f>H60*(1-0.401849366)</f>
      </c>
      <c r="AQ60" s="153" t="s">
        <v>130</v>
      </c>
      <c r="AV60" s="111">
        <f>AW60+AX60</f>
      </c>
      <c r="AW60" s="111">
        <f>G60*AO60</f>
      </c>
      <c r="AX60" s="111">
        <f>G60*AP60</f>
      </c>
      <c r="AY60" s="153" t="s">
        <v>1366</v>
      </c>
      <c r="AZ60" s="153" t="s">
        <v>4606</v>
      </c>
      <c r="BA60" s="132" t="s">
        <v>4594</v>
      </c>
      <c r="BC60" s="111">
        <f>AW60+AX60</f>
      </c>
      <c r="BD60" s="111">
        <f>H60/(100-BE60)*100</f>
      </c>
      <c r="BE60" s="111" t="n">
        <v>0</v>
      </c>
      <c r="BF60" s="111">
        <f>60</f>
      </c>
      <c r="BH60" s="111">
        <f>G60*AO60</f>
      </c>
      <c r="BI60" s="111">
        <f>G60*AP60</f>
      </c>
      <c r="BJ60" s="111">
        <f>G60*H60</f>
      </c>
      <c r="BK60" s="111"/>
      <c r="BL60" s="111" t="n">
        <v>94</v>
      </c>
      <c r="BW60" s="111" t="n">
        <v>21</v>
      </c>
      <c r="BX60" s="14" t="s">
        <v>4657</v>
      </c>
    </row>
    <row r="61">
      <c r="A61" s="9" t="s">
        <v>279</v>
      </c>
      <c r="B61" s="10" t="s">
        <v>93</v>
      </c>
      <c r="C61" s="10" t="s">
        <v>4659</v>
      </c>
      <c r="D61" s="14" t="s">
        <v>4660</v>
      </c>
      <c r="E61" s="10"/>
      <c r="F61" s="10" t="s">
        <v>145</v>
      </c>
      <c r="G61" s="111">
        <f>'Stavební rozpočet'!G2900</f>
      </c>
      <c r="H61" s="111">
        <f>'Stavební rozpočet'!H2900</f>
      </c>
      <c r="I61" s="111">
        <f>G61*H61</f>
      </c>
      <c r="J61" s="153" t="s">
        <v>134</v>
      </c>
      <c r="K61" s="146"/>
      <c r="Z61" s="111">
        <f>IF(AQ61="5",BJ61,0)</f>
      </c>
      <c r="AB61" s="111">
        <f>IF(AQ61="1",BH61,0)</f>
      </c>
      <c r="AC61" s="111">
        <f>IF(AQ61="1",BI61,0)</f>
      </c>
      <c r="AD61" s="111">
        <f>IF(AQ61="7",BH61,0)</f>
      </c>
      <c r="AE61" s="111">
        <f>IF(AQ61="7",BI61,0)</f>
      </c>
      <c r="AF61" s="111">
        <f>IF(AQ61="2",BH61,0)</f>
      </c>
      <c r="AG61" s="111">
        <f>IF(AQ61="2",BI61,0)</f>
      </c>
      <c r="AH61" s="111">
        <f>IF(AQ61="0",BJ61,0)</f>
      </c>
      <c r="AI61" s="132" t="s">
        <v>93</v>
      </c>
      <c r="AJ61" s="111">
        <f>IF(AN61=0,I61,0)</f>
      </c>
      <c r="AK61" s="111">
        <f>IF(AN61=12,I61,0)</f>
      </c>
      <c r="AL61" s="111">
        <f>IF(AN61=21,I61,0)</f>
      </c>
      <c r="AN61" s="111" t="n">
        <v>21</v>
      </c>
      <c r="AO61" s="111">
        <f>H61*0.368662731</f>
      </c>
      <c r="AP61" s="111">
        <f>H61*(1-0.368662731)</f>
      </c>
      <c r="AQ61" s="153" t="s">
        <v>130</v>
      </c>
      <c r="AV61" s="111">
        <f>AW61+AX61</f>
      </c>
      <c r="AW61" s="111">
        <f>G61*AO61</f>
      </c>
      <c r="AX61" s="111">
        <f>G61*AP61</f>
      </c>
      <c r="AY61" s="153" t="s">
        <v>1366</v>
      </c>
      <c r="AZ61" s="153" t="s">
        <v>4606</v>
      </c>
      <c r="BA61" s="132" t="s">
        <v>4594</v>
      </c>
      <c r="BC61" s="111">
        <f>AW61+AX61</f>
      </c>
      <c r="BD61" s="111">
        <f>H61/(100-BE61)*100</f>
      </c>
      <c r="BE61" s="111" t="n">
        <v>0</v>
      </c>
      <c r="BF61" s="111">
        <f>61</f>
      </c>
      <c r="BH61" s="111">
        <f>G61*AO61</f>
      </c>
      <c r="BI61" s="111">
        <f>G61*AP61</f>
      </c>
      <c r="BJ61" s="111">
        <f>G61*H61</f>
      </c>
      <c r="BK61" s="111"/>
      <c r="BL61" s="111" t="n">
        <v>94</v>
      </c>
      <c r="BW61" s="111" t="n">
        <v>21</v>
      </c>
      <c r="BX61" s="14" t="s">
        <v>4660</v>
      </c>
    </row>
    <row r="62">
      <c r="A62" s="147" t="s">
        <v>4</v>
      </c>
      <c r="B62" s="148" t="s">
        <v>93</v>
      </c>
      <c r="C62" s="148" t="s">
        <v>783</v>
      </c>
      <c r="D62" s="149" t="s">
        <v>1526</v>
      </c>
      <c r="E62" s="148"/>
      <c r="F62" s="150" t="s">
        <v>79</v>
      </c>
      <c r="G62" s="150" t="s">
        <v>79</v>
      </c>
      <c r="H62" s="150" t="s">
        <v>79</v>
      </c>
      <c r="I62" s="117">
        <f>SUM(I63:I74)</f>
      </c>
      <c r="J62" s="132" t="s">
        <v>4</v>
      </c>
      <c r="K62" s="146"/>
      <c r="AI62" s="132" t="s">
        <v>93</v>
      </c>
      <c r="AS62" s="117">
        <f>SUM(AJ63:AJ74)</f>
      </c>
      <c r="AT62" s="117">
        <f>SUM(AK63:AK74)</f>
      </c>
      <c r="AU62" s="117">
        <f>SUM(AL63:AL74)</f>
      </c>
    </row>
    <row r="63">
      <c r="A63" s="9" t="s">
        <v>290</v>
      </c>
      <c r="B63" s="10" t="s">
        <v>93</v>
      </c>
      <c r="C63" s="10" t="s">
        <v>4662</v>
      </c>
      <c r="D63" s="14" t="s">
        <v>4663</v>
      </c>
      <c r="E63" s="10"/>
      <c r="F63" s="10" t="s">
        <v>282</v>
      </c>
      <c r="G63" s="111">
        <f>'Stavební rozpočet'!G2902</f>
      </c>
      <c r="H63" s="111">
        <f>'Stavební rozpočet'!H2902</f>
      </c>
      <c r="I63" s="111">
        <f>G63*H63</f>
      </c>
      <c r="J63" s="153" t="s">
        <v>134</v>
      </c>
      <c r="K63" s="146"/>
      <c r="Z63" s="111">
        <f>IF(AQ63="5",BJ63,0)</f>
      </c>
      <c r="AB63" s="111">
        <f>IF(AQ63="1",BH63,0)</f>
      </c>
      <c r="AC63" s="111">
        <f>IF(AQ63="1",BI63,0)</f>
      </c>
      <c r="AD63" s="111">
        <f>IF(AQ63="7",BH63,0)</f>
      </c>
      <c r="AE63" s="111">
        <f>IF(AQ63="7",BI63,0)</f>
      </c>
      <c r="AF63" s="111">
        <f>IF(AQ63="2",BH63,0)</f>
      </c>
      <c r="AG63" s="111">
        <f>IF(AQ63="2",BI63,0)</f>
      </c>
      <c r="AH63" s="111">
        <f>IF(AQ63="0",BJ63,0)</f>
      </c>
      <c r="AI63" s="132" t="s">
        <v>93</v>
      </c>
      <c r="AJ63" s="111">
        <f>IF(AN63=0,I63,0)</f>
      </c>
      <c r="AK63" s="111">
        <f>IF(AN63=12,I63,0)</f>
      </c>
      <c r="AL63" s="111">
        <f>IF(AN63=21,I63,0)</f>
      </c>
      <c r="AN63" s="111" t="n">
        <v>21</v>
      </c>
      <c r="AO63" s="111">
        <f>H63*0.110348423</f>
      </c>
      <c r="AP63" s="111">
        <f>H63*(1-0.110348423)</f>
      </c>
      <c r="AQ63" s="153" t="s">
        <v>130</v>
      </c>
      <c r="AV63" s="111">
        <f>AW63+AX63</f>
      </c>
      <c r="AW63" s="111">
        <f>G63*AO63</f>
      </c>
      <c r="AX63" s="111">
        <f>G63*AP63</f>
      </c>
      <c r="AY63" s="153" t="s">
        <v>1530</v>
      </c>
      <c r="AZ63" s="153" t="s">
        <v>4606</v>
      </c>
      <c r="BA63" s="132" t="s">
        <v>4594</v>
      </c>
      <c r="BC63" s="111">
        <f>AW63+AX63</f>
      </c>
      <c r="BD63" s="111">
        <f>H63/(100-BE63)*100</f>
      </c>
      <c r="BE63" s="111" t="n">
        <v>0</v>
      </c>
      <c r="BF63" s="111">
        <f>63</f>
      </c>
      <c r="BH63" s="111">
        <f>G63*AO63</f>
      </c>
      <c r="BI63" s="111">
        <f>G63*AP63</f>
      </c>
      <c r="BJ63" s="111">
        <f>G63*H63</f>
      </c>
      <c r="BK63" s="111"/>
      <c r="BL63" s="111" t="n">
        <v>97</v>
      </c>
      <c r="BW63" s="111" t="n">
        <v>21</v>
      </c>
      <c r="BX63" s="14" t="s">
        <v>4663</v>
      </c>
    </row>
    <row r="64">
      <c r="A64" s="154"/>
      <c r="B64" s="155"/>
      <c r="C64" s="155"/>
      <c r="D64" s="156" t="s">
        <v>698</v>
      </c>
      <c r="E64" s="156" t="s">
        <v>4597</v>
      </c>
      <c r="F64" s="155"/>
      <c r="G64" s="157" t="n">
        <v>85</v>
      </c>
      <c r="H64" s="155"/>
      <c r="I64" s="155"/>
      <c r="J64" s="155"/>
      <c r="K64" s="146"/>
    </row>
    <row r="65">
      <c r="A65" s="154"/>
      <c r="B65" s="155"/>
      <c r="C65" s="155"/>
      <c r="D65" s="156" t="s">
        <v>148</v>
      </c>
      <c r="E65" s="156" t="s">
        <v>4599</v>
      </c>
      <c r="F65" s="155"/>
      <c r="G65" s="157" t="n">
        <v>50</v>
      </c>
      <c r="H65" s="155"/>
      <c r="I65" s="155"/>
      <c r="J65" s="155"/>
      <c r="K65" s="146"/>
    </row>
    <row r="66">
      <c r="A66" s="9" t="s">
        <v>310</v>
      </c>
      <c r="B66" s="10" t="s">
        <v>93</v>
      </c>
      <c r="C66" s="10" t="s">
        <v>4665</v>
      </c>
      <c r="D66" s="14" t="s">
        <v>4666</v>
      </c>
      <c r="E66" s="10"/>
      <c r="F66" s="10" t="s">
        <v>282</v>
      </c>
      <c r="G66" s="111">
        <f>'Stavební rozpočet'!G2905</f>
      </c>
      <c r="H66" s="111">
        <f>'Stavební rozpočet'!H2905</f>
      </c>
      <c r="I66" s="111">
        <f>G66*H66</f>
      </c>
      <c r="J66" s="153" t="s">
        <v>134</v>
      </c>
      <c r="K66" s="146"/>
      <c r="Z66" s="111">
        <f>IF(AQ66="5",BJ66,0)</f>
      </c>
      <c r="AB66" s="111">
        <f>IF(AQ66="1",BH66,0)</f>
      </c>
      <c r="AC66" s="111">
        <f>IF(AQ66="1",BI66,0)</f>
      </c>
      <c r="AD66" s="111">
        <f>IF(AQ66="7",BH66,0)</f>
      </c>
      <c r="AE66" s="111">
        <f>IF(AQ66="7",BI66,0)</f>
      </c>
      <c r="AF66" s="111">
        <f>IF(AQ66="2",BH66,0)</f>
      </c>
      <c r="AG66" s="111">
        <f>IF(AQ66="2",BI66,0)</f>
      </c>
      <c r="AH66" s="111">
        <f>IF(AQ66="0",BJ66,0)</f>
      </c>
      <c r="AI66" s="132" t="s">
        <v>93</v>
      </c>
      <c r="AJ66" s="111">
        <f>IF(AN66=0,I66,0)</f>
      </c>
      <c r="AK66" s="111">
        <f>IF(AN66=12,I66,0)</f>
      </c>
      <c r="AL66" s="111">
        <f>IF(AN66=21,I66,0)</f>
      </c>
      <c r="AN66" s="111" t="n">
        <v>21</v>
      </c>
      <c r="AO66" s="111">
        <f>H66*0.139319236</f>
      </c>
      <c r="AP66" s="111">
        <f>H66*(1-0.139319236)</f>
      </c>
      <c r="AQ66" s="153" t="s">
        <v>130</v>
      </c>
      <c r="AV66" s="111">
        <f>AW66+AX66</f>
      </c>
      <c r="AW66" s="111">
        <f>G66*AO66</f>
      </c>
      <c r="AX66" s="111">
        <f>G66*AP66</f>
      </c>
      <c r="AY66" s="153" t="s">
        <v>1530</v>
      </c>
      <c r="AZ66" s="153" t="s">
        <v>4606</v>
      </c>
      <c r="BA66" s="132" t="s">
        <v>4594</v>
      </c>
      <c r="BC66" s="111">
        <f>AW66+AX66</f>
      </c>
      <c r="BD66" s="111">
        <f>H66/(100-BE66)*100</f>
      </c>
      <c r="BE66" s="111" t="n">
        <v>0</v>
      </c>
      <c r="BF66" s="111">
        <f>66</f>
      </c>
      <c r="BH66" s="111">
        <f>G66*AO66</f>
      </c>
      <c r="BI66" s="111">
        <f>G66*AP66</f>
      </c>
      <c r="BJ66" s="111">
        <f>G66*H66</f>
      </c>
      <c r="BK66" s="111"/>
      <c r="BL66" s="111" t="n">
        <v>97</v>
      </c>
      <c r="BW66" s="111" t="n">
        <v>21</v>
      </c>
      <c r="BX66" s="14" t="s">
        <v>4666</v>
      </c>
    </row>
    <row r="67">
      <c r="A67" s="154"/>
      <c r="B67" s="155"/>
      <c r="C67" s="155"/>
      <c r="D67" s="156" t="s">
        <v>805</v>
      </c>
      <c r="E67" s="156" t="s">
        <v>4597</v>
      </c>
      <c r="F67" s="155"/>
      <c r="G67" s="157" t="n">
        <v>100</v>
      </c>
      <c r="H67" s="155"/>
      <c r="I67" s="155"/>
      <c r="J67" s="155"/>
      <c r="K67" s="146"/>
    </row>
    <row r="68">
      <c r="A68" s="154"/>
      <c r="B68" s="155"/>
      <c r="C68" s="155"/>
      <c r="D68" s="156" t="s">
        <v>633</v>
      </c>
      <c r="E68" s="156" t="s">
        <v>4599</v>
      </c>
      <c r="F68" s="155"/>
      <c r="G68" s="157" t="n">
        <v>75</v>
      </c>
      <c r="H68" s="155"/>
      <c r="I68" s="155"/>
      <c r="J68" s="155"/>
      <c r="K68" s="146"/>
    </row>
    <row r="69">
      <c r="A69" s="9" t="s">
        <v>288</v>
      </c>
      <c r="B69" s="10" t="s">
        <v>93</v>
      </c>
      <c r="C69" s="10" t="s">
        <v>4668</v>
      </c>
      <c r="D69" s="14" t="s">
        <v>4669</v>
      </c>
      <c r="E69" s="10"/>
      <c r="F69" s="10" t="s">
        <v>282</v>
      </c>
      <c r="G69" s="111">
        <f>'Stavební rozpočet'!G2908</f>
      </c>
      <c r="H69" s="111">
        <f>'Stavební rozpočet'!H2908</f>
      </c>
      <c r="I69" s="111">
        <f>G69*H69</f>
      </c>
      <c r="J69" s="153" t="s">
        <v>134</v>
      </c>
      <c r="K69" s="146"/>
      <c r="Z69" s="111">
        <f>IF(AQ69="5",BJ69,0)</f>
      </c>
      <c r="AB69" s="111">
        <f>IF(AQ69="1",BH69,0)</f>
      </c>
      <c r="AC69" s="111">
        <f>IF(AQ69="1",BI69,0)</f>
      </c>
      <c r="AD69" s="111">
        <f>IF(AQ69="7",BH69,0)</f>
      </c>
      <c r="AE69" s="111">
        <f>IF(AQ69="7",BI69,0)</f>
      </c>
      <c r="AF69" s="111">
        <f>IF(AQ69="2",BH69,0)</f>
      </c>
      <c r="AG69" s="111">
        <f>IF(AQ69="2",BI69,0)</f>
      </c>
      <c r="AH69" s="111">
        <f>IF(AQ69="0",BJ69,0)</f>
      </c>
      <c r="AI69" s="132" t="s">
        <v>93</v>
      </c>
      <c r="AJ69" s="111">
        <f>IF(AN69=0,I69,0)</f>
      </c>
      <c r="AK69" s="111">
        <f>IF(AN69=12,I69,0)</f>
      </c>
      <c r="AL69" s="111">
        <f>IF(AN69=21,I69,0)</f>
      </c>
      <c r="AN69" s="111" t="n">
        <v>21</v>
      </c>
      <c r="AO69" s="111">
        <f>H69*0.159642207</f>
      </c>
      <c r="AP69" s="111">
        <f>H69*(1-0.159642207)</f>
      </c>
      <c r="AQ69" s="153" t="s">
        <v>130</v>
      </c>
      <c r="AV69" s="111">
        <f>AW69+AX69</f>
      </c>
      <c r="AW69" s="111">
        <f>G69*AO69</f>
      </c>
      <c r="AX69" s="111">
        <f>G69*AP69</f>
      </c>
      <c r="AY69" s="153" t="s">
        <v>1530</v>
      </c>
      <c r="AZ69" s="153" t="s">
        <v>4606</v>
      </c>
      <c r="BA69" s="132" t="s">
        <v>4594</v>
      </c>
      <c r="BC69" s="111">
        <f>AW69+AX69</f>
      </c>
      <c r="BD69" s="111">
        <f>H69/(100-BE69)*100</f>
      </c>
      <c r="BE69" s="111" t="n">
        <v>0</v>
      </c>
      <c r="BF69" s="111">
        <f>69</f>
      </c>
      <c r="BH69" s="111">
        <f>G69*AO69</f>
      </c>
      <c r="BI69" s="111">
        <f>G69*AP69</f>
      </c>
      <c r="BJ69" s="111">
        <f>G69*H69</f>
      </c>
      <c r="BK69" s="111"/>
      <c r="BL69" s="111" t="n">
        <v>97</v>
      </c>
      <c r="BW69" s="111" t="n">
        <v>21</v>
      </c>
      <c r="BX69" s="14" t="s">
        <v>4669</v>
      </c>
    </row>
    <row r="70">
      <c r="A70" s="154"/>
      <c r="B70" s="155"/>
      <c r="C70" s="155"/>
      <c r="D70" s="156" t="s">
        <v>1478</v>
      </c>
      <c r="E70" s="156" t="s">
        <v>4597</v>
      </c>
      <c r="F70" s="155"/>
      <c r="G70" s="157" t="n">
        <v>200</v>
      </c>
      <c r="H70" s="155"/>
      <c r="I70" s="155"/>
      <c r="J70" s="155"/>
      <c r="K70" s="146"/>
    </row>
    <row r="71">
      <c r="A71" s="154"/>
      <c r="B71" s="155"/>
      <c r="C71" s="155"/>
      <c r="D71" s="156" t="s">
        <v>805</v>
      </c>
      <c r="E71" s="156" t="s">
        <v>4599</v>
      </c>
      <c r="F71" s="155"/>
      <c r="G71" s="157" t="n">
        <v>100</v>
      </c>
      <c r="H71" s="155"/>
      <c r="I71" s="155"/>
      <c r="J71" s="155"/>
      <c r="K71" s="146"/>
    </row>
    <row r="72">
      <c r="A72" s="9" t="s">
        <v>330</v>
      </c>
      <c r="B72" s="10" t="s">
        <v>93</v>
      </c>
      <c r="C72" s="10" t="s">
        <v>4671</v>
      </c>
      <c r="D72" s="14" t="s">
        <v>4672</v>
      </c>
      <c r="E72" s="10"/>
      <c r="F72" s="10" t="s">
        <v>133</v>
      </c>
      <c r="G72" s="111">
        <f>'Stavební rozpočet'!G2911</f>
      </c>
      <c r="H72" s="111">
        <f>'Stavební rozpočet'!H2911</f>
      </c>
      <c r="I72" s="111">
        <f>G72*H72</f>
      </c>
      <c r="J72" s="153" t="s">
        <v>134</v>
      </c>
      <c r="K72" s="146"/>
      <c r="Z72" s="111">
        <f>IF(AQ72="5",BJ72,0)</f>
      </c>
      <c r="AB72" s="111">
        <f>IF(AQ72="1",BH72,0)</f>
      </c>
      <c r="AC72" s="111">
        <f>IF(AQ72="1",BI72,0)</f>
      </c>
      <c r="AD72" s="111">
        <f>IF(AQ72="7",BH72,0)</f>
      </c>
      <c r="AE72" s="111">
        <f>IF(AQ72="7",BI72,0)</f>
      </c>
      <c r="AF72" s="111">
        <f>IF(AQ72="2",BH72,0)</f>
      </c>
      <c r="AG72" s="111">
        <f>IF(AQ72="2",BI72,0)</f>
      </c>
      <c r="AH72" s="111">
        <f>IF(AQ72="0",BJ72,0)</f>
      </c>
      <c r="AI72" s="132" t="s">
        <v>93</v>
      </c>
      <c r="AJ72" s="111">
        <f>IF(AN72=0,I72,0)</f>
      </c>
      <c r="AK72" s="111">
        <f>IF(AN72=12,I72,0)</f>
      </c>
      <c r="AL72" s="111">
        <f>IF(AN72=21,I72,0)</f>
      </c>
      <c r="AN72" s="111" t="n">
        <v>21</v>
      </c>
      <c r="AO72" s="111">
        <f>H72*0.017347495</f>
      </c>
      <c r="AP72" s="111">
        <f>H72*(1-0.017347495)</f>
      </c>
      <c r="AQ72" s="153" t="s">
        <v>130</v>
      </c>
      <c r="AV72" s="111">
        <f>AW72+AX72</f>
      </c>
      <c r="AW72" s="111">
        <f>G72*AO72</f>
      </c>
      <c r="AX72" s="111">
        <f>G72*AP72</f>
      </c>
      <c r="AY72" s="153" t="s">
        <v>1530</v>
      </c>
      <c r="AZ72" s="153" t="s">
        <v>4606</v>
      </c>
      <c r="BA72" s="132" t="s">
        <v>4594</v>
      </c>
      <c r="BC72" s="111">
        <f>AW72+AX72</f>
      </c>
      <c r="BD72" s="111">
        <f>H72/(100-BE72)*100</f>
      </c>
      <c r="BE72" s="111" t="n">
        <v>0</v>
      </c>
      <c r="BF72" s="111">
        <f>72</f>
      </c>
      <c r="BH72" s="111">
        <f>G72*AO72</f>
      </c>
      <c r="BI72" s="111">
        <f>G72*AP72</f>
      </c>
      <c r="BJ72" s="111">
        <f>G72*H72</f>
      </c>
      <c r="BK72" s="111"/>
      <c r="BL72" s="111" t="n">
        <v>97</v>
      </c>
      <c r="BW72" s="111" t="n">
        <v>21</v>
      </c>
      <c r="BX72" s="14" t="s">
        <v>4672</v>
      </c>
    </row>
    <row r="73" customHeight="true" ht="13.5">
      <c r="A73" s="159"/>
      <c r="C73" s="160" t="s">
        <v>146</v>
      </c>
      <c r="D73" s="161" t="s">
        <v>4673</v>
      </c>
      <c r="E73" s="156"/>
      <c r="F73" s="156"/>
      <c r="G73" s="156"/>
      <c r="H73" s="156"/>
      <c r="I73" s="156"/>
      <c r="J73" s="156"/>
      <c r="K73" s="163"/>
    </row>
    <row r="74">
      <c r="A74" s="9" t="s">
        <v>333</v>
      </c>
      <c r="B74" s="10" t="s">
        <v>93</v>
      </c>
      <c r="C74" s="10" t="s">
        <v>4674</v>
      </c>
      <c r="D74" s="14" t="s">
        <v>4675</v>
      </c>
      <c r="E74" s="10"/>
      <c r="F74" s="10" t="s">
        <v>133</v>
      </c>
      <c r="G74" s="111">
        <f>'Stavební rozpočet'!G2913</f>
      </c>
      <c r="H74" s="111">
        <f>'Stavební rozpočet'!H2913</f>
      </c>
      <c r="I74" s="111">
        <f>G74*H74</f>
      </c>
      <c r="J74" s="153" t="s">
        <v>134</v>
      </c>
      <c r="K74" s="146"/>
      <c r="Z74" s="111">
        <f>IF(AQ74="5",BJ74,0)</f>
      </c>
      <c r="AB74" s="111">
        <f>IF(AQ74="1",BH74,0)</f>
      </c>
      <c r="AC74" s="111">
        <f>IF(AQ74="1",BI74,0)</f>
      </c>
      <c r="AD74" s="111">
        <f>IF(AQ74="7",BH74,0)</f>
      </c>
      <c r="AE74" s="111">
        <f>IF(AQ74="7",BI74,0)</f>
      </c>
      <c r="AF74" s="111">
        <f>IF(AQ74="2",BH74,0)</f>
      </c>
      <c r="AG74" s="111">
        <f>IF(AQ74="2",BI74,0)</f>
      </c>
      <c r="AH74" s="111">
        <f>IF(AQ74="0",BJ74,0)</f>
      </c>
      <c r="AI74" s="132" t="s">
        <v>93</v>
      </c>
      <c r="AJ74" s="111">
        <f>IF(AN74=0,I74,0)</f>
      </c>
      <c r="AK74" s="111">
        <f>IF(AN74=12,I74,0)</f>
      </c>
      <c r="AL74" s="111">
        <f>IF(AN74=21,I74,0)</f>
      </c>
      <c r="AN74" s="111" t="n">
        <v>21</v>
      </c>
      <c r="AO74" s="111">
        <f>H74*0.03597561</f>
      </c>
      <c r="AP74" s="111">
        <f>H74*(1-0.03597561)</f>
      </c>
      <c r="AQ74" s="153" t="s">
        <v>130</v>
      </c>
      <c r="AV74" s="111">
        <f>AW74+AX74</f>
      </c>
      <c r="AW74" s="111">
        <f>G74*AO74</f>
      </c>
      <c r="AX74" s="111">
        <f>G74*AP74</f>
      </c>
      <c r="AY74" s="153" t="s">
        <v>1530</v>
      </c>
      <c r="AZ74" s="153" t="s">
        <v>4606</v>
      </c>
      <c r="BA74" s="132" t="s">
        <v>4594</v>
      </c>
      <c r="BC74" s="111">
        <f>AW74+AX74</f>
      </c>
      <c r="BD74" s="111">
        <f>H74/(100-BE74)*100</f>
      </c>
      <c r="BE74" s="111" t="n">
        <v>0</v>
      </c>
      <c r="BF74" s="111">
        <f>74</f>
      </c>
      <c r="BH74" s="111">
        <f>G74*AO74</f>
      </c>
      <c r="BI74" s="111">
        <f>G74*AP74</f>
      </c>
      <c r="BJ74" s="111">
        <f>G74*H74</f>
      </c>
      <c r="BK74" s="111"/>
      <c r="BL74" s="111" t="n">
        <v>97</v>
      </c>
      <c r="BW74" s="111" t="n">
        <v>21</v>
      </c>
      <c r="BX74" s="14" t="s">
        <v>4675</v>
      </c>
    </row>
    <row r="75" customHeight="true" ht="13.5">
      <c r="A75" s="159"/>
      <c r="C75" s="160" t="s">
        <v>146</v>
      </c>
      <c r="D75" s="161" t="s">
        <v>4673</v>
      </c>
      <c r="E75" s="156"/>
      <c r="F75" s="156"/>
      <c r="G75" s="156"/>
      <c r="H75" s="156"/>
      <c r="I75" s="156"/>
      <c r="J75" s="156"/>
      <c r="K75" s="163"/>
    </row>
    <row r="76">
      <c r="A76" s="154"/>
      <c r="B76" s="155"/>
      <c r="C76" s="155"/>
      <c r="D76" s="156" t="s">
        <v>1059</v>
      </c>
      <c r="E76" s="156" t="s">
        <v>4597</v>
      </c>
      <c r="F76" s="155"/>
      <c r="G76" s="157" t="n">
        <v>136</v>
      </c>
      <c r="H76" s="155"/>
      <c r="I76" s="155"/>
      <c r="J76" s="155"/>
      <c r="K76" s="146"/>
    </row>
    <row r="77">
      <c r="A77" s="154"/>
      <c r="B77" s="155"/>
      <c r="C77" s="155"/>
      <c r="D77" s="156" t="s">
        <v>498</v>
      </c>
      <c r="E77" s="156" t="s">
        <v>4599</v>
      </c>
      <c r="F77" s="155"/>
      <c r="G77" s="157" t="n">
        <v>55</v>
      </c>
      <c r="H77" s="155"/>
      <c r="I77" s="155"/>
      <c r="J77" s="155"/>
      <c r="K77" s="146"/>
    </row>
    <row r="78">
      <c r="A78" s="147" t="s">
        <v>4</v>
      </c>
      <c r="B78" s="148" t="s">
        <v>93</v>
      </c>
      <c r="C78" s="148" t="s">
        <v>1566</v>
      </c>
      <c r="D78" s="149" t="s">
        <v>1567</v>
      </c>
      <c r="E78" s="148"/>
      <c r="F78" s="150" t="s">
        <v>79</v>
      </c>
      <c r="G78" s="150" t="s">
        <v>79</v>
      </c>
      <c r="H78" s="150" t="s">
        <v>79</v>
      </c>
      <c r="I78" s="117">
        <f>SUM(I79:I81)</f>
      </c>
      <c r="J78" s="132" t="s">
        <v>4</v>
      </c>
      <c r="K78" s="146"/>
      <c r="AI78" s="132" t="s">
        <v>93</v>
      </c>
      <c r="AS78" s="117">
        <f>SUM(AJ79:AJ81)</f>
      </c>
      <c r="AT78" s="117">
        <f>SUM(AK79:AK81)</f>
      </c>
      <c r="AU78" s="117">
        <f>SUM(AL79:AL81)</f>
      </c>
    </row>
    <row r="79">
      <c r="A79" s="9" t="s">
        <v>342</v>
      </c>
      <c r="B79" s="10" t="s">
        <v>93</v>
      </c>
      <c r="C79" s="10" t="s">
        <v>4677</v>
      </c>
      <c r="D79" s="14" t="s">
        <v>4678</v>
      </c>
      <c r="E79" s="10"/>
      <c r="F79" s="10" t="s">
        <v>3860</v>
      </c>
      <c r="G79" s="111">
        <f>'Stavební rozpočet'!G2918</f>
      </c>
      <c r="H79" s="111">
        <f>'Stavební rozpočet'!H2918</f>
      </c>
      <c r="I79" s="111">
        <f>G79*H79</f>
      </c>
      <c r="J79" s="153" t="s">
        <v>134</v>
      </c>
      <c r="K79" s="146"/>
      <c r="Z79" s="111">
        <f>IF(AQ79="5",BJ79,0)</f>
      </c>
      <c r="AB79" s="111">
        <f>IF(AQ79="1",BH79,0)</f>
      </c>
      <c r="AC79" s="111">
        <f>IF(AQ79="1",BI79,0)</f>
      </c>
      <c r="AD79" s="111">
        <f>IF(AQ79="7",BH79,0)</f>
      </c>
      <c r="AE79" s="111">
        <f>IF(AQ79="7",BI79,0)</f>
      </c>
      <c r="AF79" s="111">
        <f>IF(AQ79="2",BH79,0)</f>
      </c>
      <c r="AG79" s="111">
        <f>IF(AQ79="2",BI79,0)</f>
      </c>
      <c r="AH79" s="111">
        <f>IF(AQ79="0",BJ79,0)</f>
      </c>
      <c r="AI79" s="132" t="s">
        <v>93</v>
      </c>
      <c r="AJ79" s="111">
        <f>IF(AN79=0,I79,0)</f>
      </c>
      <c r="AK79" s="111">
        <f>IF(AN79=12,I79,0)</f>
      </c>
      <c r="AL79" s="111">
        <f>IF(AN79=21,I79,0)</f>
      </c>
      <c r="AN79" s="111" t="n">
        <v>21</v>
      </c>
      <c r="AO79" s="111">
        <f>H79*0</f>
      </c>
      <c r="AP79" s="111">
        <f>H79*(1-0)</f>
      </c>
      <c r="AQ79" s="153" t="s">
        <v>156</v>
      </c>
      <c r="AV79" s="111">
        <f>AW79+AX79</f>
      </c>
      <c r="AW79" s="111">
        <f>G79*AO79</f>
      </c>
      <c r="AX79" s="111">
        <f>G79*AP79</f>
      </c>
      <c r="AY79" s="153" t="s">
        <v>1571</v>
      </c>
      <c r="AZ79" s="153" t="s">
        <v>4606</v>
      </c>
      <c r="BA79" s="132" t="s">
        <v>4594</v>
      </c>
      <c r="BC79" s="111">
        <f>AW79+AX79</f>
      </c>
      <c r="BD79" s="111">
        <f>H79/(100-BE79)*100</f>
      </c>
      <c r="BE79" s="111" t="n">
        <v>0</v>
      </c>
      <c r="BF79" s="111">
        <f>79</f>
      </c>
      <c r="BH79" s="111">
        <f>G79*AO79</f>
      </c>
      <c r="BI79" s="111">
        <f>G79*AP79</f>
      </c>
      <c r="BJ79" s="111">
        <f>G79*H79</f>
      </c>
      <c r="BK79" s="111"/>
      <c r="BL79" s="111"/>
      <c r="BW79" s="111" t="n">
        <v>21</v>
      </c>
      <c r="BX79" s="14" t="s">
        <v>4678</v>
      </c>
    </row>
    <row r="80" customHeight="true" ht="13.5">
      <c r="A80" s="159"/>
      <c r="C80" s="160" t="s">
        <v>146</v>
      </c>
      <c r="D80" s="161" t="s">
        <v>4679</v>
      </c>
      <c r="E80" s="156"/>
      <c r="F80" s="156"/>
      <c r="G80" s="156"/>
      <c r="H80" s="156"/>
      <c r="I80" s="156"/>
      <c r="J80" s="156"/>
      <c r="K80" s="163"/>
    </row>
    <row r="81">
      <c r="A81" s="9" t="s">
        <v>348</v>
      </c>
      <c r="B81" s="10" t="s">
        <v>93</v>
      </c>
      <c r="C81" s="10" t="s">
        <v>4681</v>
      </c>
      <c r="D81" s="14" t="s">
        <v>4682</v>
      </c>
      <c r="E81" s="10"/>
      <c r="F81" s="10" t="s">
        <v>229</v>
      </c>
      <c r="G81" s="111">
        <f>'Stavební rozpočet'!G2920</f>
      </c>
      <c r="H81" s="111">
        <f>'Stavební rozpočet'!H2920</f>
      </c>
      <c r="I81" s="111">
        <f>G81*H81</f>
      </c>
      <c r="J81" s="153" t="s">
        <v>134</v>
      </c>
      <c r="K81" s="146"/>
      <c r="Z81" s="111">
        <f>IF(AQ81="5",BJ81,0)</f>
      </c>
      <c r="AB81" s="111">
        <f>IF(AQ81="1",BH81,0)</f>
      </c>
      <c r="AC81" s="111">
        <f>IF(AQ81="1",BI81,0)</f>
      </c>
      <c r="AD81" s="111">
        <f>IF(AQ81="7",BH81,0)</f>
      </c>
      <c r="AE81" s="111">
        <f>IF(AQ81="7",BI81,0)</f>
      </c>
      <c r="AF81" s="111">
        <f>IF(AQ81="2",BH81,0)</f>
      </c>
      <c r="AG81" s="111">
        <f>IF(AQ81="2",BI81,0)</f>
      </c>
      <c r="AH81" s="111">
        <f>IF(AQ81="0",BJ81,0)</f>
      </c>
      <c r="AI81" s="132" t="s">
        <v>93</v>
      </c>
      <c r="AJ81" s="111">
        <f>IF(AN81=0,I81,0)</f>
      </c>
      <c r="AK81" s="111">
        <f>IF(AN81=12,I81,0)</f>
      </c>
      <c r="AL81" s="111">
        <f>IF(AN81=21,I81,0)</f>
      </c>
      <c r="AN81" s="111" t="n">
        <v>21</v>
      </c>
      <c r="AO81" s="111">
        <f>H81*0</f>
      </c>
      <c r="AP81" s="111">
        <f>H81*(1-0)</f>
      </c>
      <c r="AQ81" s="153" t="s">
        <v>156</v>
      </c>
      <c r="AV81" s="111">
        <f>AW81+AX81</f>
      </c>
      <c r="AW81" s="111">
        <f>G81*AO81</f>
      </c>
      <c r="AX81" s="111">
        <f>G81*AP81</f>
      </c>
      <c r="AY81" s="153" t="s">
        <v>1571</v>
      </c>
      <c r="AZ81" s="153" t="s">
        <v>4606</v>
      </c>
      <c r="BA81" s="132" t="s">
        <v>4594</v>
      </c>
      <c r="BC81" s="111">
        <f>AW81+AX81</f>
      </c>
      <c r="BD81" s="111">
        <f>H81/(100-BE81)*100</f>
      </c>
      <c r="BE81" s="111" t="n">
        <v>0</v>
      </c>
      <c r="BF81" s="111">
        <f>81</f>
      </c>
      <c r="BH81" s="111">
        <f>G81*AO81</f>
      </c>
      <c r="BI81" s="111">
        <f>G81*AP81</f>
      </c>
      <c r="BJ81" s="111">
        <f>G81*H81</f>
      </c>
      <c r="BK81" s="111"/>
      <c r="BL81" s="111"/>
      <c r="BW81" s="111" t="n">
        <v>21</v>
      </c>
      <c r="BX81" s="14" t="s">
        <v>4682</v>
      </c>
    </row>
    <row r="82">
      <c r="A82" s="147" t="s">
        <v>4</v>
      </c>
      <c r="B82" s="148" t="s">
        <v>93</v>
      </c>
      <c r="C82" s="148" t="s">
        <v>4</v>
      </c>
      <c r="D82" s="149" t="s">
        <v>4683</v>
      </c>
      <c r="E82" s="148"/>
      <c r="F82" s="150" t="s">
        <v>79</v>
      </c>
      <c r="G82" s="150" t="s">
        <v>79</v>
      </c>
      <c r="H82" s="150" t="s">
        <v>79</v>
      </c>
      <c r="I82" s="117">
        <f>SUM(I83:I109)</f>
      </c>
      <c r="J82" s="132" t="s">
        <v>4</v>
      </c>
      <c r="K82" s="146"/>
      <c r="AI82" s="132" t="s">
        <v>93</v>
      </c>
      <c r="AS82" s="117">
        <f>SUM(AJ83:AJ109)</f>
      </c>
      <c r="AT82" s="117">
        <f>SUM(AK83:AK109)</f>
      </c>
      <c r="AU82" s="117">
        <f>SUM(AL83:AL109)</f>
      </c>
    </row>
    <row r="83">
      <c r="A83" s="9" t="s">
        <v>354</v>
      </c>
      <c r="B83" s="10" t="s">
        <v>93</v>
      </c>
      <c r="C83" s="10" t="s">
        <v>4604</v>
      </c>
      <c r="D83" s="14" t="s">
        <v>4685</v>
      </c>
      <c r="E83" s="10"/>
      <c r="F83" s="10" t="s">
        <v>2277</v>
      </c>
      <c r="G83" s="111">
        <f>'Stavební rozpočet'!G2922</f>
      </c>
      <c r="H83" s="111">
        <f>'Stavební rozpočet'!H2922</f>
      </c>
      <c r="I83" s="111">
        <f>G83*H83</f>
      </c>
      <c r="J83" s="153" t="s">
        <v>2936</v>
      </c>
      <c r="K83" s="146"/>
      <c r="Z83" s="111">
        <f>IF(AQ83="5",BJ83,0)</f>
      </c>
      <c r="AB83" s="111">
        <f>IF(AQ83="1",BH83,0)</f>
      </c>
      <c r="AC83" s="111">
        <f>IF(AQ83="1",BI83,0)</f>
      </c>
      <c r="AD83" s="111">
        <f>IF(AQ83="7",BH83,0)</f>
      </c>
      <c r="AE83" s="111">
        <f>IF(AQ83="7",BI83,0)</f>
      </c>
      <c r="AF83" s="111">
        <f>IF(AQ83="2",BH83,0)</f>
      </c>
      <c r="AG83" s="111">
        <f>IF(AQ83="2",BI83,0)</f>
      </c>
      <c r="AH83" s="111">
        <f>IF(AQ83="0",BJ83,0)</f>
      </c>
      <c r="AI83" s="132" t="s">
        <v>93</v>
      </c>
      <c r="AJ83" s="111">
        <f>IF(AN83=0,I83,0)</f>
      </c>
      <c r="AK83" s="111">
        <f>IF(AN83=12,I83,0)</f>
      </c>
      <c r="AL83" s="111">
        <f>IF(AN83=21,I83,0)</f>
      </c>
      <c r="AN83" s="111" t="n">
        <v>21</v>
      </c>
      <c r="AO83" s="111">
        <f>H83*0</f>
      </c>
      <c r="AP83" s="111">
        <f>H83*(1-0)</f>
      </c>
      <c r="AQ83" s="153" t="s">
        <v>130</v>
      </c>
      <c r="AV83" s="111">
        <f>AW83+AX83</f>
      </c>
      <c r="AW83" s="111">
        <f>G83*AO83</f>
      </c>
      <c r="AX83" s="111">
        <f>G83*AP83</f>
      </c>
      <c r="AY83" s="153" t="s">
        <v>4686</v>
      </c>
      <c r="AZ83" s="153" t="s">
        <v>4687</v>
      </c>
      <c r="BA83" s="132" t="s">
        <v>4594</v>
      </c>
      <c r="BC83" s="111">
        <f>AW83+AX83</f>
      </c>
      <c r="BD83" s="111">
        <f>H83/(100-BE83)*100</f>
      </c>
      <c r="BE83" s="111" t="n">
        <v>0</v>
      </c>
      <c r="BF83" s="111">
        <f>83</f>
      </c>
      <c r="BH83" s="111">
        <f>G83*AO83</f>
      </c>
      <c r="BI83" s="111">
        <f>G83*AP83</f>
      </c>
      <c r="BJ83" s="111">
        <f>G83*H83</f>
      </c>
      <c r="BK83" s="111"/>
      <c r="BL83" s="111"/>
      <c r="BW83" s="111" t="n">
        <v>21</v>
      </c>
      <c r="BX83" s="14" t="s">
        <v>4685</v>
      </c>
    </row>
    <row r="84" customHeight="true" ht="13.5">
      <c r="A84" s="159"/>
      <c r="C84" s="160" t="s">
        <v>146</v>
      </c>
      <c r="D84" s="161" t="s">
        <v>4599</v>
      </c>
      <c r="E84" s="156"/>
      <c r="F84" s="156"/>
      <c r="G84" s="156"/>
      <c r="H84" s="156"/>
      <c r="I84" s="156"/>
      <c r="J84" s="156"/>
      <c r="K84" s="163"/>
    </row>
    <row r="85">
      <c r="A85" s="154"/>
      <c r="B85" s="155"/>
      <c r="C85" s="155"/>
      <c r="D85" s="156" t="s">
        <v>130</v>
      </c>
      <c r="E85" s="156" t="s">
        <v>4599</v>
      </c>
      <c r="F85" s="155"/>
      <c r="G85" s="157" t="n">
        <v>1</v>
      </c>
      <c r="H85" s="155"/>
      <c r="I85" s="155"/>
      <c r="J85" s="155"/>
      <c r="K85" s="146"/>
    </row>
    <row r="86">
      <c r="A86" s="9" t="s">
        <v>360</v>
      </c>
      <c r="B86" s="10" t="s">
        <v>93</v>
      </c>
      <c r="C86" s="10" t="s">
        <v>4648</v>
      </c>
      <c r="D86" s="14" t="s">
        <v>4689</v>
      </c>
      <c r="E86" s="10"/>
      <c r="F86" s="10" t="s">
        <v>2277</v>
      </c>
      <c r="G86" s="111">
        <f>'Stavební rozpočet'!G2925</f>
      </c>
      <c r="H86" s="111">
        <f>'Stavební rozpočet'!H2925</f>
      </c>
      <c r="I86" s="111">
        <f>G86*H86</f>
      </c>
      <c r="J86" s="153" t="s">
        <v>134</v>
      </c>
      <c r="K86" s="146"/>
      <c r="Z86" s="111">
        <f>IF(AQ86="5",BJ86,0)</f>
      </c>
      <c r="AB86" s="111">
        <f>IF(AQ86="1",BH86,0)</f>
      </c>
      <c r="AC86" s="111">
        <f>IF(AQ86="1",BI86,0)</f>
      </c>
      <c r="AD86" s="111">
        <f>IF(AQ86="7",BH86,0)</f>
      </c>
      <c r="AE86" s="111">
        <f>IF(AQ86="7",BI86,0)</f>
      </c>
      <c r="AF86" s="111">
        <f>IF(AQ86="2",BH86,0)</f>
      </c>
      <c r="AG86" s="111">
        <f>IF(AQ86="2",BI86,0)</f>
      </c>
      <c r="AH86" s="111">
        <f>IF(AQ86="0",BJ86,0)</f>
      </c>
      <c r="AI86" s="132" t="s">
        <v>93</v>
      </c>
      <c r="AJ86" s="111">
        <f>IF(AN86=0,I86,0)</f>
      </c>
      <c r="AK86" s="111">
        <f>IF(AN86=12,I86,0)</f>
      </c>
      <c r="AL86" s="111">
        <f>IF(AN86=21,I86,0)</f>
      </c>
      <c r="AN86" s="111" t="n">
        <v>21</v>
      </c>
      <c r="AO86" s="111">
        <f>H86*0</f>
      </c>
      <c r="AP86" s="111">
        <f>H86*(1-0)</f>
      </c>
      <c r="AQ86" s="153" t="s">
        <v>130</v>
      </c>
      <c r="AV86" s="111">
        <f>AW86+AX86</f>
      </c>
      <c r="AW86" s="111">
        <f>G86*AO86</f>
      </c>
      <c r="AX86" s="111">
        <f>G86*AP86</f>
      </c>
      <c r="AY86" s="153" t="s">
        <v>4686</v>
      </c>
      <c r="AZ86" s="153" t="s">
        <v>4687</v>
      </c>
      <c r="BA86" s="132" t="s">
        <v>4594</v>
      </c>
      <c r="BC86" s="111">
        <f>AW86+AX86</f>
      </c>
      <c r="BD86" s="111">
        <f>H86/(100-BE86)*100</f>
      </c>
      <c r="BE86" s="111" t="n">
        <v>0</v>
      </c>
      <c r="BF86" s="111">
        <f>86</f>
      </c>
      <c r="BH86" s="111">
        <f>G86*AO86</f>
      </c>
      <c r="BI86" s="111">
        <f>G86*AP86</f>
      </c>
      <c r="BJ86" s="111">
        <f>G86*H86</f>
      </c>
      <c r="BK86" s="111"/>
      <c r="BL86" s="111"/>
      <c r="BW86" s="111" t="n">
        <v>21</v>
      </c>
      <c r="BX86" s="14" t="s">
        <v>4689</v>
      </c>
    </row>
    <row r="87" customHeight="true" ht="13.5">
      <c r="A87" s="159"/>
      <c r="C87" s="160" t="s">
        <v>146</v>
      </c>
      <c r="D87" s="161" t="s">
        <v>4690</v>
      </c>
      <c r="E87" s="156"/>
      <c r="F87" s="156"/>
      <c r="G87" s="156"/>
      <c r="H87" s="156"/>
      <c r="I87" s="156"/>
      <c r="J87" s="156"/>
      <c r="K87" s="163"/>
    </row>
    <row r="88">
      <c r="A88" s="9" t="s">
        <v>366</v>
      </c>
      <c r="B88" s="10" t="s">
        <v>93</v>
      </c>
      <c r="C88" s="10" t="s">
        <v>4604</v>
      </c>
      <c r="D88" s="14" t="s">
        <v>4692</v>
      </c>
      <c r="E88" s="10"/>
      <c r="F88" s="10" t="s">
        <v>2277</v>
      </c>
      <c r="G88" s="111">
        <f>'Stavební rozpočet'!G2927</f>
      </c>
      <c r="H88" s="111">
        <f>'Stavební rozpočet'!H2927</f>
      </c>
      <c r="I88" s="111">
        <f>G88*H88</f>
      </c>
      <c r="J88" s="153" t="s">
        <v>2936</v>
      </c>
      <c r="K88" s="146"/>
      <c r="Z88" s="111">
        <f>IF(AQ88="5",BJ88,0)</f>
      </c>
      <c r="AB88" s="111">
        <f>IF(AQ88="1",BH88,0)</f>
      </c>
      <c r="AC88" s="111">
        <f>IF(AQ88="1",BI88,0)</f>
      </c>
      <c r="AD88" s="111">
        <f>IF(AQ88="7",BH88,0)</f>
      </c>
      <c r="AE88" s="111">
        <f>IF(AQ88="7",BI88,0)</f>
      </c>
      <c r="AF88" s="111">
        <f>IF(AQ88="2",BH88,0)</f>
      </c>
      <c r="AG88" s="111">
        <f>IF(AQ88="2",BI88,0)</f>
      </c>
      <c r="AH88" s="111">
        <f>IF(AQ88="0",BJ88,0)</f>
      </c>
      <c r="AI88" s="132" t="s">
        <v>93</v>
      </c>
      <c r="AJ88" s="111">
        <f>IF(AN88=0,I88,0)</f>
      </c>
      <c r="AK88" s="111">
        <f>IF(AN88=12,I88,0)</f>
      </c>
      <c r="AL88" s="111">
        <f>IF(AN88=21,I88,0)</f>
      </c>
      <c r="AN88" s="111" t="n">
        <v>21</v>
      </c>
      <c r="AO88" s="111">
        <f>H88*0</f>
      </c>
      <c r="AP88" s="111">
        <f>H88*(1-0)</f>
      </c>
      <c r="AQ88" s="153" t="s">
        <v>130</v>
      </c>
      <c r="AV88" s="111">
        <f>AW88+AX88</f>
      </c>
      <c r="AW88" s="111">
        <f>G88*AO88</f>
      </c>
      <c r="AX88" s="111">
        <f>G88*AP88</f>
      </c>
      <c r="AY88" s="153" t="s">
        <v>4686</v>
      </c>
      <c r="AZ88" s="153" t="s">
        <v>4687</v>
      </c>
      <c r="BA88" s="132" t="s">
        <v>4594</v>
      </c>
      <c r="BC88" s="111">
        <f>AW88+AX88</f>
      </c>
      <c r="BD88" s="111">
        <f>H88/(100-BE88)*100</f>
      </c>
      <c r="BE88" s="111" t="n">
        <v>0</v>
      </c>
      <c r="BF88" s="111">
        <f>88</f>
      </c>
      <c r="BH88" s="111">
        <f>G88*AO88</f>
      </c>
      <c r="BI88" s="111">
        <f>G88*AP88</f>
      </c>
      <c r="BJ88" s="111">
        <f>G88*H88</f>
      </c>
      <c r="BK88" s="111"/>
      <c r="BL88" s="111"/>
      <c r="BW88" s="111" t="n">
        <v>21</v>
      </c>
      <c r="BX88" s="14" t="s">
        <v>4692</v>
      </c>
    </row>
    <row r="89" customHeight="true" ht="13.5">
      <c r="A89" s="159"/>
      <c r="C89" s="160" t="s">
        <v>146</v>
      </c>
      <c r="D89" s="161" t="s">
        <v>4599</v>
      </c>
      <c r="E89" s="156"/>
      <c r="F89" s="156"/>
      <c r="G89" s="156"/>
      <c r="H89" s="156"/>
      <c r="I89" s="156"/>
      <c r="J89" s="156"/>
      <c r="K89" s="163"/>
    </row>
    <row r="90">
      <c r="A90" s="154"/>
      <c r="B90" s="155"/>
      <c r="C90" s="155"/>
      <c r="D90" s="156" t="s">
        <v>130</v>
      </c>
      <c r="E90" s="156" t="s">
        <v>4599</v>
      </c>
      <c r="F90" s="155"/>
      <c r="G90" s="157" t="n">
        <v>1</v>
      </c>
      <c r="H90" s="155"/>
      <c r="I90" s="155"/>
      <c r="J90" s="155"/>
      <c r="K90" s="146"/>
    </row>
    <row r="91">
      <c r="A91" s="9" t="s">
        <v>374</v>
      </c>
      <c r="B91" s="10" t="s">
        <v>93</v>
      </c>
      <c r="C91" s="10" t="s">
        <v>4604</v>
      </c>
      <c r="D91" s="14" t="s">
        <v>4694</v>
      </c>
      <c r="E91" s="10"/>
      <c r="F91" s="10" t="s">
        <v>2277</v>
      </c>
      <c r="G91" s="111">
        <f>'Stavební rozpočet'!G2930</f>
      </c>
      <c r="H91" s="111">
        <f>'Stavební rozpočet'!H2930</f>
      </c>
      <c r="I91" s="111">
        <f>G91*H91</f>
      </c>
      <c r="J91" s="153" t="s">
        <v>2936</v>
      </c>
      <c r="K91" s="146"/>
      <c r="Z91" s="111">
        <f>IF(AQ91="5",BJ91,0)</f>
      </c>
      <c r="AB91" s="111">
        <f>IF(AQ91="1",BH91,0)</f>
      </c>
      <c r="AC91" s="111">
        <f>IF(AQ91="1",BI91,0)</f>
      </c>
      <c r="AD91" s="111">
        <f>IF(AQ91="7",BH91,0)</f>
      </c>
      <c r="AE91" s="111">
        <f>IF(AQ91="7",BI91,0)</f>
      </c>
      <c r="AF91" s="111">
        <f>IF(AQ91="2",BH91,0)</f>
      </c>
      <c r="AG91" s="111">
        <f>IF(AQ91="2",BI91,0)</f>
      </c>
      <c r="AH91" s="111">
        <f>IF(AQ91="0",BJ91,0)</f>
      </c>
      <c r="AI91" s="132" t="s">
        <v>93</v>
      </c>
      <c r="AJ91" s="111">
        <f>IF(AN91=0,I91,0)</f>
      </c>
      <c r="AK91" s="111">
        <f>IF(AN91=12,I91,0)</f>
      </c>
      <c r="AL91" s="111">
        <f>IF(AN91=21,I91,0)</f>
      </c>
      <c r="AN91" s="111" t="n">
        <v>21</v>
      </c>
      <c r="AO91" s="111">
        <f>H91*0</f>
      </c>
      <c r="AP91" s="111">
        <f>H91*(1-0)</f>
      </c>
      <c r="AQ91" s="153" t="s">
        <v>130</v>
      </c>
      <c r="AV91" s="111">
        <f>AW91+AX91</f>
      </c>
      <c r="AW91" s="111">
        <f>G91*AO91</f>
      </c>
      <c r="AX91" s="111">
        <f>G91*AP91</f>
      </c>
      <c r="AY91" s="153" t="s">
        <v>4686</v>
      </c>
      <c r="AZ91" s="153" t="s">
        <v>4687</v>
      </c>
      <c r="BA91" s="132" t="s">
        <v>4594</v>
      </c>
      <c r="BC91" s="111">
        <f>AW91+AX91</f>
      </c>
      <c r="BD91" s="111">
        <f>H91/(100-BE91)*100</f>
      </c>
      <c r="BE91" s="111" t="n">
        <v>0</v>
      </c>
      <c r="BF91" s="111">
        <f>91</f>
      </c>
      <c r="BH91" s="111">
        <f>G91*AO91</f>
      </c>
      <c r="BI91" s="111">
        <f>G91*AP91</f>
      </c>
      <c r="BJ91" s="111">
        <f>G91*H91</f>
      </c>
      <c r="BK91" s="111"/>
      <c r="BL91" s="111"/>
      <c r="BW91" s="111" t="n">
        <v>21</v>
      </c>
      <c r="BX91" s="14" t="s">
        <v>4694</v>
      </c>
    </row>
    <row r="92" customHeight="true" ht="13.5">
      <c r="A92" s="159"/>
      <c r="C92" s="160" t="s">
        <v>146</v>
      </c>
      <c r="D92" s="161" t="s">
        <v>4607</v>
      </c>
      <c r="E92" s="156"/>
      <c r="F92" s="156"/>
      <c r="G92" s="156"/>
      <c r="H92" s="156"/>
      <c r="I92" s="156"/>
      <c r="J92" s="156"/>
      <c r="K92" s="163"/>
    </row>
    <row r="93">
      <c r="A93" s="9" t="s">
        <v>378</v>
      </c>
      <c r="B93" s="10" t="s">
        <v>93</v>
      </c>
      <c r="C93" s="10" t="s">
        <v>4604</v>
      </c>
      <c r="D93" s="14" t="s">
        <v>4696</v>
      </c>
      <c r="E93" s="10"/>
      <c r="F93" s="10" t="s">
        <v>2277</v>
      </c>
      <c r="G93" s="111">
        <f>'Stavební rozpočet'!G2932</f>
      </c>
      <c r="H93" s="111">
        <f>'Stavební rozpočet'!H2932</f>
      </c>
      <c r="I93" s="111">
        <f>G93*H93</f>
      </c>
      <c r="J93" s="153" t="s">
        <v>2936</v>
      </c>
      <c r="K93" s="146"/>
      <c r="Z93" s="111">
        <f>IF(AQ93="5",BJ93,0)</f>
      </c>
      <c r="AB93" s="111">
        <f>IF(AQ93="1",BH93,0)</f>
      </c>
      <c r="AC93" s="111">
        <f>IF(AQ93="1",BI93,0)</f>
      </c>
      <c r="AD93" s="111">
        <f>IF(AQ93="7",BH93,0)</f>
      </c>
      <c r="AE93" s="111">
        <f>IF(AQ93="7",BI93,0)</f>
      </c>
      <c r="AF93" s="111">
        <f>IF(AQ93="2",BH93,0)</f>
      </c>
      <c r="AG93" s="111">
        <f>IF(AQ93="2",BI93,0)</f>
      </c>
      <c r="AH93" s="111">
        <f>IF(AQ93="0",BJ93,0)</f>
      </c>
      <c r="AI93" s="132" t="s">
        <v>93</v>
      </c>
      <c r="AJ93" s="111">
        <f>IF(AN93=0,I93,0)</f>
      </c>
      <c r="AK93" s="111">
        <f>IF(AN93=12,I93,0)</f>
      </c>
      <c r="AL93" s="111">
        <f>IF(AN93=21,I93,0)</f>
      </c>
      <c r="AN93" s="111" t="n">
        <v>21</v>
      </c>
      <c r="AO93" s="111">
        <f>H93*0</f>
      </c>
      <c r="AP93" s="111">
        <f>H93*(1-0)</f>
      </c>
      <c r="AQ93" s="153" t="s">
        <v>130</v>
      </c>
      <c r="AV93" s="111">
        <f>AW93+AX93</f>
      </c>
      <c r="AW93" s="111">
        <f>G93*AO93</f>
      </c>
      <c r="AX93" s="111">
        <f>G93*AP93</f>
      </c>
      <c r="AY93" s="153" t="s">
        <v>4686</v>
      </c>
      <c r="AZ93" s="153" t="s">
        <v>4687</v>
      </c>
      <c r="BA93" s="132" t="s">
        <v>4594</v>
      </c>
      <c r="BC93" s="111">
        <f>AW93+AX93</f>
      </c>
      <c r="BD93" s="111">
        <f>H93/(100-BE93)*100</f>
      </c>
      <c r="BE93" s="111" t="n">
        <v>0</v>
      </c>
      <c r="BF93" s="111">
        <f>93</f>
      </c>
      <c r="BH93" s="111">
        <f>G93*AO93</f>
      </c>
      <c r="BI93" s="111">
        <f>G93*AP93</f>
      </c>
      <c r="BJ93" s="111">
        <f>G93*H93</f>
      </c>
      <c r="BK93" s="111"/>
      <c r="BL93" s="111"/>
      <c r="BW93" s="111" t="n">
        <v>21</v>
      </c>
      <c r="BX93" s="14" t="s">
        <v>4696</v>
      </c>
    </row>
    <row r="94" customHeight="true" ht="13.5">
      <c r="A94" s="159"/>
      <c r="C94" s="160" t="s">
        <v>146</v>
      </c>
      <c r="D94" s="161" t="s">
        <v>4607</v>
      </c>
      <c r="E94" s="156"/>
      <c r="F94" s="156"/>
      <c r="G94" s="156"/>
      <c r="H94" s="156"/>
      <c r="I94" s="156"/>
      <c r="J94" s="156"/>
      <c r="K94" s="163"/>
    </row>
    <row r="95">
      <c r="A95" s="9" t="s">
        <v>381</v>
      </c>
      <c r="B95" s="10" t="s">
        <v>93</v>
      </c>
      <c r="C95" s="10" t="s">
        <v>4698</v>
      </c>
      <c r="D95" s="14" t="s">
        <v>4699</v>
      </c>
      <c r="E95" s="10"/>
      <c r="F95" s="10" t="s">
        <v>2277</v>
      </c>
      <c r="G95" s="111">
        <f>'Stavební rozpočet'!G2934</f>
      </c>
      <c r="H95" s="111">
        <f>'Stavební rozpočet'!H2934</f>
      </c>
      <c r="I95" s="111">
        <f>G95*H95</f>
      </c>
      <c r="J95" s="153" t="s">
        <v>2936</v>
      </c>
      <c r="K95" s="146"/>
      <c r="Z95" s="111">
        <f>IF(AQ95="5",BJ95,0)</f>
      </c>
      <c r="AB95" s="111">
        <f>IF(AQ95="1",BH95,0)</f>
      </c>
      <c r="AC95" s="111">
        <f>IF(AQ95="1",BI95,0)</f>
      </c>
      <c r="AD95" s="111">
        <f>IF(AQ95="7",BH95,0)</f>
      </c>
      <c r="AE95" s="111">
        <f>IF(AQ95="7",BI95,0)</f>
      </c>
      <c r="AF95" s="111">
        <f>IF(AQ95="2",BH95,0)</f>
      </c>
      <c r="AG95" s="111">
        <f>IF(AQ95="2",BI95,0)</f>
      </c>
      <c r="AH95" s="111">
        <f>IF(AQ95="0",BJ95,0)</f>
      </c>
      <c r="AI95" s="132" t="s">
        <v>93</v>
      </c>
      <c r="AJ95" s="111">
        <f>IF(AN95=0,I95,0)</f>
      </c>
      <c r="AK95" s="111">
        <f>IF(AN95=12,I95,0)</f>
      </c>
      <c r="AL95" s="111">
        <f>IF(AN95=21,I95,0)</f>
      </c>
      <c r="AN95" s="111" t="n">
        <v>21</v>
      </c>
      <c r="AO95" s="111">
        <f>H95*0</f>
      </c>
      <c r="AP95" s="111">
        <f>H95*(1-0)</f>
      </c>
      <c r="AQ95" s="153" t="s">
        <v>130</v>
      </c>
      <c r="AV95" s="111">
        <f>AW95+AX95</f>
      </c>
      <c r="AW95" s="111">
        <f>G95*AO95</f>
      </c>
      <c r="AX95" s="111">
        <f>G95*AP95</f>
      </c>
      <c r="AY95" s="153" t="s">
        <v>4686</v>
      </c>
      <c r="AZ95" s="153" t="s">
        <v>4687</v>
      </c>
      <c r="BA95" s="132" t="s">
        <v>4594</v>
      </c>
      <c r="BC95" s="111">
        <f>AW95+AX95</f>
      </c>
      <c r="BD95" s="111">
        <f>H95/(100-BE95)*100</f>
      </c>
      <c r="BE95" s="111" t="n">
        <v>0</v>
      </c>
      <c r="BF95" s="111">
        <f>95</f>
      </c>
      <c r="BH95" s="111">
        <f>G95*AO95</f>
      </c>
      <c r="BI95" s="111">
        <f>G95*AP95</f>
      </c>
      <c r="BJ95" s="111">
        <f>G95*H95</f>
      </c>
      <c r="BK95" s="111"/>
      <c r="BL95" s="111"/>
      <c r="BW95" s="111" t="n">
        <v>21</v>
      </c>
      <c r="BX95" s="14" t="s">
        <v>4699</v>
      </c>
    </row>
    <row r="96" customHeight="true" ht="13.5">
      <c r="A96" s="159"/>
      <c r="C96" s="160" t="s">
        <v>146</v>
      </c>
      <c r="D96" s="161" t="s">
        <v>4700</v>
      </c>
      <c r="E96" s="156"/>
      <c r="F96" s="156"/>
      <c r="G96" s="156"/>
      <c r="H96" s="156"/>
      <c r="I96" s="156"/>
      <c r="J96" s="156"/>
      <c r="K96" s="163"/>
    </row>
    <row r="97">
      <c r="A97" s="9" t="s">
        <v>387</v>
      </c>
      <c r="B97" s="10" t="s">
        <v>93</v>
      </c>
      <c r="C97" s="10" t="s">
        <v>4702</v>
      </c>
      <c r="D97" s="14" t="s">
        <v>4703</v>
      </c>
      <c r="E97" s="10"/>
      <c r="F97" s="10" t="s">
        <v>2277</v>
      </c>
      <c r="G97" s="111">
        <f>'Stavební rozpočet'!G2936</f>
      </c>
      <c r="H97" s="111">
        <f>'Stavební rozpočet'!H2936</f>
      </c>
      <c r="I97" s="111">
        <f>G97*H97</f>
      </c>
      <c r="J97" s="153" t="s">
        <v>2936</v>
      </c>
      <c r="K97" s="146"/>
      <c r="Z97" s="111">
        <f>IF(AQ97="5",BJ97,0)</f>
      </c>
      <c r="AB97" s="111">
        <f>IF(AQ97="1",BH97,0)</f>
      </c>
      <c r="AC97" s="111">
        <f>IF(AQ97="1",BI97,0)</f>
      </c>
      <c r="AD97" s="111">
        <f>IF(AQ97="7",BH97,0)</f>
      </c>
      <c r="AE97" s="111">
        <f>IF(AQ97="7",BI97,0)</f>
      </c>
      <c r="AF97" s="111">
        <f>IF(AQ97="2",BH97,0)</f>
      </c>
      <c r="AG97" s="111">
        <f>IF(AQ97="2",BI97,0)</f>
      </c>
      <c r="AH97" s="111">
        <f>IF(AQ97="0",BJ97,0)</f>
      </c>
      <c r="AI97" s="132" t="s">
        <v>93</v>
      </c>
      <c r="AJ97" s="111">
        <f>IF(AN97=0,I97,0)</f>
      </c>
      <c r="AK97" s="111">
        <f>IF(AN97=12,I97,0)</f>
      </c>
      <c r="AL97" s="111">
        <f>IF(AN97=21,I97,0)</f>
      </c>
      <c r="AN97" s="111" t="n">
        <v>21</v>
      </c>
      <c r="AO97" s="111">
        <f>H97*0</f>
      </c>
      <c r="AP97" s="111">
        <f>H97*(1-0)</f>
      </c>
      <c r="AQ97" s="153" t="s">
        <v>130</v>
      </c>
      <c r="AV97" s="111">
        <f>AW97+AX97</f>
      </c>
      <c r="AW97" s="111">
        <f>G97*AO97</f>
      </c>
      <c r="AX97" s="111">
        <f>G97*AP97</f>
      </c>
      <c r="AY97" s="153" t="s">
        <v>4686</v>
      </c>
      <c r="AZ97" s="153" t="s">
        <v>4687</v>
      </c>
      <c r="BA97" s="132" t="s">
        <v>4594</v>
      </c>
      <c r="BC97" s="111">
        <f>AW97+AX97</f>
      </c>
      <c r="BD97" s="111">
        <f>H97/(100-BE97)*100</f>
      </c>
      <c r="BE97" s="111" t="n">
        <v>0</v>
      </c>
      <c r="BF97" s="111">
        <f>97</f>
      </c>
      <c r="BH97" s="111">
        <f>G97*AO97</f>
      </c>
      <c r="BI97" s="111">
        <f>G97*AP97</f>
      </c>
      <c r="BJ97" s="111">
        <f>G97*H97</f>
      </c>
      <c r="BK97" s="111"/>
      <c r="BL97" s="111"/>
      <c r="BW97" s="111" t="n">
        <v>21</v>
      </c>
      <c r="BX97" s="14" t="s">
        <v>4703</v>
      </c>
    </row>
    <row r="98" customHeight="true" ht="13.5">
      <c r="A98" s="159"/>
      <c r="C98" s="160" t="s">
        <v>146</v>
      </c>
      <c r="D98" s="161" t="s">
        <v>4700</v>
      </c>
      <c r="E98" s="156"/>
      <c r="F98" s="156"/>
      <c r="G98" s="156"/>
      <c r="H98" s="156"/>
      <c r="I98" s="156"/>
      <c r="J98" s="156"/>
      <c r="K98" s="163"/>
    </row>
    <row r="99">
      <c r="A99" s="9" t="s">
        <v>392</v>
      </c>
      <c r="B99" s="10" t="s">
        <v>93</v>
      </c>
      <c r="C99" s="10" t="s">
        <v>4705</v>
      </c>
      <c r="D99" s="14" t="s">
        <v>4706</v>
      </c>
      <c r="E99" s="10"/>
      <c r="F99" s="10" t="s">
        <v>2277</v>
      </c>
      <c r="G99" s="111">
        <f>'Stavební rozpočet'!G2938</f>
      </c>
      <c r="H99" s="111">
        <f>'Stavební rozpočet'!H2938</f>
      </c>
      <c r="I99" s="111">
        <f>G99*H99</f>
      </c>
      <c r="J99" s="153" t="s">
        <v>2936</v>
      </c>
      <c r="K99" s="146"/>
      <c r="Z99" s="111">
        <f>IF(AQ99="5",BJ99,0)</f>
      </c>
      <c r="AB99" s="111">
        <f>IF(AQ99="1",BH99,0)</f>
      </c>
      <c r="AC99" s="111">
        <f>IF(AQ99="1",BI99,0)</f>
      </c>
      <c r="AD99" s="111">
        <f>IF(AQ99="7",BH99,0)</f>
      </c>
      <c r="AE99" s="111">
        <f>IF(AQ99="7",BI99,0)</f>
      </c>
      <c r="AF99" s="111">
        <f>IF(AQ99="2",BH99,0)</f>
      </c>
      <c r="AG99" s="111">
        <f>IF(AQ99="2",BI99,0)</f>
      </c>
      <c r="AH99" s="111">
        <f>IF(AQ99="0",BJ99,0)</f>
      </c>
      <c r="AI99" s="132" t="s">
        <v>93</v>
      </c>
      <c r="AJ99" s="111">
        <f>IF(AN99=0,I99,0)</f>
      </c>
      <c r="AK99" s="111">
        <f>IF(AN99=12,I99,0)</f>
      </c>
      <c r="AL99" s="111">
        <f>IF(AN99=21,I99,0)</f>
      </c>
      <c r="AN99" s="111" t="n">
        <v>21</v>
      </c>
      <c r="AO99" s="111">
        <f>H99*0</f>
      </c>
      <c r="AP99" s="111">
        <f>H99*(1-0)</f>
      </c>
      <c r="AQ99" s="153" t="s">
        <v>130</v>
      </c>
      <c r="AV99" s="111">
        <f>AW99+AX99</f>
      </c>
      <c r="AW99" s="111">
        <f>G99*AO99</f>
      </c>
      <c r="AX99" s="111">
        <f>G99*AP99</f>
      </c>
      <c r="AY99" s="153" t="s">
        <v>4686</v>
      </c>
      <c r="AZ99" s="153" t="s">
        <v>4687</v>
      </c>
      <c r="BA99" s="132" t="s">
        <v>4594</v>
      </c>
      <c r="BC99" s="111">
        <f>AW99+AX99</f>
      </c>
      <c r="BD99" s="111">
        <f>H99/(100-BE99)*100</f>
      </c>
      <c r="BE99" s="111" t="n">
        <v>0</v>
      </c>
      <c r="BF99" s="111">
        <f>99</f>
      </c>
      <c r="BH99" s="111">
        <f>G99*AO99</f>
      </c>
      <c r="BI99" s="111">
        <f>G99*AP99</f>
      </c>
      <c r="BJ99" s="111">
        <f>G99*H99</f>
      </c>
      <c r="BK99" s="111"/>
      <c r="BL99" s="111"/>
      <c r="BW99" s="111" t="n">
        <v>21</v>
      </c>
      <c r="BX99" s="14" t="s">
        <v>4706</v>
      </c>
    </row>
    <row r="100" customHeight="true" ht="13.5">
      <c r="A100" s="159"/>
      <c r="C100" s="160" t="s">
        <v>146</v>
      </c>
      <c r="D100" s="161" t="s">
        <v>4700</v>
      </c>
      <c r="E100" s="156"/>
      <c r="F100" s="156"/>
      <c r="G100" s="156"/>
      <c r="H100" s="156"/>
      <c r="I100" s="156"/>
      <c r="J100" s="156"/>
      <c r="K100" s="163"/>
    </row>
    <row r="101">
      <c r="A101" s="9" t="s">
        <v>395</v>
      </c>
      <c r="B101" s="10" t="s">
        <v>93</v>
      </c>
      <c r="C101" s="10" t="s">
        <v>4708</v>
      </c>
      <c r="D101" s="14" t="s">
        <v>4709</v>
      </c>
      <c r="E101" s="10"/>
      <c r="F101" s="10" t="s">
        <v>2277</v>
      </c>
      <c r="G101" s="111">
        <f>'Stavební rozpočet'!G2940</f>
      </c>
      <c r="H101" s="111">
        <f>'Stavební rozpočet'!H2940</f>
      </c>
      <c r="I101" s="111">
        <f>G101*H101</f>
      </c>
      <c r="J101" s="153" t="s">
        <v>2936</v>
      </c>
      <c r="K101" s="146"/>
      <c r="Z101" s="111">
        <f>IF(AQ101="5",BJ101,0)</f>
      </c>
      <c r="AB101" s="111">
        <f>IF(AQ101="1",BH101,0)</f>
      </c>
      <c r="AC101" s="111">
        <f>IF(AQ101="1",BI101,0)</f>
      </c>
      <c r="AD101" s="111">
        <f>IF(AQ101="7",BH101,0)</f>
      </c>
      <c r="AE101" s="111">
        <f>IF(AQ101="7",BI101,0)</f>
      </c>
      <c r="AF101" s="111">
        <f>IF(AQ101="2",BH101,0)</f>
      </c>
      <c r="AG101" s="111">
        <f>IF(AQ101="2",BI101,0)</f>
      </c>
      <c r="AH101" s="111">
        <f>IF(AQ101="0",BJ101,0)</f>
      </c>
      <c r="AI101" s="132" t="s">
        <v>93</v>
      </c>
      <c r="AJ101" s="111">
        <f>IF(AN101=0,I101,0)</f>
      </c>
      <c r="AK101" s="111">
        <f>IF(AN101=12,I101,0)</f>
      </c>
      <c r="AL101" s="111">
        <f>IF(AN101=21,I101,0)</f>
      </c>
      <c r="AN101" s="111" t="n">
        <v>21</v>
      </c>
      <c r="AO101" s="111">
        <f>H101*0</f>
      </c>
      <c r="AP101" s="111">
        <f>H101*(1-0)</f>
      </c>
      <c r="AQ101" s="153" t="s">
        <v>130</v>
      </c>
      <c r="AV101" s="111">
        <f>AW101+AX101</f>
      </c>
      <c r="AW101" s="111">
        <f>G101*AO101</f>
      </c>
      <c r="AX101" s="111">
        <f>G101*AP101</f>
      </c>
      <c r="AY101" s="153" t="s">
        <v>4686</v>
      </c>
      <c r="AZ101" s="153" t="s">
        <v>4687</v>
      </c>
      <c r="BA101" s="132" t="s">
        <v>4594</v>
      </c>
      <c r="BC101" s="111">
        <f>AW101+AX101</f>
      </c>
      <c r="BD101" s="111">
        <f>H101/(100-BE101)*100</f>
      </c>
      <c r="BE101" s="111" t="n">
        <v>0</v>
      </c>
      <c r="BF101" s="111">
        <f>101</f>
      </c>
      <c r="BH101" s="111">
        <f>G101*AO101</f>
      </c>
      <c r="BI101" s="111">
        <f>G101*AP101</f>
      </c>
      <c r="BJ101" s="111">
        <f>G101*H101</f>
      </c>
      <c r="BK101" s="111"/>
      <c r="BL101" s="111"/>
      <c r="BW101" s="111" t="n">
        <v>21</v>
      </c>
      <c r="BX101" s="14" t="s">
        <v>4709</v>
      </c>
    </row>
    <row r="102" customHeight="true" ht="13.5">
      <c r="A102" s="159"/>
      <c r="C102" s="160" t="s">
        <v>146</v>
      </c>
      <c r="D102" s="161" t="s">
        <v>4700</v>
      </c>
      <c r="E102" s="156"/>
      <c r="F102" s="156"/>
      <c r="G102" s="156"/>
      <c r="H102" s="156"/>
      <c r="I102" s="156"/>
      <c r="J102" s="156"/>
      <c r="K102" s="163"/>
    </row>
    <row r="103">
      <c r="A103" s="9" t="s">
        <v>407</v>
      </c>
      <c r="B103" s="10" t="s">
        <v>93</v>
      </c>
      <c r="C103" s="10" t="s">
        <v>4604</v>
      </c>
      <c r="D103" s="14" t="s">
        <v>4685</v>
      </c>
      <c r="E103" s="10"/>
      <c r="F103" s="10" t="s">
        <v>2277</v>
      </c>
      <c r="G103" s="111">
        <f>'Stavební rozpočet'!G2942</f>
      </c>
      <c r="H103" s="111">
        <f>'Stavební rozpočet'!H2942</f>
      </c>
      <c r="I103" s="111">
        <f>G103*H103</f>
      </c>
      <c r="J103" s="153" t="s">
        <v>2936</v>
      </c>
      <c r="K103" s="146"/>
      <c r="Z103" s="111">
        <f>IF(AQ103="5",BJ103,0)</f>
      </c>
      <c r="AB103" s="111">
        <f>IF(AQ103="1",BH103,0)</f>
      </c>
      <c r="AC103" s="111">
        <f>IF(AQ103="1",BI103,0)</f>
      </c>
      <c r="AD103" s="111">
        <f>IF(AQ103="7",BH103,0)</f>
      </c>
      <c r="AE103" s="111">
        <f>IF(AQ103="7",BI103,0)</f>
      </c>
      <c r="AF103" s="111">
        <f>IF(AQ103="2",BH103,0)</f>
      </c>
      <c r="AG103" s="111">
        <f>IF(AQ103="2",BI103,0)</f>
      </c>
      <c r="AH103" s="111">
        <f>IF(AQ103="0",BJ103,0)</f>
      </c>
      <c r="AI103" s="132" t="s">
        <v>93</v>
      </c>
      <c r="AJ103" s="111">
        <f>IF(AN103=0,I103,0)</f>
      </c>
      <c r="AK103" s="111">
        <f>IF(AN103=12,I103,0)</f>
      </c>
      <c r="AL103" s="111">
        <f>IF(AN103=21,I103,0)</f>
      </c>
      <c r="AN103" s="111" t="n">
        <v>21</v>
      </c>
      <c r="AO103" s="111">
        <f>H103*0</f>
      </c>
      <c r="AP103" s="111">
        <f>H103*(1-0)</f>
      </c>
      <c r="AQ103" s="153" t="s">
        <v>130</v>
      </c>
      <c r="AV103" s="111">
        <f>AW103+AX103</f>
      </c>
      <c r="AW103" s="111">
        <f>G103*AO103</f>
      </c>
      <c r="AX103" s="111">
        <f>G103*AP103</f>
      </c>
      <c r="AY103" s="153" t="s">
        <v>4686</v>
      </c>
      <c r="AZ103" s="153" t="s">
        <v>4687</v>
      </c>
      <c r="BA103" s="132" t="s">
        <v>4594</v>
      </c>
      <c r="BC103" s="111">
        <f>AW103+AX103</f>
      </c>
      <c r="BD103" s="111">
        <f>H103/(100-BE103)*100</f>
      </c>
      <c r="BE103" s="111" t="n">
        <v>0</v>
      </c>
      <c r="BF103" s="111">
        <f>103</f>
      </c>
      <c r="BH103" s="111">
        <f>G103*AO103</f>
      </c>
      <c r="BI103" s="111">
        <f>G103*AP103</f>
      </c>
      <c r="BJ103" s="111">
        <f>G103*H103</f>
      </c>
      <c r="BK103" s="111"/>
      <c r="BL103" s="111"/>
      <c r="BW103" s="111" t="n">
        <v>21</v>
      </c>
      <c r="BX103" s="14" t="s">
        <v>4685</v>
      </c>
    </row>
    <row r="104" customHeight="true" ht="13.5">
      <c r="A104" s="159"/>
      <c r="C104" s="160" t="s">
        <v>146</v>
      </c>
      <c r="D104" s="161" t="s">
        <v>4597</v>
      </c>
      <c r="E104" s="156"/>
      <c r="F104" s="156"/>
      <c r="G104" s="156"/>
      <c r="H104" s="156"/>
      <c r="I104" s="156"/>
      <c r="J104" s="156"/>
      <c r="K104" s="163"/>
    </row>
    <row r="105">
      <c r="A105" s="154"/>
      <c r="B105" s="155"/>
      <c r="C105" s="155"/>
      <c r="D105" s="156" t="s">
        <v>130</v>
      </c>
      <c r="E105" s="156" t="s">
        <v>4597</v>
      </c>
      <c r="F105" s="155"/>
      <c r="G105" s="157" t="n">
        <v>1</v>
      </c>
      <c r="H105" s="155"/>
      <c r="I105" s="155"/>
      <c r="J105" s="155"/>
      <c r="K105" s="146"/>
    </row>
    <row r="106">
      <c r="A106" s="9" t="s">
        <v>411</v>
      </c>
      <c r="B106" s="10" t="s">
        <v>93</v>
      </c>
      <c r="C106" s="10" t="s">
        <v>4604</v>
      </c>
      <c r="D106" s="14" t="s">
        <v>4692</v>
      </c>
      <c r="E106" s="10"/>
      <c r="F106" s="10" t="s">
        <v>2277</v>
      </c>
      <c r="G106" s="111">
        <f>'Stavební rozpočet'!G2945</f>
      </c>
      <c r="H106" s="111">
        <f>'Stavební rozpočet'!H2945</f>
      </c>
      <c r="I106" s="111">
        <f>G106*H106</f>
      </c>
      <c r="J106" s="153" t="s">
        <v>2936</v>
      </c>
      <c r="K106" s="146"/>
      <c r="Z106" s="111">
        <f>IF(AQ106="5",BJ106,0)</f>
      </c>
      <c r="AB106" s="111">
        <f>IF(AQ106="1",BH106,0)</f>
      </c>
      <c r="AC106" s="111">
        <f>IF(AQ106="1",BI106,0)</f>
      </c>
      <c r="AD106" s="111">
        <f>IF(AQ106="7",BH106,0)</f>
      </c>
      <c r="AE106" s="111">
        <f>IF(AQ106="7",BI106,0)</f>
      </c>
      <c r="AF106" s="111">
        <f>IF(AQ106="2",BH106,0)</f>
      </c>
      <c r="AG106" s="111">
        <f>IF(AQ106="2",BI106,0)</f>
      </c>
      <c r="AH106" s="111">
        <f>IF(AQ106="0",BJ106,0)</f>
      </c>
      <c r="AI106" s="132" t="s">
        <v>93</v>
      </c>
      <c r="AJ106" s="111">
        <f>IF(AN106=0,I106,0)</f>
      </c>
      <c r="AK106" s="111">
        <f>IF(AN106=12,I106,0)</f>
      </c>
      <c r="AL106" s="111">
        <f>IF(AN106=21,I106,0)</f>
      </c>
      <c r="AN106" s="111" t="n">
        <v>21</v>
      </c>
      <c r="AO106" s="111">
        <f>H106*0</f>
      </c>
      <c r="AP106" s="111">
        <f>H106*(1-0)</f>
      </c>
      <c r="AQ106" s="153" t="s">
        <v>130</v>
      </c>
      <c r="AV106" s="111">
        <f>AW106+AX106</f>
      </c>
      <c r="AW106" s="111">
        <f>G106*AO106</f>
      </c>
      <c r="AX106" s="111">
        <f>G106*AP106</f>
      </c>
      <c r="AY106" s="153" t="s">
        <v>4686</v>
      </c>
      <c r="AZ106" s="153" t="s">
        <v>4687</v>
      </c>
      <c r="BA106" s="132" t="s">
        <v>4594</v>
      </c>
      <c r="BC106" s="111">
        <f>AW106+AX106</f>
      </c>
      <c r="BD106" s="111">
        <f>H106/(100-BE106)*100</f>
      </c>
      <c r="BE106" s="111" t="n">
        <v>0</v>
      </c>
      <c r="BF106" s="111">
        <f>106</f>
      </c>
      <c r="BH106" s="111">
        <f>G106*AO106</f>
      </c>
      <c r="BI106" s="111">
        <f>G106*AP106</f>
      </c>
      <c r="BJ106" s="111">
        <f>G106*H106</f>
      </c>
      <c r="BK106" s="111"/>
      <c r="BL106" s="111"/>
      <c r="BW106" s="111" t="n">
        <v>21</v>
      </c>
      <c r="BX106" s="14" t="s">
        <v>4692</v>
      </c>
    </row>
    <row r="107" customHeight="true" ht="13.5">
      <c r="A107" s="159"/>
      <c r="C107" s="160" t="s">
        <v>146</v>
      </c>
      <c r="D107" s="161" t="s">
        <v>4597</v>
      </c>
      <c r="E107" s="156"/>
      <c r="F107" s="156"/>
      <c r="G107" s="156"/>
      <c r="H107" s="156"/>
      <c r="I107" s="156"/>
      <c r="J107" s="156"/>
      <c r="K107" s="163"/>
    </row>
    <row r="108">
      <c r="A108" s="154"/>
      <c r="B108" s="155"/>
      <c r="C108" s="155"/>
      <c r="D108" s="156" t="s">
        <v>130</v>
      </c>
      <c r="E108" s="156" t="s">
        <v>4597</v>
      </c>
      <c r="F108" s="155"/>
      <c r="G108" s="157" t="n">
        <v>1</v>
      </c>
      <c r="H108" s="155"/>
      <c r="I108" s="155"/>
      <c r="J108" s="155"/>
      <c r="K108" s="146"/>
    </row>
    <row r="109">
      <c r="A109" s="9" t="s">
        <v>416</v>
      </c>
      <c r="B109" s="10" t="s">
        <v>93</v>
      </c>
      <c r="C109" s="10" t="s">
        <v>4604</v>
      </c>
      <c r="D109" s="14" t="s">
        <v>4713</v>
      </c>
      <c r="E109" s="10"/>
      <c r="F109" s="10" t="s">
        <v>2277</v>
      </c>
      <c r="G109" s="111">
        <f>'Stavební rozpočet'!G2948</f>
      </c>
      <c r="H109" s="111">
        <f>'Stavební rozpočet'!H2948</f>
      </c>
      <c r="I109" s="111">
        <f>G109*H109</f>
      </c>
      <c r="J109" s="153" t="s">
        <v>2936</v>
      </c>
      <c r="K109" s="146"/>
      <c r="Z109" s="111">
        <f>IF(AQ109="5",BJ109,0)</f>
      </c>
      <c r="AB109" s="111">
        <f>IF(AQ109="1",BH109,0)</f>
      </c>
      <c r="AC109" s="111">
        <f>IF(AQ109="1",BI109,0)</f>
      </c>
      <c r="AD109" s="111">
        <f>IF(AQ109="7",BH109,0)</f>
      </c>
      <c r="AE109" s="111">
        <f>IF(AQ109="7",BI109,0)</f>
      </c>
      <c r="AF109" s="111">
        <f>IF(AQ109="2",BH109,0)</f>
      </c>
      <c r="AG109" s="111">
        <f>IF(AQ109="2",BI109,0)</f>
      </c>
      <c r="AH109" s="111">
        <f>IF(AQ109="0",BJ109,0)</f>
      </c>
      <c r="AI109" s="132" t="s">
        <v>93</v>
      </c>
      <c r="AJ109" s="111">
        <f>IF(AN109=0,I109,0)</f>
      </c>
      <c r="AK109" s="111">
        <f>IF(AN109=12,I109,0)</f>
      </c>
      <c r="AL109" s="111">
        <f>IF(AN109=21,I109,0)</f>
      </c>
      <c r="AN109" s="111" t="n">
        <v>21</v>
      </c>
      <c r="AO109" s="111">
        <f>H109*0</f>
      </c>
      <c r="AP109" s="111">
        <f>H109*(1-0)</f>
      </c>
      <c r="AQ109" s="153" t="s">
        <v>130</v>
      </c>
      <c r="AV109" s="111">
        <f>AW109+AX109</f>
      </c>
      <c r="AW109" s="111">
        <f>G109*AO109</f>
      </c>
      <c r="AX109" s="111">
        <f>G109*AP109</f>
      </c>
      <c r="AY109" s="153" t="s">
        <v>4686</v>
      </c>
      <c r="AZ109" s="153" t="s">
        <v>4687</v>
      </c>
      <c r="BA109" s="132" t="s">
        <v>4594</v>
      </c>
      <c r="BC109" s="111">
        <f>AW109+AX109</f>
      </c>
      <c r="BD109" s="111">
        <f>H109/(100-BE109)*100</f>
      </c>
      <c r="BE109" s="111" t="n">
        <v>0</v>
      </c>
      <c r="BF109" s="111">
        <f>109</f>
      </c>
      <c r="BH109" s="111">
        <f>G109*AO109</f>
      </c>
      <c r="BI109" s="111">
        <f>G109*AP109</f>
      </c>
      <c r="BJ109" s="111">
        <f>G109*H109</f>
      </c>
      <c r="BK109" s="111"/>
      <c r="BL109" s="111"/>
      <c r="BW109" s="111" t="n">
        <v>21</v>
      </c>
      <c r="BX109" s="14" t="s">
        <v>4713</v>
      </c>
    </row>
    <row r="110" customHeight="true" ht="13.5">
      <c r="A110" s="159"/>
      <c r="C110" s="160" t="s">
        <v>146</v>
      </c>
      <c r="D110" s="161" t="s">
        <v>4597</v>
      </c>
      <c r="E110" s="156"/>
      <c r="F110" s="156"/>
      <c r="G110" s="156"/>
      <c r="H110" s="156"/>
      <c r="I110" s="156"/>
      <c r="J110" s="156"/>
      <c r="K110" s="163"/>
    </row>
    <row r="111">
      <c r="A111" s="154"/>
      <c r="B111" s="155"/>
      <c r="C111" s="155"/>
      <c r="D111" s="156" t="s">
        <v>130</v>
      </c>
      <c r="E111" s="156" t="s">
        <v>4597</v>
      </c>
      <c r="F111" s="155"/>
      <c r="G111" s="157" t="n">
        <v>1</v>
      </c>
      <c r="H111" s="155"/>
      <c r="I111" s="155"/>
      <c r="J111" s="155"/>
      <c r="K111" s="146"/>
    </row>
    <row r="112">
      <c r="A112" s="147" t="s">
        <v>4</v>
      </c>
      <c r="B112" s="148" t="s">
        <v>93</v>
      </c>
      <c r="C112" s="148" t="s">
        <v>3755</v>
      </c>
      <c r="D112" s="149" t="s">
        <v>4714</v>
      </c>
      <c r="E112" s="148"/>
      <c r="F112" s="150" t="s">
        <v>79</v>
      </c>
      <c r="G112" s="150" t="s">
        <v>79</v>
      </c>
      <c r="H112" s="150" t="s">
        <v>79</v>
      </c>
      <c r="I112" s="117">
        <f>SUM(I113:I114)</f>
      </c>
      <c r="J112" s="132" t="s">
        <v>4</v>
      </c>
      <c r="K112" s="146"/>
      <c r="AI112" s="132" t="s">
        <v>93</v>
      </c>
      <c r="AS112" s="117">
        <f>SUM(AJ113:AJ114)</f>
      </c>
      <c r="AT112" s="117">
        <f>SUM(AK113:AK114)</f>
      </c>
      <c r="AU112" s="117">
        <f>SUM(AL113:AL114)</f>
      </c>
    </row>
    <row r="113">
      <c r="A113" s="9" t="s">
        <v>444</v>
      </c>
      <c r="B113" s="10" t="s">
        <v>93</v>
      </c>
      <c r="C113" s="10" t="s">
        <v>4716</v>
      </c>
      <c r="D113" s="14" t="s">
        <v>4717</v>
      </c>
      <c r="E113" s="10"/>
      <c r="F113" s="10" t="s">
        <v>3860</v>
      </c>
      <c r="G113" s="111">
        <f>'Stavební rozpočet'!G2952</f>
      </c>
      <c r="H113" s="111">
        <f>'Stavební rozpočet'!H2952</f>
      </c>
      <c r="I113" s="111">
        <f>G113*H113</f>
      </c>
      <c r="J113" s="153" t="s">
        <v>134</v>
      </c>
      <c r="K113" s="146"/>
      <c r="Z113" s="111">
        <f>IF(AQ113="5",BJ113,0)</f>
      </c>
      <c r="AB113" s="111">
        <f>IF(AQ113="1",BH113,0)</f>
      </c>
      <c r="AC113" s="111">
        <f>IF(AQ113="1",BI113,0)</f>
      </c>
      <c r="AD113" s="111">
        <f>IF(AQ113="7",BH113,0)</f>
      </c>
      <c r="AE113" s="111">
        <f>IF(AQ113="7",BI113,0)</f>
      </c>
      <c r="AF113" s="111">
        <f>IF(AQ113="2",BH113,0)</f>
      </c>
      <c r="AG113" s="111">
        <f>IF(AQ113="2",BI113,0)</f>
      </c>
      <c r="AH113" s="111">
        <f>IF(AQ113="0",BJ113,0)</f>
      </c>
      <c r="AI113" s="132" t="s">
        <v>93</v>
      </c>
      <c r="AJ113" s="111">
        <f>IF(AN113=0,I113,0)</f>
      </c>
      <c r="AK113" s="111">
        <f>IF(AN113=12,I113,0)</f>
      </c>
      <c r="AL113" s="111">
        <f>IF(AN113=21,I113,0)</f>
      </c>
      <c r="AN113" s="111" t="n">
        <v>21</v>
      </c>
      <c r="AO113" s="111">
        <f>H113*0</f>
      </c>
      <c r="AP113" s="111">
        <f>H113*(1-0)</f>
      </c>
      <c r="AQ113" s="153" t="s">
        <v>140</v>
      </c>
      <c r="AV113" s="111">
        <f>AW113+AX113</f>
      </c>
      <c r="AW113" s="111">
        <f>G113*AO113</f>
      </c>
      <c r="AX113" s="111">
        <f>G113*AP113</f>
      </c>
      <c r="AY113" s="153" t="s">
        <v>4718</v>
      </c>
      <c r="AZ113" s="153" t="s">
        <v>4606</v>
      </c>
      <c r="BA113" s="132" t="s">
        <v>4594</v>
      </c>
      <c r="BC113" s="111">
        <f>AW113+AX113</f>
      </c>
      <c r="BD113" s="111">
        <f>H113/(100-BE113)*100</f>
      </c>
      <c r="BE113" s="111" t="n">
        <v>0</v>
      </c>
      <c r="BF113" s="111">
        <f>113</f>
      </c>
      <c r="BH113" s="111">
        <f>G113*AO113</f>
      </c>
      <c r="BI113" s="111">
        <f>G113*AP113</f>
      </c>
      <c r="BJ113" s="111">
        <f>G113*H113</f>
      </c>
      <c r="BK113" s="111"/>
      <c r="BL113" s="111"/>
      <c r="BW113" s="111" t="n">
        <v>21</v>
      </c>
      <c r="BX113" s="14" t="s">
        <v>4717</v>
      </c>
    </row>
    <row r="114">
      <c r="A114" s="9" t="s">
        <v>450</v>
      </c>
      <c r="B114" s="10" t="s">
        <v>93</v>
      </c>
      <c r="C114" s="10" t="s">
        <v>4720</v>
      </c>
      <c r="D114" s="14" t="s">
        <v>4721</v>
      </c>
      <c r="E114" s="10"/>
      <c r="F114" s="10" t="s">
        <v>3860</v>
      </c>
      <c r="G114" s="111">
        <f>'Stavební rozpočet'!G2953</f>
      </c>
      <c r="H114" s="111">
        <f>'Stavební rozpočet'!H2953</f>
      </c>
      <c r="I114" s="111">
        <f>G114*H114</f>
      </c>
      <c r="J114" s="153" t="s">
        <v>134</v>
      </c>
      <c r="K114" s="146"/>
      <c r="Z114" s="111">
        <f>IF(AQ114="5",BJ114,0)</f>
      </c>
      <c r="AB114" s="111">
        <f>IF(AQ114="1",BH114,0)</f>
      </c>
      <c r="AC114" s="111">
        <f>IF(AQ114="1",BI114,0)</f>
      </c>
      <c r="AD114" s="111">
        <f>IF(AQ114="7",BH114,0)</f>
      </c>
      <c r="AE114" s="111">
        <f>IF(AQ114="7",BI114,0)</f>
      </c>
      <c r="AF114" s="111">
        <f>IF(AQ114="2",BH114,0)</f>
      </c>
      <c r="AG114" s="111">
        <f>IF(AQ114="2",BI114,0)</f>
      </c>
      <c r="AH114" s="111">
        <f>IF(AQ114="0",BJ114,0)</f>
      </c>
      <c r="AI114" s="132" t="s">
        <v>93</v>
      </c>
      <c r="AJ114" s="111">
        <f>IF(AN114=0,I114,0)</f>
      </c>
      <c r="AK114" s="111">
        <f>IF(AN114=12,I114,0)</f>
      </c>
      <c r="AL114" s="111">
        <f>IF(AN114=21,I114,0)</f>
      </c>
      <c r="AN114" s="111" t="n">
        <v>21</v>
      </c>
      <c r="AO114" s="111">
        <f>H114*0</f>
      </c>
      <c r="AP114" s="111">
        <f>H114*(1-0)</f>
      </c>
      <c r="AQ114" s="153" t="s">
        <v>140</v>
      </c>
      <c r="AV114" s="111">
        <f>AW114+AX114</f>
      </c>
      <c r="AW114" s="111">
        <f>G114*AO114</f>
      </c>
      <c r="AX114" s="111">
        <f>G114*AP114</f>
      </c>
      <c r="AY114" s="153" t="s">
        <v>4718</v>
      </c>
      <c r="AZ114" s="153" t="s">
        <v>4606</v>
      </c>
      <c r="BA114" s="132" t="s">
        <v>4594</v>
      </c>
      <c r="BC114" s="111">
        <f>AW114+AX114</f>
      </c>
      <c r="BD114" s="111">
        <f>H114/(100-BE114)*100</f>
      </c>
      <c r="BE114" s="111" t="n">
        <v>0</v>
      </c>
      <c r="BF114" s="111">
        <f>114</f>
      </c>
      <c r="BH114" s="111">
        <f>G114*AO114</f>
      </c>
      <c r="BI114" s="111">
        <f>G114*AP114</f>
      </c>
      <c r="BJ114" s="111">
        <f>G114*H114</f>
      </c>
      <c r="BK114" s="111"/>
      <c r="BL114" s="111"/>
      <c r="BW114" s="111" t="n">
        <v>21</v>
      </c>
      <c r="BX114" s="14" t="s">
        <v>4721</v>
      </c>
    </row>
    <row r="115">
      <c r="A115" s="147" t="s">
        <v>4</v>
      </c>
      <c r="B115" s="148" t="s">
        <v>93</v>
      </c>
      <c r="C115" s="148" t="s">
        <v>4107</v>
      </c>
      <c r="D115" s="149" t="s">
        <v>4108</v>
      </c>
      <c r="E115" s="148"/>
      <c r="F115" s="150" t="s">
        <v>79</v>
      </c>
      <c r="G115" s="150" t="s">
        <v>79</v>
      </c>
      <c r="H115" s="150" t="s">
        <v>79</v>
      </c>
      <c r="I115" s="117">
        <f>SUM(I116:I234)</f>
      </c>
      <c r="J115" s="132" t="s">
        <v>4</v>
      </c>
      <c r="K115" s="146"/>
      <c r="AI115" s="132" t="s">
        <v>93</v>
      </c>
      <c r="AS115" s="117">
        <f>SUM(AJ116:AJ234)</f>
      </c>
      <c r="AT115" s="117">
        <f>SUM(AK116:AK234)</f>
      </c>
      <c r="AU115" s="117">
        <f>SUM(AL116:AL234)</f>
      </c>
    </row>
    <row r="116">
      <c r="A116" s="9" t="s">
        <v>455</v>
      </c>
      <c r="B116" s="10" t="s">
        <v>93</v>
      </c>
      <c r="C116" s="10" t="s">
        <v>4723</v>
      </c>
      <c r="D116" s="14" t="s">
        <v>4724</v>
      </c>
      <c r="E116" s="10"/>
      <c r="F116" s="10" t="s">
        <v>133</v>
      </c>
      <c r="G116" s="111">
        <f>'Stavební rozpočet'!G2955</f>
      </c>
      <c r="H116" s="111">
        <f>'Stavební rozpočet'!H2955</f>
      </c>
      <c r="I116" s="111">
        <f>G116*H116</f>
      </c>
      <c r="J116" s="153" t="s">
        <v>134</v>
      </c>
      <c r="K116" s="146"/>
      <c r="Z116" s="111">
        <f>IF(AQ116="5",BJ116,0)</f>
      </c>
      <c r="AB116" s="111">
        <f>IF(AQ116="1",BH116,0)</f>
      </c>
      <c r="AC116" s="111">
        <f>IF(AQ116="1",BI116,0)</f>
      </c>
      <c r="AD116" s="111">
        <f>IF(AQ116="7",BH116,0)</f>
      </c>
      <c r="AE116" s="111">
        <f>IF(AQ116="7",BI116,0)</f>
      </c>
      <c r="AF116" s="111">
        <f>IF(AQ116="2",BH116,0)</f>
      </c>
      <c r="AG116" s="111">
        <f>IF(AQ116="2",BI116,0)</f>
      </c>
      <c r="AH116" s="111">
        <f>IF(AQ116="0",BJ116,0)</f>
      </c>
      <c r="AI116" s="132" t="s">
        <v>93</v>
      </c>
      <c r="AJ116" s="111">
        <f>IF(AN116=0,I116,0)</f>
      </c>
      <c r="AK116" s="111">
        <f>IF(AN116=12,I116,0)</f>
      </c>
      <c r="AL116" s="111">
        <f>IF(AN116=21,I116,0)</f>
      </c>
      <c r="AN116" s="111" t="n">
        <v>21</v>
      </c>
      <c r="AO116" s="111">
        <f>H116*0</f>
      </c>
      <c r="AP116" s="111">
        <f>H116*(1-0)</f>
      </c>
      <c r="AQ116" s="153" t="s">
        <v>140</v>
      </c>
      <c r="AV116" s="111">
        <f>AW116+AX116</f>
      </c>
      <c r="AW116" s="111">
        <f>G116*AO116</f>
      </c>
      <c r="AX116" s="111">
        <f>G116*AP116</f>
      </c>
      <c r="AY116" s="153" t="s">
        <v>4112</v>
      </c>
      <c r="AZ116" s="153" t="s">
        <v>4606</v>
      </c>
      <c r="BA116" s="132" t="s">
        <v>4594</v>
      </c>
      <c r="BC116" s="111">
        <f>AW116+AX116</f>
      </c>
      <c r="BD116" s="111">
        <f>H116/(100-BE116)*100</f>
      </c>
      <c r="BE116" s="111" t="n">
        <v>0</v>
      </c>
      <c r="BF116" s="111">
        <f>116</f>
      </c>
      <c r="BH116" s="111">
        <f>G116*AO116</f>
      </c>
      <c r="BI116" s="111">
        <f>G116*AP116</f>
      </c>
      <c r="BJ116" s="111">
        <f>G116*H116</f>
      </c>
      <c r="BK116" s="111"/>
      <c r="BL116" s="111"/>
      <c r="BW116" s="111" t="n">
        <v>21</v>
      </c>
      <c r="BX116" s="14" t="s">
        <v>4724</v>
      </c>
    </row>
    <row r="117" customHeight="true" ht="13.5">
      <c r="A117" s="159"/>
      <c r="C117" s="160" t="s">
        <v>146</v>
      </c>
      <c r="D117" s="161" t="s">
        <v>4725</v>
      </c>
      <c r="E117" s="156"/>
      <c r="F117" s="156"/>
      <c r="G117" s="156"/>
      <c r="H117" s="156"/>
      <c r="I117" s="156"/>
      <c r="J117" s="156"/>
      <c r="K117" s="163"/>
    </row>
    <row r="118">
      <c r="A118" s="154"/>
      <c r="B118" s="155"/>
      <c r="C118" s="155"/>
      <c r="D118" s="156" t="s">
        <v>138</v>
      </c>
      <c r="E118" s="156" t="s">
        <v>4726</v>
      </c>
      <c r="F118" s="155"/>
      <c r="G118" s="157" t="n">
        <v>3</v>
      </c>
      <c r="H118" s="155"/>
      <c r="I118" s="155"/>
      <c r="J118" s="155"/>
      <c r="K118" s="146"/>
    </row>
    <row r="119">
      <c r="A119" s="9" t="s">
        <v>460</v>
      </c>
      <c r="B119" s="10" t="s">
        <v>93</v>
      </c>
      <c r="C119" s="10" t="s">
        <v>4728</v>
      </c>
      <c r="D119" s="14" t="s">
        <v>4729</v>
      </c>
      <c r="E119" s="10"/>
      <c r="F119" s="10" t="s">
        <v>133</v>
      </c>
      <c r="G119" s="111">
        <f>'Stavební rozpočet'!G2958</f>
      </c>
      <c r="H119" s="111">
        <f>'Stavební rozpočet'!H2958</f>
      </c>
      <c r="I119" s="111">
        <f>G119*H119</f>
      </c>
      <c r="J119" s="153" t="s">
        <v>134</v>
      </c>
      <c r="K119" s="146"/>
      <c r="Z119" s="111">
        <f>IF(AQ119="5",BJ119,0)</f>
      </c>
      <c r="AB119" s="111">
        <f>IF(AQ119="1",BH119,0)</f>
      </c>
      <c r="AC119" s="111">
        <f>IF(AQ119="1",BI119,0)</f>
      </c>
      <c r="AD119" s="111">
        <f>IF(AQ119="7",BH119,0)</f>
      </c>
      <c r="AE119" s="111">
        <f>IF(AQ119="7",BI119,0)</f>
      </c>
      <c r="AF119" s="111">
        <f>IF(AQ119="2",BH119,0)</f>
      </c>
      <c r="AG119" s="111">
        <f>IF(AQ119="2",BI119,0)</f>
      </c>
      <c r="AH119" s="111">
        <f>IF(AQ119="0",BJ119,0)</f>
      </c>
      <c r="AI119" s="132" t="s">
        <v>93</v>
      </c>
      <c r="AJ119" s="111">
        <f>IF(AN119=0,I119,0)</f>
      </c>
      <c r="AK119" s="111">
        <f>IF(AN119=12,I119,0)</f>
      </c>
      <c r="AL119" s="111">
        <f>IF(AN119=21,I119,0)</f>
      </c>
      <c r="AN119" s="111" t="n">
        <v>21</v>
      </c>
      <c r="AO119" s="111">
        <f>H119*0</f>
      </c>
      <c r="AP119" s="111">
        <f>H119*(1-0)</f>
      </c>
      <c r="AQ119" s="153" t="s">
        <v>140</v>
      </c>
      <c r="AV119" s="111">
        <f>AW119+AX119</f>
      </c>
      <c r="AW119" s="111">
        <f>G119*AO119</f>
      </c>
      <c r="AX119" s="111">
        <f>G119*AP119</f>
      </c>
      <c r="AY119" s="153" t="s">
        <v>4112</v>
      </c>
      <c r="AZ119" s="153" t="s">
        <v>4606</v>
      </c>
      <c r="BA119" s="132" t="s">
        <v>4594</v>
      </c>
      <c r="BC119" s="111">
        <f>AW119+AX119</f>
      </c>
      <c r="BD119" s="111">
        <f>H119/(100-BE119)*100</f>
      </c>
      <c r="BE119" s="111" t="n">
        <v>0</v>
      </c>
      <c r="BF119" s="111">
        <f>119</f>
      </c>
      <c r="BH119" s="111">
        <f>G119*AO119</f>
      </c>
      <c r="BI119" s="111">
        <f>G119*AP119</f>
      </c>
      <c r="BJ119" s="111">
        <f>G119*H119</f>
      </c>
      <c r="BK119" s="111"/>
      <c r="BL119" s="111"/>
      <c r="BW119" s="111" t="n">
        <v>21</v>
      </c>
      <c r="BX119" s="14" t="s">
        <v>4729</v>
      </c>
    </row>
    <row r="120" customHeight="true" ht="13.5">
      <c r="A120" s="159"/>
      <c r="C120" s="160" t="s">
        <v>146</v>
      </c>
      <c r="D120" s="161" t="s">
        <v>4730</v>
      </c>
      <c r="E120" s="156"/>
      <c r="F120" s="156"/>
      <c r="G120" s="156"/>
      <c r="H120" s="156"/>
      <c r="I120" s="156"/>
      <c r="J120" s="156"/>
      <c r="K120" s="163"/>
    </row>
    <row r="121">
      <c r="A121" s="154"/>
      <c r="B121" s="155"/>
      <c r="C121" s="155"/>
      <c r="D121" s="156" t="s">
        <v>140</v>
      </c>
      <c r="E121" s="156" t="s">
        <v>4726</v>
      </c>
      <c r="F121" s="155"/>
      <c r="G121" s="157" t="n">
        <v>2</v>
      </c>
      <c r="H121" s="155"/>
      <c r="I121" s="155"/>
      <c r="J121" s="155"/>
      <c r="K121" s="146"/>
    </row>
    <row r="122">
      <c r="A122" s="9" t="s">
        <v>466</v>
      </c>
      <c r="B122" s="10" t="s">
        <v>93</v>
      </c>
      <c r="C122" s="10" t="s">
        <v>4732</v>
      </c>
      <c r="D122" s="14" t="s">
        <v>4733</v>
      </c>
      <c r="E122" s="10"/>
      <c r="F122" s="10" t="s">
        <v>133</v>
      </c>
      <c r="G122" s="111">
        <f>'Stavební rozpočet'!G2961</f>
      </c>
      <c r="H122" s="111">
        <f>'Stavební rozpočet'!H2961</f>
      </c>
      <c r="I122" s="111">
        <f>G122*H122</f>
      </c>
      <c r="J122" s="153" t="s">
        <v>134</v>
      </c>
      <c r="K122" s="146"/>
      <c r="Z122" s="111">
        <f>IF(AQ122="5",BJ122,0)</f>
      </c>
      <c r="AB122" s="111">
        <f>IF(AQ122="1",BH122,0)</f>
      </c>
      <c r="AC122" s="111">
        <f>IF(AQ122="1",BI122,0)</f>
      </c>
      <c r="AD122" s="111">
        <f>IF(AQ122="7",BH122,0)</f>
      </c>
      <c r="AE122" s="111">
        <f>IF(AQ122="7",BI122,0)</f>
      </c>
      <c r="AF122" s="111">
        <f>IF(AQ122="2",BH122,0)</f>
      </c>
      <c r="AG122" s="111">
        <f>IF(AQ122="2",BI122,0)</f>
      </c>
      <c r="AH122" s="111">
        <f>IF(AQ122="0",BJ122,0)</f>
      </c>
      <c r="AI122" s="132" t="s">
        <v>93</v>
      </c>
      <c r="AJ122" s="111">
        <f>IF(AN122=0,I122,0)</f>
      </c>
      <c r="AK122" s="111">
        <f>IF(AN122=12,I122,0)</f>
      </c>
      <c r="AL122" s="111">
        <f>IF(AN122=21,I122,0)</f>
      </c>
      <c r="AN122" s="111" t="n">
        <v>21</v>
      </c>
      <c r="AO122" s="111">
        <f>H122*0</f>
      </c>
      <c r="AP122" s="111">
        <f>H122*(1-0)</f>
      </c>
      <c r="AQ122" s="153" t="s">
        <v>140</v>
      </c>
      <c r="AV122" s="111">
        <f>AW122+AX122</f>
      </c>
      <c r="AW122" s="111">
        <f>G122*AO122</f>
      </c>
      <c r="AX122" s="111">
        <f>G122*AP122</f>
      </c>
      <c r="AY122" s="153" t="s">
        <v>4112</v>
      </c>
      <c r="AZ122" s="153" t="s">
        <v>4606</v>
      </c>
      <c r="BA122" s="132" t="s">
        <v>4594</v>
      </c>
      <c r="BC122" s="111">
        <f>AW122+AX122</f>
      </c>
      <c r="BD122" s="111">
        <f>H122/(100-BE122)*100</f>
      </c>
      <c r="BE122" s="111" t="n">
        <v>0</v>
      </c>
      <c r="BF122" s="111">
        <f>122</f>
      </c>
      <c r="BH122" s="111">
        <f>G122*AO122</f>
      </c>
      <c r="BI122" s="111">
        <f>G122*AP122</f>
      </c>
      <c r="BJ122" s="111">
        <f>G122*H122</f>
      </c>
      <c r="BK122" s="111"/>
      <c r="BL122" s="111"/>
      <c r="BW122" s="111" t="n">
        <v>21</v>
      </c>
      <c r="BX122" s="14" t="s">
        <v>4733</v>
      </c>
    </row>
    <row r="123" customHeight="true" ht="13.5">
      <c r="A123" s="159"/>
      <c r="C123" s="160" t="s">
        <v>146</v>
      </c>
      <c r="D123" s="161" t="s">
        <v>4734</v>
      </c>
      <c r="E123" s="156"/>
      <c r="F123" s="156"/>
      <c r="G123" s="156"/>
      <c r="H123" s="156"/>
      <c r="I123" s="156"/>
      <c r="J123" s="156"/>
      <c r="K123" s="163"/>
    </row>
    <row r="124">
      <c r="A124" s="154"/>
      <c r="B124" s="155"/>
      <c r="C124" s="155"/>
      <c r="D124" s="156" t="s">
        <v>130</v>
      </c>
      <c r="E124" s="156" t="s">
        <v>4726</v>
      </c>
      <c r="F124" s="155"/>
      <c r="G124" s="157" t="n">
        <v>1</v>
      </c>
      <c r="H124" s="155"/>
      <c r="I124" s="155"/>
      <c r="J124" s="155"/>
      <c r="K124" s="146"/>
    </row>
    <row r="125">
      <c r="A125" s="9" t="s">
        <v>472</v>
      </c>
      <c r="B125" s="10" t="s">
        <v>93</v>
      </c>
      <c r="C125" s="10" t="s">
        <v>4736</v>
      </c>
      <c r="D125" s="14" t="s">
        <v>4737</v>
      </c>
      <c r="E125" s="10"/>
      <c r="F125" s="10" t="s">
        <v>282</v>
      </c>
      <c r="G125" s="111">
        <f>'Stavební rozpočet'!G2964</f>
      </c>
      <c r="H125" s="111">
        <f>'Stavební rozpočet'!H2964</f>
      </c>
      <c r="I125" s="111">
        <f>G125*H125</f>
      </c>
      <c r="J125" s="153" t="s">
        <v>134</v>
      </c>
      <c r="K125" s="146"/>
      <c r="Z125" s="111">
        <f>IF(AQ125="5",BJ125,0)</f>
      </c>
      <c r="AB125" s="111">
        <f>IF(AQ125="1",BH125,0)</f>
      </c>
      <c r="AC125" s="111">
        <f>IF(AQ125="1",BI125,0)</f>
      </c>
      <c r="AD125" s="111">
        <f>IF(AQ125="7",BH125,0)</f>
      </c>
      <c r="AE125" s="111">
        <f>IF(AQ125="7",BI125,0)</f>
      </c>
      <c r="AF125" s="111">
        <f>IF(AQ125="2",BH125,0)</f>
      </c>
      <c r="AG125" s="111">
        <f>IF(AQ125="2",BI125,0)</f>
      </c>
      <c r="AH125" s="111">
        <f>IF(AQ125="0",BJ125,0)</f>
      </c>
      <c r="AI125" s="132" t="s">
        <v>93</v>
      </c>
      <c r="AJ125" s="111">
        <f>IF(AN125=0,I125,0)</f>
      </c>
      <c r="AK125" s="111">
        <f>IF(AN125=12,I125,0)</f>
      </c>
      <c r="AL125" s="111">
        <f>IF(AN125=21,I125,0)</f>
      </c>
      <c r="AN125" s="111" t="n">
        <v>21</v>
      </c>
      <c r="AO125" s="111">
        <f>H125*0.690795875</f>
      </c>
      <c r="AP125" s="111">
        <f>H125*(1-0.690795875)</f>
      </c>
      <c r="AQ125" s="153" t="s">
        <v>140</v>
      </c>
      <c r="AV125" s="111">
        <f>AW125+AX125</f>
      </c>
      <c r="AW125" s="111">
        <f>G125*AO125</f>
      </c>
      <c r="AX125" s="111">
        <f>G125*AP125</f>
      </c>
      <c r="AY125" s="153" t="s">
        <v>4112</v>
      </c>
      <c r="AZ125" s="153" t="s">
        <v>4606</v>
      </c>
      <c r="BA125" s="132" t="s">
        <v>4594</v>
      </c>
      <c r="BC125" s="111">
        <f>AW125+AX125</f>
      </c>
      <c r="BD125" s="111">
        <f>H125/(100-BE125)*100</f>
      </c>
      <c r="BE125" s="111" t="n">
        <v>0</v>
      </c>
      <c r="BF125" s="111">
        <f>125</f>
      </c>
      <c r="BH125" s="111">
        <f>G125*AO125</f>
      </c>
      <c r="BI125" s="111">
        <f>G125*AP125</f>
      </c>
      <c r="BJ125" s="111">
        <f>G125*H125</f>
      </c>
      <c r="BK125" s="111"/>
      <c r="BL125" s="111"/>
      <c r="BW125" s="111" t="n">
        <v>21</v>
      </c>
      <c r="BX125" s="14" t="s">
        <v>4737</v>
      </c>
    </row>
    <row r="126" customHeight="true" ht="13.5">
      <c r="A126" s="159"/>
      <c r="C126" s="160" t="s">
        <v>146</v>
      </c>
      <c r="D126" s="161" t="s">
        <v>4738</v>
      </c>
      <c r="E126" s="156"/>
      <c r="F126" s="156"/>
      <c r="G126" s="156"/>
      <c r="H126" s="156"/>
      <c r="I126" s="156"/>
      <c r="J126" s="156"/>
      <c r="K126" s="163"/>
    </row>
    <row r="127">
      <c r="A127" s="154"/>
      <c r="B127" s="155"/>
      <c r="C127" s="155"/>
      <c r="D127" s="156" t="s">
        <v>148</v>
      </c>
      <c r="E127" s="156" t="s">
        <v>4739</v>
      </c>
      <c r="F127" s="155"/>
      <c r="G127" s="157" t="n">
        <v>50</v>
      </c>
      <c r="H127" s="155"/>
      <c r="I127" s="155"/>
      <c r="J127" s="155"/>
      <c r="K127" s="146"/>
    </row>
    <row r="128">
      <c r="A128" s="9" t="s">
        <v>148</v>
      </c>
      <c r="B128" s="10" t="s">
        <v>93</v>
      </c>
      <c r="C128" s="10" t="s">
        <v>4741</v>
      </c>
      <c r="D128" s="14" t="s">
        <v>4742</v>
      </c>
      <c r="E128" s="10"/>
      <c r="F128" s="10" t="s">
        <v>282</v>
      </c>
      <c r="G128" s="111">
        <f>'Stavební rozpočet'!G2967</f>
      </c>
      <c r="H128" s="111">
        <f>'Stavební rozpočet'!H2967</f>
      </c>
      <c r="I128" s="111">
        <f>G128*H128</f>
      </c>
      <c r="J128" s="153" t="s">
        <v>134</v>
      </c>
      <c r="K128" s="146"/>
      <c r="Z128" s="111">
        <f>IF(AQ128="5",BJ128,0)</f>
      </c>
      <c r="AB128" s="111">
        <f>IF(AQ128="1",BH128,0)</f>
      </c>
      <c r="AC128" s="111">
        <f>IF(AQ128="1",BI128,0)</f>
      </c>
      <c r="AD128" s="111">
        <f>IF(AQ128="7",BH128,0)</f>
      </c>
      <c r="AE128" s="111">
        <f>IF(AQ128="7",BI128,0)</f>
      </c>
      <c r="AF128" s="111">
        <f>IF(AQ128="2",BH128,0)</f>
      </c>
      <c r="AG128" s="111">
        <f>IF(AQ128="2",BI128,0)</f>
      </c>
      <c r="AH128" s="111">
        <f>IF(AQ128="0",BJ128,0)</f>
      </c>
      <c r="AI128" s="132" t="s">
        <v>93</v>
      </c>
      <c r="AJ128" s="111">
        <f>IF(AN128=0,I128,0)</f>
      </c>
      <c r="AK128" s="111">
        <f>IF(AN128=12,I128,0)</f>
      </c>
      <c r="AL128" s="111">
        <f>IF(AN128=21,I128,0)</f>
      </c>
      <c r="AN128" s="111" t="n">
        <v>21</v>
      </c>
      <c r="AO128" s="111">
        <f>H128*0</f>
      </c>
      <c r="AP128" s="111">
        <f>H128*(1-0)</f>
      </c>
      <c r="AQ128" s="153" t="s">
        <v>140</v>
      </c>
      <c r="AV128" s="111">
        <f>AW128+AX128</f>
      </c>
      <c r="AW128" s="111">
        <f>G128*AO128</f>
      </c>
      <c r="AX128" s="111">
        <f>G128*AP128</f>
      </c>
      <c r="AY128" s="153" t="s">
        <v>4112</v>
      </c>
      <c r="AZ128" s="153" t="s">
        <v>4606</v>
      </c>
      <c r="BA128" s="132" t="s">
        <v>4594</v>
      </c>
      <c r="BC128" s="111">
        <f>AW128+AX128</f>
      </c>
      <c r="BD128" s="111">
        <f>H128/(100-BE128)*100</f>
      </c>
      <c r="BE128" s="111" t="n">
        <v>0</v>
      </c>
      <c r="BF128" s="111">
        <f>128</f>
      </c>
      <c r="BH128" s="111">
        <f>G128*AO128</f>
      </c>
      <c r="BI128" s="111">
        <f>G128*AP128</f>
      </c>
      <c r="BJ128" s="111">
        <f>G128*H128</f>
      </c>
      <c r="BK128" s="111"/>
      <c r="BL128" s="111"/>
      <c r="BW128" s="111" t="n">
        <v>21</v>
      </c>
      <c r="BX128" s="14" t="s">
        <v>4742</v>
      </c>
    </row>
    <row r="129" customHeight="true" ht="13.5">
      <c r="A129" s="159"/>
      <c r="C129" s="160" t="s">
        <v>146</v>
      </c>
      <c r="D129" s="161" t="s">
        <v>4743</v>
      </c>
      <c r="E129" s="156"/>
      <c r="F129" s="156"/>
      <c r="G129" s="156"/>
      <c r="H129" s="156"/>
      <c r="I129" s="156"/>
      <c r="J129" s="156"/>
      <c r="K129" s="163"/>
    </row>
    <row r="130">
      <c r="A130" s="154"/>
      <c r="B130" s="155"/>
      <c r="C130" s="155"/>
      <c r="D130" s="156" t="s">
        <v>1537</v>
      </c>
      <c r="E130" s="156" t="s">
        <v>4726</v>
      </c>
      <c r="F130" s="155"/>
      <c r="G130" s="157" t="n">
        <v>210</v>
      </c>
      <c r="H130" s="155"/>
      <c r="I130" s="155"/>
      <c r="J130" s="155"/>
      <c r="K130" s="146"/>
    </row>
    <row r="131">
      <c r="A131" s="9" t="s">
        <v>480</v>
      </c>
      <c r="B131" s="10" t="s">
        <v>93</v>
      </c>
      <c r="C131" s="10" t="s">
        <v>4745</v>
      </c>
      <c r="D131" s="14" t="s">
        <v>4746</v>
      </c>
      <c r="E131" s="10"/>
      <c r="F131" s="10" t="s">
        <v>282</v>
      </c>
      <c r="G131" s="111">
        <f>'Stavební rozpočet'!G2970</f>
      </c>
      <c r="H131" s="111">
        <f>'Stavební rozpočet'!H2970</f>
      </c>
      <c r="I131" s="111">
        <f>G131*H131</f>
      </c>
      <c r="J131" s="153" t="s">
        <v>134</v>
      </c>
      <c r="K131" s="146"/>
      <c r="Z131" s="111">
        <f>IF(AQ131="5",BJ131,0)</f>
      </c>
      <c r="AB131" s="111">
        <f>IF(AQ131="1",BH131,0)</f>
      </c>
      <c r="AC131" s="111">
        <f>IF(AQ131="1",BI131,0)</f>
      </c>
      <c r="AD131" s="111">
        <f>IF(AQ131="7",BH131,0)</f>
      </c>
      <c r="AE131" s="111">
        <f>IF(AQ131="7",BI131,0)</f>
      </c>
      <c r="AF131" s="111">
        <f>IF(AQ131="2",BH131,0)</f>
      </c>
      <c r="AG131" s="111">
        <f>IF(AQ131="2",BI131,0)</f>
      </c>
      <c r="AH131" s="111">
        <f>IF(AQ131="0",BJ131,0)</f>
      </c>
      <c r="AI131" s="132" t="s">
        <v>93</v>
      </c>
      <c r="AJ131" s="111">
        <f>IF(AN131=0,I131,0)</f>
      </c>
      <c r="AK131" s="111">
        <f>IF(AN131=12,I131,0)</f>
      </c>
      <c r="AL131" s="111">
        <f>IF(AN131=21,I131,0)</f>
      </c>
      <c r="AN131" s="111" t="n">
        <v>21</v>
      </c>
      <c r="AO131" s="111">
        <f>H131*0</f>
      </c>
      <c r="AP131" s="111">
        <f>H131*(1-0)</f>
      </c>
      <c r="AQ131" s="153" t="s">
        <v>140</v>
      </c>
      <c r="AV131" s="111">
        <f>AW131+AX131</f>
      </c>
      <c r="AW131" s="111">
        <f>G131*AO131</f>
      </c>
      <c r="AX131" s="111">
        <f>G131*AP131</f>
      </c>
      <c r="AY131" s="153" t="s">
        <v>4112</v>
      </c>
      <c r="AZ131" s="153" t="s">
        <v>4606</v>
      </c>
      <c r="BA131" s="132" t="s">
        <v>4594</v>
      </c>
      <c r="BC131" s="111">
        <f>AW131+AX131</f>
      </c>
      <c r="BD131" s="111">
        <f>H131/(100-BE131)*100</f>
      </c>
      <c r="BE131" s="111" t="n">
        <v>0</v>
      </c>
      <c r="BF131" s="111">
        <f>131</f>
      </c>
      <c r="BH131" s="111">
        <f>G131*AO131</f>
      </c>
      <c r="BI131" s="111">
        <f>G131*AP131</f>
      </c>
      <c r="BJ131" s="111">
        <f>G131*H131</f>
      </c>
      <c r="BK131" s="111"/>
      <c r="BL131" s="111"/>
      <c r="BW131" s="111" t="n">
        <v>21</v>
      </c>
      <c r="BX131" s="14" t="s">
        <v>4746</v>
      </c>
    </row>
    <row r="132" customHeight="true" ht="13.5">
      <c r="A132" s="159"/>
      <c r="C132" s="160" t="s">
        <v>146</v>
      </c>
      <c r="D132" s="161" t="s">
        <v>4743</v>
      </c>
      <c r="E132" s="156"/>
      <c r="F132" s="156"/>
      <c r="G132" s="156"/>
      <c r="H132" s="156"/>
      <c r="I132" s="156"/>
      <c r="J132" s="156"/>
      <c r="K132" s="163"/>
    </row>
    <row r="133">
      <c r="A133" s="154"/>
      <c r="B133" s="155"/>
      <c r="C133" s="155"/>
      <c r="D133" s="156" t="s">
        <v>914</v>
      </c>
      <c r="E133" s="156" t="s">
        <v>4726</v>
      </c>
      <c r="F133" s="155"/>
      <c r="G133" s="157" t="n">
        <v>120</v>
      </c>
      <c r="H133" s="155"/>
      <c r="I133" s="155"/>
      <c r="J133" s="155"/>
      <c r="K133" s="146"/>
    </row>
    <row r="134">
      <c r="A134" s="9" t="s">
        <v>484</v>
      </c>
      <c r="B134" s="10" t="s">
        <v>93</v>
      </c>
      <c r="C134" s="10" t="s">
        <v>4748</v>
      </c>
      <c r="D134" s="14" t="s">
        <v>4749</v>
      </c>
      <c r="E134" s="10"/>
      <c r="F134" s="10" t="s">
        <v>133</v>
      </c>
      <c r="G134" s="111">
        <f>'Stavební rozpočet'!G2973</f>
      </c>
      <c r="H134" s="111">
        <f>'Stavební rozpočet'!H2973</f>
      </c>
      <c r="I134" s="111">
        <f>G134*H134</f>
      </c>
      <c r="J134" s="153" t="s">
        <v>134</v>
      </c>
      <c r="K134" s="146"/>
      <c r="Z134" s="111">
        <f>IF(AQ134="5",BJ134,0)</f>
      </c>
      <c r="AB134" s="111">
        <f>IF(AQ134="1",BH134,0)</f>
      </c>
      <c r="AC134" s="111">
        <f>IF(AQ134="1",BI134,0)</f>
      </c>
      <c r="AD134" s="111">
        <f>IF(AQ134="7",BH134,0)</f>
      </c>
      <c r="AE134" s="111">
        <f>IF(AQ134="7",BI134,0)</f>
      </c>
      <c r="AF134" s="111">
        <f>IF(AQ134="2",BH134,0)</f>
      </c>
      <c r="AG134" s="111">
        <f>IF(AQ134="2",BI134,0)</f>
      </c>
      <c r="AH134" s="111">
        <f>IF(AQ134="0",BJ134,0)</f>
      </c>
      <c r="AI134" s="132" t="s">
        <v>93</v>
      </c>
      <c r="AJ134" s="111">
        <f>IF(AN134=0,I134,0)</f>
      </c>
      <c r="AK134" s="111">
        <f>IF(AN134=12,I134,0)</f>
      </c>
      <c r="AL134" s="111">
        <f>IF(AN134=21,I134,0)</f>
      </c>
      <c r="AN134" s="111" t="n">
        <v>21</v>
      </c>
      <c r="AO134" s="111">
        <f>H134*0</f>
      </c>
      <c r="AP134" s="111">
        <f>H134*(1-0)</f>
      </c>
      <c r="AQ134" s="153" t="s">
        <v>140</v>
      </c>
      <c r="AV134" s="111">
        <f>AW134+AX134</f>
      </c>
      <c r="AW134" s="111">
        <f>G134*AO134</f>
      </c>
      <c r="AX134" s="111">
        <f>G134*AP134</f>
      </c>
      <c r="AY134" s="153" t="s">
        <v>4112</v>
      </c>
      <c r="AZ134" s="153" t="s">
        <v>4606</v>
      </c>
      <c r="BA134" s="132" t="s">
        <v>4594</v>
      </c>
      <c r="BC134" s="111">
        <f>AW134+AX134</f>
      </c>
      <c r="BD134" s="111">
        <f>H134/(100-BE134)*100</f>
      </c>
      <c r="BE134" s="111" t="n">
        <v>0</v>
      </c>
      <c r="BF134" s="111">
        <f>134</f>
      </c>
      <c r="BH134" s="111">
        <f>G134*AO134</f>
      </c>
      <c r="BI134" s="111">
        <f>G134*AP134</f>
      </c>
      <c r="BJ134" s="111">
        <f>G134*H134</f>
      </c>
      <c r="BK134" s="111"/>
      <c r="BL134" s="111"/>
      <c r="BW134" s="111" t="n">
        <v>21</v>
      </c>
      <c r="BX134" s="14" t="s">
        <v>4749</v>
      </c>
    </row>
    <row r="135" customHeight="true" ht="13.5">
      <c r="A135" s="159"/>
      <c r="C135" s="160" t="s">
        <v>146</v>
      </c>
      <c r="D135" s="161" t="s">
        <v>4750</v>
      </c>
      <c r="E135" s="156"/>
      <c r="F135" s="156"/>
      <c r="G135" s="156"/>
      <c r="H135" s="156"/>
      <c r="I135" s="156"/>
      <c r="J135" s="156"/>
      <c r="K135" s="163"/>
    </row>
    <row r="136">
      <c r="A136" s="9" t="s">
        <v>488</v>
      </c>
      <c r="B136" s="10" t="s">
        <v>93</v>
      </c>
      <c r="C136" s="10" t="s">
        <v>4752</v>
      </c>
      <c r="D136" s="14" t="s">
        <v>4753</v>
      </c>
      <c r="E136" s="10"/>
      <c r="F136" s="10" t="s">
        <v>133</v>
      </c>
      <c r="G136" s="111">
        <f>'Stavební rozpočet'!G2975</f>
      </c>
      <c r="H136" s="111">
        <f>'Stavební rozpočet'!H2975</f>
      </c>
      <c r="I136" s="111">
        <f>G136*H136</f>
      </c>
      <c r="J136" s="153" t="s">
        <v>134</v>
      </c>
      <c r="K136" s="146"/>
      <c r="Z136" s="111">
        <f>IF(AQ136="5",BJ136,0)</f>
      </c>
      <c r="AB136" s="111">
        <f>IF(AQ136="1",BH136,0)</f>
      </c>
      <c r="AC136" s="111">
        <f>IF(AQ136="1",BI136,0)</f>
      </c>
      <c r="AD136" s="111">
        <f>IF(AQ136="7",BH136,0)</f>
      </c>
      <c r="AE136" s="111">
        <f>IF(AQ136="7",BI136,0)</f>
      </c>
      <c r="AF136" s="111">
        <f>IF(AQ136="2",BH136,0)</f>
      </c>
      <c r="AG136" s="111">
        <f>IF(AQ136="2",BI136,0)</f>
      </c>
      <c r="AH136" s="111">
        <f>IF(AQ136="0",BJ136,0)</f>
      </c>
      <c r="AI136" s="132" t="s">
        <v>93</v>
      </c>
      <c r="AJ136" s="111">
        <f>IF(AN136=0,I136,0)</f>
      </c>
      <c r="AK136" s="111">
        <f>IF(AN136=12,I136,0)</f>
      </c>
      <c r="AL136" s="111">
        <f>IF(AN136=21,I136,0)</f>
      </c>
      <c r="AN136" s="111" t="n">
        <v>21</v>
      </c>
      <c r="AO136" s="111">
        <f>H136*0</f>
      </c>
      <c r="AP136" s="111">
        <f>H136*(1-0)</f>
      </c>
      <c r="AQ136" s="153" t="s">
        <v>140</v>
      </c>
      <c r="AV136" s="111">
        <f>AW136+AX136</f>
      </c>
      <c r="AW136" s="111">
        <f>G136*AO136</f>
      </c>
      <c r="AX136" s="111">
        <f>G136*AP136</f>
      </c>
      <c r="AY136" s="153" t="s">
        <v>4112</v>
      </c>
      <c r="AZ136" s="153" t="s">
        <v>4606</v>
      </c>
      <c r="BA136" s="132" t="s">
        <v>4594</v>
      </c>
      <c r="BC136" s="111">
        <f>AW136+AX136</f>
      </c>
      <c r="BD136" s="111">
        <f>H136/(100-BE136)*100</f>
      </c>
      <c r="BE136" s="111" t="n">
        <v>0</v>
      </c>
      <c r="BF136" s="111">
        <f>136</f>
      </c>
      <c r="BH136" s="111">
        <f>G136*AO136</f>
      </c>
      <c r="BI136" s="111">
        <f>G136*AP136</f>
      </c>
      <c r="BJ136" s="111">
        <f>G136*H136</f>
      </c>
      <c r="BK136" s="111"/>
      <c r="BL136" s="111"/>
      <c r="BW136" s="111" t="n">
        <v>21</v>
      </c>
      <c r="BX136" s="14" t="s">
        <v>4753</v>
      </c>
    </row>
    <row r="137" customHeight="true" ht="13.5">
      <c r="A137" s="159"/>
      <c r="C137" s="160" t="s">
        <v>146</v>
      </c>
      <c r="D137" s="161" t="s">
        <v>4754</v>
      </c>
      <c r="E137" s="156"/>
      <c r="F137" s="156"/>
      <c r="G137" s="156"/>
      <c r="H137" s="156"/>
      <c r="I137" s="156"/>
      <c r="J137" s="156"/>
      <c r="K137" s="163"/>
    </row>
    <row r="138">
      <c r="A138" s="154"/>
      <c r="B138" s="155"/>
      <c r="C138" s="155"/>
      <c r="D138" s="156" t="s">
        <v>348</v>
      </c>
      <c r="E138" s="156" t="s">
        <v>4755</v>
      </c>
      <c r="F138" s="155"/>
      <c r="G138" s="157" t="n">
        <v>31</v>
      </c>
      <c r="H138" s="155"/>
      <c r="I138" s="155"/>
      <c r="J138" s="155"/>
      <c r="K138" s="146"/>
    </row>
    <row r="139">
      <c r="A139" s="9" t="s">
        <v>494</v>
      </c>
      <c r="B139" s="10" t="s">
        <v>93</v>
      </c>
      <c r="C139" s="10" t="s">
        <v>4757</v>
      </c>
      <c r="D139" s="14" t="s">
        <v>4758</v>
      </c>
      <c r="E139" s="10"/>
      <c r="F139" s="10" t="s">
        <v>133</v>
      </c>
      <c r="G139" s="111">
        <f>'Stavební rozpočet'!G2978</f>
      </c>
      <c r="H139" s="111">
        <f>'Stavební rozpočet'!H2978</f>
      </c>
      <c r="I139" s="111">
        <f>G139*H139</f>
      </c>
      <c r="J139" s="153" t="s">
        <v>134</v>
      </c>
      <c r="K139" s="146"/>
      <c r="Z139" s="111">
        <f>IF(AQ139="5",BJ139,0)</f>
      </c>
      <c r="AB139" s="111">
        <f>IF(AQ139="1",BH139,0)</f>
      </c>
      <c r="AC139" s="111">
        <f>IF(AQ139="1",BI139,0)</f>
      </c>
      <c r="AD139" s="111">
        <f>IF(AQ139="7",BH139,0)</f>
      </c>
      <c r="AE139" s="111">
        <f>IF(AQ139="7",BI139,0)</f>
      </c>
      <c r="AF139" s="111">
        <f>IF(AQ139="2",BH139,0)</f>
      </c>
      <c r="AG139" s="111">
        <f>IF(AQ139="2",BI139,0)</f>
      </c>
      <c r="AH139" s="111">
        <f>IF(AQ139="0",BJ139,0)</f>
      </c>
      <c r="AI139" s="132" t="s">
        <v>93</v>
      </c>
      <c r="AJ139" s="111">
        <f>IF(AN139=0,I139,0)</f>
      </c>
      <c r="AK139" s="111">
        <f>IF(AN139=12,I139,0)</f>
      </c>
      <c r="AL139" s="111">
        <f>IF(AN139=21,I139,0)</f>
      </c>
      <c r="AN139" s="111" t="n">
        <v>21</v>
      </c>
      <c r="AO139" s="111">
        <f>H139*0</f>
      </c>
      <c r="AP139" s="111">
        <f>H139*(1-0)</f>
      </c>
      <c r="AQ139" s="153" t="s">
        <v>140</v>
      </c>
      <c r="AV139" s="111">
        <f>AW139+AX139</f>
      </c>
      <c r="AW139" s="111">
        <f>G139*AO139</f>
      </c>
      <c r="AX139" s="111">
        <f>G139*AP139</f>
      </c>
      <c r="AY139" s="153" t="s">
        <v>4112</v>
      </c>
      <c r="AZ139" s="153" t="s">
        <v>4606</v>
      </c>
      <c r="BA139" s="132" t="s">
        <v>4594</v>
      </c>
      <c r="BC139" s="111">
        <f>AW139+AX139</f>
      </c>
      <c r="BD139" s="111">
        <f>H139/(100-BE139)*100</f>
      </c>
      <c r="BE139" s="111" t="n">
        <v>0</v>
      </c>
      <c r="BF139" s="111">
        <f>139</f>
      </c>
      <c r="BH139" s="111">
        <f>G139*AO139</f>
      </c>
      <c r="BI139" s="111">
        <f>G139*AP139</f>
      </c>
      <c r="BJ139" s="111">
        <f>G139*H139</f>
      </c>
      <c r="BK139" s="111"/>
      <c r="BL139" s="111"/>
      <c r="BW139" s="111" t="n">
        <v>21</v>
      </c>
      <c r="BX139" s="14" t="s">
        <v>4758</v>
      </c>
    </row>
    <row r="140" customHeight="true" ht="13.5">
      <c r="A140" s="159"/>
      <c r="C140" s="160" t="s">
        <v>146</v>
      </c>
      <c r="D140" s="161" t="s">
        <v>4759</v>
      </c>
      <c r="E140" s="156"/>
      <c r="F140" s="156"/>
      <c r="G140" s="156"/>
      <c r="H140" s="156"/>
      <c r="I140" s="156"/>
      <c r="J140" s="156"/>
      <c r="K140" s="163"/>
    </row>
    <row r="141">
      <c r="A141" s="154"/>
      <c r="B141" s="155"/>
      <c r="C141" s="155"/>
      <c r="D141" s="156" t="s">
        <v>186</v>
      </c>
      <c r="E141" s="156" t="s">
        <v>4726</v>
      </c>
      <c r="F141" s="155"/>
      <c r="G141" s="157" t="n">
        <v>10</v>
      </c>
      <c r="H141" s="155"/>
      <c r="I141" s="155"/>
      <c r="J141" s="155"/>
      <c r="K141" s="146"/>
    </row>
    <row r="142">
      <c r="A142" s="9" t="s">
        <v>498</v>
      </c>
      <c r="B142" s="10" t="s">
        <v>93</v>
      </c>
      <c r="C142" s="10" t="s">
        <v>4761</v>
      </c>
      <c r="D142" s="14" t="s">
        <v>4762</v>
      </c>
      <c r="E142" s="10"/>
      <c r="F142" s="10" t="s">
        <v>133</v>
      </c>
      <c r="G142" s="111">
        <f>'Stavební rozpočet'!G2981</f>
      </c>
      <c r="H142" s="111">
        <f>'Stavební rozpočet'!H2981</f>
      </c>
      <c r="I142" s="111">
        <f>G142*H142</f>
      </c>
      <c r="J142" s="153" t="s">
        <v>134</v>
      </c>
      <c r="K142" s="146"/>
      <c r="Z142" s="111">
        <f>IF(AQ142="5",BJ142,0)</f>
      </c>
      <c r="AB142" s="111">
        <f>IF(AQ142="1",BH142,0)</f>
      </c>
      <c r="AC142" s="111">
        <f>IF(AQ142="1",BI142,0)</f>
      </c>
      <c r="AD142" s="111">
        <f>IF(AQ142="7",BH142,0)</f>
      </c>
      <c r="AE142" s="111">
        <f>IF(AQ142="7",BI142,0)</f>
      </c>
      <c r="AF142" s="111">
        <f>IF(AQ142="2",BH142,0)</f>
      </c>
      <c r="AG142" s="111">
        <f>IF(AQ142="2",BI142,0)</f>
      </c>
      <c r="AH142" s="111">
        <f>IF(AQ142="0",BJ142,0)</f>
      </c>
      <c r="AI142" s="132" t="s">
        <v>93</v>
      </c>
      <c r="AJ142" s="111">
        <f>IF(AN142=0,I142,0)</f>
      </c>
      <c r="AK142" s="111">
        <f>IF(AN142=12,I142,0)</f>
      </c>
      <c r="AL142" s="111">
        <f>IF(AN142=21,I142,0)</f>
      </c>
      <c r="AN142" s="111" t="n">
        <v>21</v>
      </c>
      <c r="AO142" s="111">
        <f>H142*0</f>
      </c>
      <c r="AP142" s="111">
        <f>H142*(1-0)</f>
      </c>
      <c r="AQ142" s="153" t="s">
        <v>140</v>
      </c>
      <c r="AV142" s="111">
        <f>AW142+AX142</f>
      </c>
      <c r="AW142" s="111">
        <f>G142*AO142</f>
      </c>
      <c r="AX142" s="111">
        <f>G142*AP142</f>
      </c>
      <c r="AY142" s="153" t="s">
        <v>4112</v>
      </c>
      <c r="AZ142" s="153" t="s">
        <v>4606</v>
      </c>
      <c r="BA142" s="132" t="s">
        <v>4594</v>
      </c>
      <c r="BC142" s="111">
        <f>AW142+AX142</f>
      </c>
      <c r="BD142" s="111">
        <f>H142/(100-BE142)*100</f>
      </c>
      <c r="BE142" s="111" t="n">
        <v>0</v>
      </c>
      <c r="BF142" s="111">
        <f>142</f>
      </c>
      <c r="BH142" s="111">
        <f>G142*AO142</f>
      </c>
      <c r="BI142" s="111">
        <f>G142*AP142</f>
      </c>
      <c r="BJ142" s="111">
        <f>G142*H142</f>
      </c>
      <c r="BK142" s="111"/>
      <c r="BL142" s="111"/>
      <c r="BW142" s="111" t="n">
        <v>21</v>
      </c>
      <c r="BX142" s="14" t="s">
        <v>4762</v>
      </c>
    </row>
    <row r="143" customHeight="true" ht="13.5">
      <c r="A143" s="159"/>
      <c r="C143" s="160" t="s">
        <v>146</v>
      </c>
      <c r="D143" s="161" t="s">
        <v>4763</v>
      </c>
      <c r="E143" s="156"/>
      <c r="F143" s="156"/>
      <c r="G143" s="156"/>
      <c r="H143" s="156"/>
      <c r="I143" s="156"/>
      <c r="J143" s="156"/>
      <c r="K143" s="163"/>
    </row>
    <row r="144">
      <c r="A144" s="154"/>
      <c r="B144" s="155"/>
      <c r="C144" s="155"/>
      <c r="D144" s="156" t="s">
        <v>149</v>
      </c>
      <c r="E144" s="156" t="s">
        <v>4726</v>
      </c>
      <c r="F144" s="155"/>
      <c r="G144" s="157" t="n">
        <v>4</v>
      </c>
      <c r="H144" s="155"/>
      <c r="I144" s="155"/>
      <c r="J144" s="155"/>
      <c r="K144" s="146"/>
    </row>
    <row r="145">
      <c r="A145" s="9" t="s">
        <v>504</v>
      </c>
      <c r="B145" s="10" t="s">
        <v>93</v>
      </c>
      <c r="C145" s="10" t="s">
        <v>4761</v>
      </c>
      <c r="D145" s="14" t="s">
        <v>4765</v>
      </c>
      <c r="E145" s="10"/>
      <c r="F145" s="10" t="s">
        <v>133</v>
      </c>
      <c r="G145" s="111">
        <f>'Stavební rozpočet'!G2984</f>
      </c>
      <c r="H145" s="111">
        <f>'Stavební rozpočet'!H2984</f>
      </c>
      <c r="I145" s="111">
        <f>G145*H145</f>
      </c>
      <c r="J145" s="153" t="s">
        <v>134</v>
      </c>
      <c r="K145" s="146"/>
      <c r="Z145" s="111">
        <f>IF(AQ145="5",BJ145,0)</f>
      </c>
      <c r="AB145" s="111">
        <f>IF(AQ145="1",BH145,0)</f>
      </c>
      <c r="AC145" s="111">
        <f>IF(AQ145="1",BI145,0)</f>
      </c>
      <c r="AD145" s="111">
        <f>IF(AQ145="7",BH145,0)</f>
      </c>
      <c r="AE145" s="111">
        <f>IF(AQ145="7",BI145,0)</f>
      </c>
      <c r="AF145" s="111">
        <f>IF(AQ145="2",BH145,0)</f>
      </c>
      <c r="AG145" s="111">
        <f>IF(AQ145="2",BI145,0)</f>
      </c>
      <c r="AH145" s="111">
        <f>IF(AQ145="0",BJ145,0)</f>
      </c>
      <c r="AI145" s="132" t="s">
        <v>93</v>
      </c>
      <c r="AJ145" s="111">
        <f>IF(AN145=0,I145,0)</f>
      </c>
      <c r="AK145" s="111">
        <f>IF(AN145=12,I145,0)</f>
      </c>
      <c r="AL145" s="111">
        <f>IF(AN145=21,I145,0)</f>
      </c>
      <c r="AN145" s="111" t="n">
        <v>21</v>
      </c>
      <c r="AO145" s="111">
        <f>H145*0</f>
      </c>
      <c r="AP145" s="111">
        <f>H145*(1-0)</f>
      </c>
      <c r="AQ145" s="153" t="s">
        <v>140</v>
      </c>
      <c r="AV145" s="111">
        <f>AW145+AX145</f>
      </c>
      <c r="AW145" s="111">
        <f>G145*AO145</f>
      </c>
      <c r="AX145" s="111">
        <f>G145*AP145</f>
      </c>
      <c r="AY145" s="153" t="s">
        <v>4112</v>
      </c>
      <c r="AZ145" s="153" t="s">
        <v>4606</v>
      </c>
      <c r="BA145" s="132" t="s">
        <v>4594</v>
      </c>
      <c r="BC145" s="111">
        <f>AW145+AX145</f>
      </c>
      <c r="BD145" s="111">
        <f>H145/(100-BE145)*100</f>
      </c>
      <c r="BE145" s="111" t="n">
        <v>0</v>
      </c>
      <c r="BF145" s="111">
        <f>145</f>
      </c>
      <c r="BH145" s="111">
        <f>G145*AO145</f>
      </c>
      <c r="BI145" s="111">
        <f>G145*AP145</f>
      </c>
      <c r="BJ145" s="111">
        <f>G145*H145</f>
      </c>
      <c r="BK145" s="111"/>
      <c r="BL145" s="111"/>
      <c r="BW145" s="111" t="n">
        <v>21</v>
      </c>
      <c r="BX145" s="14" t="s">
        <v>4765</v>
      </c>
    </row>
    <row r="146" customHeight="true" ht="13.5">
      <c r="A146" s="159"/>
      <c r="C146" s="160" t="s">
        <v>146</v>
      </c>
      <c r="D146" s="161" t="s">
        <v>4766</v>
      </c>
      <c r="E146" s="156"/>
      <c r="F146" s="156"/>
      <c r="G146" s="156"/>
      <c r="H146" s="156"/>
      <c r="I146" s="156"/>
      <c r="J146" s="156"/>
      <c r="K146" s="163"/>
    </row>
    <row r="147">
      <c r="A147" s="154"/>
      <c r="B147" s="155"/>
      <c r="C147" s="155"/>
      <c r="D147" s="156" t="s">
        <v>165</v>
      </c>
      <c r="E147" s="156" t="s">
        <v>4726</v>
      </c>
      <c r="F147" s="155"/>
      <c r="G147" s="157" t="n">
        <v>6</v>
      </c>
      <c r="H147" s="155"/>
      <c r="I147" s="155"/>
      <c r="J147" s="155"/>
      <c r="K147" s="146"/>
    </row>
    <row r="148">
      <c r="A148" s="9" t="s">
        <v>509</v>
      </c>
      <c r="B148" s="10" t="s">
        <v>93</v>
      </c>
      <c r="C148" s="10" t="s">
        <v>4768</v>
      </c>
      <c r="D148" s="14" t="s">
        <v>4769</v>
      </c>
      <c r="E148" s="10"/>
      <c r="F148" s="10" t="s">
        <v>133</v>
      </c>
      <c r="G148" s="111">
        <f>'Stavební rozpočet'!G2987</f>
      </c>
      <c r="H148" s="111">
        <f>'Stavební rozpočet'!H2987</f>
      </c>
      <c r="I148" s="111">
        <f>G148*H148</f>
      </c>
      <c r="J148" s="153" t="s">
        <v>134</v>
      </c>
      <c r="K148" s="146"/>
      <c r="Z148" s="111">
        <f>IF(AQ148="5",BJ148,0)</f>
      </c>
      <c r="AB148" s="111">
        <f>IF(AQ148="1",BH148,0)</f>
      </c>
      <c r="AC148" s="111">
        <f>IF(AQ148="1",BI148,0)</f>
      </c>
      <c r="AD148" s="111">
        <f>IF(AQ148="7",BH148,0)</f>
      </c>
      <c r="AE148" s="111">
        <f>IF(AQ148="7",BI148,0)</f>
      </c>
      <c r="AF148" s="111">
        <f>IF(AQ148="2",BH148,0)</f>
      </c>
      <c r="AG148" s="111">
        <f>IF(AQ148="2",BI148,0)</f>
      </c>
      <c r="AH148" s="111">
        <f>IF(AQ148="0",BJ148,0)</f>
      </c>
      <c r="AI148" s="132" t="s">
        <v>93</v>
      </c>
      <c r="AJ148" s="111">
        <f>IF(AN148=0,I148,0)</f>
      </c>
      <c r="AK148" s="111">
        <f>IF(AN148=12,I148,0)</f>
      </c>
      <c r="AL148" s="111">
        <f>IF(AN148=21,I148,0)</f>
      </c>
      <c r="AN148" s="111" t="n">
        <v>21</v>
      </c>
      <c r="AO148" s="111">
        <f>H148*0</f>
      </c>
      <c r="AP148" s="111">
        <f>H148*(1-0)</f>
      </c>
      <c r="AQ148" s="153" t="s">
        <v>140</v>
      </c>
      <c r="AV148" s="111">
        <f>AW148+AX148</f>
      </c>
      <c r="AW148" s="111">
        <f>G148*AO148</f>
      </c>
      <c r="AX148" s="111">
        <f>G148*AP148</f>
      </c>
      <c r="AY148" s="153" t="s">
        <v>4112</v>
      </c>
      <c r="AZ148" s="153" t="s">
        <v>4606</v>
      </c>
      <c r="BA148" s="132" t="s">
        <v>4594</v>
      </c>
      <c r="BC148" s="111">
        <f>AW148+AX148</f>
      </c>
      <c r="BD148" s="111">
        <f>H148/(100-BE148)*100</f>
      </c>
      <c r="BE148" s="111" t="n">
        <v>0</v>
      </c>
      <c r="BF148" s="111">
        <f>148</f>
      </c>
      <c r="BH148" s="111">
        <f>G148*AO148</f>
      </c>
      <c r="BI148" s="111">
        <f>G148*AP148</f>
      </c>
      <c r="BJ148" s="111">
        <f>G148*H148</f>
      </c>
      <c r="BK148" s="111"/>
      <c r="BL148" s="111"/>
      <c r="BW148" s="111" t="n">
        <v>21</v>
      </c>
      <c r="BX148" s="14" t="s">
        <v>4769</v>
      </c>
    </row>
    <row r="149" customHeight="true" ht="13.5">
      <c r="A149" s="159"/>
      <c r="C149" s="160" t="s">
        <v>146</v>
      </c>
      <c r="D149" s="161" t="s">
        <v>4770</v>
      </c>
      <c r="E149" s="156"/>
      <c r="F149" s="156"/>
      <c r="G149" s="156"/>
      <c r="H149" s="156"/>
      <c r="I149" s="156"/>
      <c r="J149" s="156"/>
      <c r="K149" s="163"/>
    </row>
    <row r="150">
      <c r="A150" s="154"/>
      <c r="B150" s="155"/>
      <c r="C150" s="155"/>
      <c r="D150" s="156" t="s">
        <v>128</v>
      </c>
      <c r="E150" s="156" t="s">
        <v>4726</v>
      </c>
      <c r="F150" s="155"/>
      <c r="G150" s="157" t="n">
        <v>11</v>
      </c>
      <c r="H150" s="155"/>
      <c r="I150" s="155"/>
      <c r="J150" s="155"/>
      <c r="K150" s="146"/>
    </row>
    <row r="151">
      <c r="A151" s="9" t="s">
        <v>515</v>
      </c>
      <c r="B151" s="10" t="s">
        <v>93</v>
      </c>
      <c r="C151" s="10" t="s">
        <v>4772</v>
      </c>
      <c r="D151" s="14" t="s">
        <v>4773</v>
      </c>
      <c r="E151" s="10"/>
      <c r="F151" s="10" t="s">
        <v>133</v>
      </c>
      <c r="G151" s="111">
        <f>'Stavební rozpočet'!G2990</f>
      </c>
      <c r="H151" s="111">
        <f>'Stavební rozpočet'!H2990</f>
      </c>
      <c r="I151" s="111">
        <f>G151*H151</f>
      </c>
      <c r="J151" s="153" t="s">
        <v>134</v>
      </c>
      <c r="K151" s="146"/>
      <c r="Z151" s="111">
        <f>IF(AQ151="5",BJ151,0)</f>
      </c>
      <c r="AB151" s="111">
        <f>IF(AQ151="1",BH151,0)</f>
      </c>
      <c r="AC151" s="111">
        <f>IF(AQ151="1",BI151,0)</f>
      </c>
      <c r="AD151" s="111">
        <f>IF(AQ151="7",BH151,0)</f>
      </c>
      <c r="AE151" s="111">
        <f>IF(AQ151="7",BI151,0)</f>
      </c>
      <c r="AF151" s="111">
        <f>IF(AQ151="2",BH151,0)</f>
      </c>
      <c r="AG151" s="111">
        <f>IF(AQ151="2",BI151,0)</f>
      </c>
      <c r="AH151" s="111">
        <f>IF(AQ151="0",BJ151,0)</f>
      </c>
      <c r="AI151" s="132" t="s">
        <v>93</v>
      </c>
      <c r="AJ151" s="111">
        <f>IF(AN151=0,I151,0)</f>
      </c>
      <c r="AK151" s="111">
        <f>IF(AN151=12,I151,0)</f>
      </c>
      <c r="AL151" s="111">
        <f>IF(AN151=21,I151,0)</f>
      </c>
      <c r="AN151" s="111" t="n">
        <v>21</v>
      </c>
      <c r="AO151" s="111">
        <f>H151*0</f>
      </c>
      <c r="AP151" s="111">
        <f>H151*(1-0)</f>
      </c>
      <c r="AQ151" s="153" t="s">
        <v>140</v>
      </c>
      <c r="AV151" s="111">
        <f>AW151+AX151</f>
      </c>
      <c r="AW151" s="111">
        <f>G151*AO151</f>
      </c>
      <c r="AX151" s="111">
        <f>G151*AP151</f>
      </c>
      <c r="AY151" s="153" t="s">
        <v>4112</v>
      </c>
      <c r="AZ151" s="153" t="s">
        <v>4606</v>
      </c>
      <c r="BA151" s="132" t="s">
        <v>4594</v>
      </c>
      <c r="BC151" s="111">
        <f>AW151+AX151</f>
      </c>
      <c r="BD151" s="111">
        <f>H151/(100-BE151)*100</f>
      </c>
      <c r="BE151" s="111" t="n">
        <v>0</v>
      </c>
      <c r="BF151" s="111">
        <f>151</f>
      </c>
      <c r="BH151" s="111">
        <f>G151*AO151</f>
      </c>
      <c r="BI151" s="111">
        <f>G151*AP151</f>
      </c>
      <c r="BJ151" s="111">
        <f>G151*H151</f>
      </c>
      <c r="BK151" s="111"/>
      <c r="BL151" s="111"/>
      <c r="BW151" s="111" t="n">
        <v>21</v>
      </c>
      <c r="BX151" s="14" t="s">
        <v>4773</v>
      </c>
    </row>
    <row r="152" customHeight="true" ht="13.5">
      <c r="A152" s="159"/>
      <c r="C152" s="160" t="s">
        <v>146</v>
      </c>
      <c r="D152" s="161" t="s">
        <v>4774</v>
      </c>
      <c r="E152" s="156"/>
      <c r="F152" s="156"/>
      <c r="G152" s="156"/>
      <c r="H152" s="156"/>
      <c r="I152" s="156"/>
      <c r="J152" s="156"/>
      <c r="K152" s="163"/>
    </row>
    <row r="153">
      <c r="A153" s="154"/>
      <c r="B153" s="155"/>
      <c r="C153" s="155"/>
      <c r="D153" s="156" t="s">
        <v>140</v>
      </c>
      <c r="E153" s="156" t="s">
        <v>4726</v>
      </c>
      <c r="F153" s="155"/>
      <c r="G153" s="157" t="n">
        <v>2</v>
      </c>
      <c r="H153" s="155"/>
      <c r="I153" s="155"/>
      <c r="J153" s="155"/>
      <c r="K153" s="146"/>
    </row>
    <row r="154">
      <c r="A154" s="9" t="s">
        <v>525</v>
      </c>
      <c r="B154" s="10" t="s">
        <v>93</v>
      </c>
      <c r="C154" s="10" t="s">
        <v>4776</v>
      </c>
      <c r="D154" s="14" t="s">
        <v>4777</v>
      </c>
      <c r="E154" s="10"/>
      <c r="F154" s="10" t="s">
        <v>133</v>
      </c>
      <c r="G154" s="111">
        <f>'Stavební rozpočet'!G2993</f>
      </c>
      <c r="H154" s="111">
        <f>'Stavební rozpočet'!H2993</f>
      </c>
      <c r="I154" s="111">
        <f>G154*H154</f>
      </c>
      <c r="J154" s="153" t="s">
        <v>134</v>
      </c>
      <c r="K154" s="146"/>
      <c r="Z154" s="111">
        <f>IF(AQ154="5",BJ154,0)</f>
      </c>
      <c r="AB154" s="111">
        <f>IF(AQ154="1",BH154,0)</f>
      </c>
      <c r="AC154" s="111">
        <f>IF(AQ154="1",BI154,0)</f>
      </c>
      <c r="AD154" s="111">
        <f>IF(AQ154="7",BH154,0)</f>
      </c>
      <c r="AE154" s="111">
        <f>IF(AQ154="7",BI154,0)</f>
      </c>
      <c r="AF154" s="111">
        <f>IF(AQ154="2",BH154,0)</f>
      </c>
      <c r="AG154" s="111">
        <f>IF(AQ154="2",BI154,0)</f>
      </c>
      <c r="AH154" s="111">
        <f>IF(AQ154="0",BJ154,0)</f>
      </c>
      <c r="AI154" s="132" t="s">
        <v>93</v>
      </c>
      <c r="AJ154" s="111">
        <f>IF(AN154=0,I154,0)</f>
      </c>
      <c r="AK154" s="111">
        <f>IF(AN154=12,I154,0)</f>
      </c>
      <c r="AL154" s="111">
        <f>IF(AN154=21,I154,0)</f>
      </c>
      <c r="AN154" s="111" t="n">
        <v>21</v>
      </c>
      <c r="AO154" s="111">
        <f>H154*0</f>
      </c>
      <c r="AP154" s="111">
        <f>H154*(1-0)</f>
      </c>
      <c r="AQ154" s="153" t="s">
        <v>140</v>
      </c>
      <c r="AV154" s="111">
        <f>AW154+AX154</f>
      </c>
      <c r="AW154" s="111">
        <f>G154*AO154</f>
      </c>
      <c r="AX154" s="111">
        <f>G154*AP154</f>
      </c>
      <c r="AY154" s="153" t="s">
        <v>4112</v>
      </c>
      <c r="AZ154" s="153" t="s">
        <v>4606</v>
      </c>
      <c r="BA154" s="132" t="s">
        <v>4594</v>
      </c>
      <c r="BC154" s="111">
        <f>AW154+AX154</f>
      </c>
      <c r="BD154" s="111">
        <f>H154/(100-BE154)*100</f>
      </c>
      <c r="BE154" s="111" t="n">
        <v>0</v>
      </c>
      <c r="BF154" s="111">
        <f>154</f>
      </c>
      <c r="BH154" s="111">
        <f>G154*AO154</f>
      </c>
      <c r="BI154" s="111">
        <f>G154*AP154</f>
      </c>
      <c r="BJ154" s="111">
        <f>G154*H154</f>
      </c>
      <c r="BK154" s="111"/>
      <c r="BL154" s="111"/>
      <c r="BW154" s="111" t="n">
        <v>21</v>
      </c>
      <c r="BX154" s="14" t="s">
        <v>4777</v>
      </c>
    </row>
    <row r="155" customHeight="true" ht="13.5">
      <c r="A155" s="159"/>
      <c r="C155" s="160" t="s">
        <v>146</v>
      </c>
      <c r="D155" s="161" t="s">
        <v>4778</v>
      </c>
      <c r="E155" s="156"/>
      <c r="F155" s="156"/>
      <c r="G155" s="156"/>
      <c r="H155" s="156"/>
      <c r="I155" s="156"/>
      <c r="J155" s="156"/>
      <c r="K155" s="163"/>
    </row>
    <row r="156">
      <c r="A156" s="154"/>
      <c r="B156" s="155"/>
      <c r="C156" s="155"/>
      <c r="D156" s="156" t="s">
        <v>156</v>
      </c>
      <c r="E156" s="156" t="s">
        <v>4726</v>
      </c>
      <c r="F156" s="155"/>
      <c r="G156" s="157" t="n">
        <v>5</v>
      </c>
      <c r="H156" s="155"/>
      <c r="I156" s="155"/>
      <c r="J156" s="155"/>
      <c r="K156" s="146"/>
    </row>
    <row r="157">
      <c r="A157" s="9" t="s">
        <v>531</v>
      </c>
      <c r="B157" s="10" t="s">
        <v>93</v>
      </c>
      <c r="C157" s="10" t="s">
        <v>4780</v>
      </c>
      <c r="D157" s="14" t="s">
        <v>4781</v>
      </c>
      <c r="E157" s="10"/>
      <c r="F157" s="10" t="s">
        <v>133</v>
      </c>
      <c r="G157" s="111">
        <f>'Stavební rozpočet'!G2996</f>
      </c>
      <c r="H157" s="111">
        <f>'Stavební rozpočet'!H2996</f>
      </c>
      <c r="I157" s="111">
        <f>G157*H157</f>
      </c>
      <c r="J157" s="153" t="s">
        <v>134</v>
      </c>
      <c r="K157" s="146"/>
      <c r="Z157" s="111">
        <f>IF(AQ157="5",BJ157,0)</f>
      </c>
      <c r="AB157" s="111">
        <f>IF(AQ157="1",BH157,0)</f>
      </c>
      <c r="AC157" s="111">
        <f>IF(AQ157="1",BI157,0)</f>
      </c>
      <c r="AD157" s="111">
        <f>IF(AQ157="7",BH157,0)</f>
      </c>
      <c r="AE157" s="111">
        <f>IF(AQ157="7",BI157,0)</f>
      </c>
      <c r="AF157" s="111">
        <f>IF(AQ157="2",BH157,0)</f>
      </c>
      <c r="AG157" s="111">
        <f>IF(AQ157="2",BI157,0)</f>
      </c>
      <c r="AH157" s="111">
        <f>IF(AQ157="0",BJ157,0)</f>
      </c>
      <c r="AI157" s="132" t="s">
        <v>93</v>
      </c>
      <c r="AJ157" s="111">
        <f>IF(AN157=0,I157,0)</f>
      </c>
      <c r="AK157" s="111">
        <f>IF(AN157=12,I157,0)</f>
      </c>
      <c r="AL157" s="111">
        <f>IF(AN157=21,I157,0)</f>
      </c>
      <c r="AN157" s="111" t="n">
        <v>21</v>
      </c>
      <c r="AO157" s="111">
        <f>H157*0</f>
      </c>
      <c r="AP157" s="111">
        <f>H157*(1-0)</f>
      </c>
      <c r="AQ157" s="153" t="s">
        <v>140</v>
      </c>
      <c r="AV157" s="111">
        <f>AW157+AX157</f>
      </c>
      <c r="AW157" s="111">
        <f>G157*AO157</f>
      </c>
      <c r="AX157" s="111">
        <f>G157*AP157</f>
      </c>
      <c r="AY157" s="153" t="s">
        <v>4112</v>
      </c>
      <c r="AZ157" s="153" t="s">
        <v>4606</v>
      </c>
      <c r="BA157" s="132" t="s">
        <v>4594</v>
      </c>
      <c r="BC157" s="111">
        <f>AW157+AX157</f>
      </c>
      <c r="BD157" s="111">
        <f>H157/(100-BE157)*100</f>
      </c>
      <c r="BE157" s="111" t="n">
        <v>0</v>
      </c>
      <c r="BF157" s="111">
        <f>157</f>
      </c>
      <c r="BH157" s="111">
        <f>G157*AO157</f>
      </c>
      <c r="BI157" s="111">
        <f>G157*AP157</f>
      </c>
      <c r="BJ157" s="111">
        <f>G157*H157</f>
      </c>
      <c r="BK157" s="111"/>
      <c r="BL157" s="111"/>
      <c r="BW157" s="111" t="n">
        <v>21</v>
      </c>
      <c r="BX157" s="14" t="s">
        <v>4781</v>
      </c>
    </row>
    <row r="158" customHeight="true" ht="13.5">
      <c r="A158" s="159"/>
      <c r="C158" s="160" t="s">
        <v>146</v>
      </c>
      <c r="D158" s="161" t="s">
        <v>4782</v>
      </c>
      <c r="E158" s="156"/>
      <c r="F158" s="156"/>
      <c r="G158" s="156"/>
      <c r="H158" s="156"/>
      <c r="I158" s="156"/>
      <c r="J158" s="156"/>
      <c r="K158" s="163"/>
    </row>
    <row r="159">
      <c r="A159" s="154"/>
      <c r="B159" s="155"/>
      <c r="C159" s="155"/>
      <c r="D159" s="156" t="s">
        <v>255</v>
      </c>
      <c r="E159" s="156" t="s">
        <v>4726</v>
      </c>
      <c r="F159" s="155"/>
      <c r="G159" s="157" t="n">
        <v>20</v>
      </c>
      <c r="H159" s="155"/>
      <c r="I159" s="155"/>
      <c r="J159" s="155"/>
      <c r="K159" s="146"/>
    </row>
    <row r="160">
      <c r="A160" s="9" t="s">
        <v>534</v>
      </c>
      <c r="B160" s="10" t="s">
        <v>93</v>
      </c>
      <c r="C160" s="10" t="s">
        <v>4784</v>
      </c>
      <c r="D160" s="14" t="s">
        <v>4785</v>
      </c>
      <c r="E160" s="10"/>
      <c r="F160" s="10" t="s">
        <v>133</v>
      </c>
      <c r="G160" s="111">
        <f>'Stavební rozpočet'!G2999</f>
      </c>
      <c r="H160" s="111">
        <f>'Stavební rozpočet'!H2999</f>
      </c>
      <c r="I160" s="111">
        <f>G160*H160</f>
      </c>
      <c r="J160" s="153" t="s">
        <v>134</v>
      </c>
      <c r="K160" s="146"/>
      <c r="Z160" s="111">
        <f>IF(AQ160="5",BJ160,0)</f>
      </c>
      <c r="AB160" s="111">
        <f>IF(AQ160="1",BH160,0)</f>
      </c>
      <c r="AC160" s="111">
        <f>IF(AQ160="1",BI160,0)</f>
      </c>
      <c r="AD160" s="111">
        <f>IF(AQ160="7",BH160,0)</f>
      </c>
      <c r="AE160" s="111">
        <f>IF(AQ160="7",BI160,0)</f>
      </c>
      <c r="AF160" s="111">
        <f>IF(AQ160="2",BH160,0)</f>
      </c>
      <c r="AG160" s="111">
        <f>IF(AQ160="2",BI160,0)</f>
      </c>
      <c r="AH160" s="111">
        <f>IF(AQ160="0",BJ160,0)</f>
      </c>
      <c r="AI160" s="132" t="s">
        <v>93</v>
      </c>
      <c r="AJ160" s="111">
        <f>IF(AN160=0,I160,0)</f>
      </c>
      <c r="AK160" s="111">
        <f>IF(AN160=12,I160,0)</f>
      </c>
      <c r="AL160" s="111">
        <f>IF(AN160=21,I160,0)</f>
      </c>
      <c r="AN160" s="111" t="n">
        <v>21</v>
      </c>
      <c r="AO160" s="111">
        <f>H160*0</f>
      </c>
      <c r="AP160" s="111">
        <f>H160*(1-0)</f>
      </c>
      <c r="AQ160" s="153" t="s">
        <v>140</v>
      </c>
      <c r="AV160" s="111">
        <f>AW160+AX160</f>
      </c>
      <c r="AW160" s="111">
        <f>G160*AO160</f>
      </c>
      <c r="AX160" s="111">
        <f>G160*AP160</f>
      </c>
      <c r="AY160" s="153" t="s">
        <v>4112</v>
      </c>
      <c r="AZ160" s="153" t="s">
        <v>4606</v>
      </c>
      <c r="BA160" s="132" t="s">
        <v>4594</v>
      </c>
      <c r="BC160" s="111">
        <f>AW160+AX160</f>
      </c>
      <c r="BD160" s="111">
        <f>H160/(100-BE160)*100</f>
      </c>
      <c r="BE160" s="111" t="n">
        <v>0</v>
      </c>
      <c r="BF160" s="111">
        <f>160</f>
      </c>
      <c r="BH160" s="111">
        <f>G160*AO160</f>
      </c>
      <c r="BI160" s="111">
        <f>G160*AP160</f>
      </c>
      <c r="BJ160" s="111">
        <f>G160*H160</f>
      </c>
      <c r="BK160" s="111"/>
      <c r="BL160" s="111"/>
      <c r="BW160" s="111" t="n">
        <v>21</v>
      </c>
      <c r="BX160" s="14" t="s">
        <v>4785</v>
      </c>
    </row>
    <row r="161" customHeight="true" ht="13.5">
      <c r="A161" s="159"/>
      <c r="C161" s="160" t="s">
        <v>146</v>
      </c>
      <c r="D161" s="161" t="s">
        <v>4786</v>
      </c>
      <c r="E161" s="156"/>
      <c r="F161" s="156"/>
      <c r="G161" s="156"/>
      <c r="H161" s="156"/>
      <c r="I161" s="156"/>
      <c r="J161" s="156"/>
      <c r="K161" s="163"/>
    </row>
    <row r="162">
      <c r="A162" s="154"/>
      <c r="B162" s="155"/>
      <c r="C162" s="155"/>
      <c r="D162" s="156" t="s">
        <v>149</v>
      </c>
      <c r="E162" s="156" t="s">
        <v>4726</v>
      </c>
      <c r="F162" s="155"/>
      <c r="G162" s="157" t="n">
        <v>4</v>
      </c>
      <c r="H162" s="155"/>
      <c r="I162" s="155"/>
      <c r="J162" s="155"/>
      <c r="K162" s="146"/>
    </row>
    <row r="163">
      <c r="A163" s="9" t="s">
        <v>539</v>
      </c>
      <c r="B163" s="10" t="s">
        <v>93</v>
      </c>
      <c r="C163" s="10" t="s">
        <v>4788</v>
      </c>
      <c r="D163" s="14" t="s">
        <v>4789</v>
      </c>
      <c r="E163" s="10"/>
      <c r="F163" s="10" t="s">
        <v>133</v>
      </c>
      <c r="G163" s="111">
        <f>'Stavební rozpočet'!G3002</f>
      </c>
      <c r="H163" s="111">
        <f>'Stavební rozpočet'!H3002</f>
      </c>
      <c r="I163" s="111">
        <f>G163*H163</f>
      </c>
      <c r="J163" s="153" t="s">
        <v>134</v>
      </c>
      <c r="K163" s="146"/>
      <c r="Z163" s="111">
        <f>IF(AQ163="5",BJ163,0)</f>
      </c>
      <c r="AB163" s="111">
        <f>IF(AQ163="1",BH163,0)</f>
      </c>
      <c r="AC163" s="111">
        <f>IF(AQ163="1",BI163,0)</f>
      </c>
      <c r="AD163" s="111">
        <f>IF(AQ163="7",BH163,0)</f>
      </c>
      <c r="AE163" s="111">
        <f>IF(AQ163="7",BI163,0)</f>
      </c>
      <c r="AF163" s="111">
        <f>IF(AQ163="2",BH163,0)</f>
      </c>
      <c r="AG163" s="111">
        <f>IF(AQ163="2",BI163,0)</f>
      </c>
      <c r="AH163" s="111">
        <f>IF(AQ163="0",BJ163,0)</f>
      </c>
      <c r="AI163" s="132" t="s">
        <v>93</v>
      </c>
      <c r="AJ163" s="111">
        <f>IF(AN163=0,I163,0)</f>
      </c>
      <c r="AK163" s="111">
        <f>IF(AN163=12,I163,0)</f>
      </c>
      <c r="AL163" s="111">
        <f>IF(AN163=21,I163,0)</f>
      </c>
      <c r="AN163" s="111" t="n">
        <v>21</v>
      </c>
      <c r="AO163" s="111">
        <f>H163*0</f>
      </c>
      <c r="AP163" s="111">
        <f>H163*(1-0)</f>
      </c>
      <c r="AQ163" s="153" t="s">
        <v>140</v>
      </c>
      <c r="AV163" s="111">
        <f>AW163+AX163</f>
      </c>
      <c r="AW163" s="111">
        <f>G163*AO163</f>
      </c>
      <c r="AX163" s="111">
        <f>G163*AP163</f>
      </c>
      <c r="AY163" s="153" t="s">
        <v>4112</v>
      </c>
      <c r="AZ163" s="153" t="s">
        <v>4606</v>
      </c>
      <c r="BA163" s="132" t="s">
        <v>4594</v>
      </c>
      <c r="BC163" s="111">
        <f>AW163+AX163</f>
      </c>
      <c r="BD163" s="111">
        <f>H163/(100-BE163)*100</f>
      </c>
      <c r="BE163" s="111" t="n">
        <v>0</v>
      </c>
      <c r="BF163" s="111">
        <f>163</f>
      </c>
      <c r="BH163" s="111">
        <f>G163*AO163</f>
      </c>
      <c r="BI163" s="111">
        <f>G163*AP163</f>
      </c>
      <c r="BJ163" s="111">
        <f>G163*H163</f>
      </c>
      <c r="BK163" s="111"/>
      <c r="BL163" s="111"/>
      <c r="BW163" s="111" t="n">
        <v>21</v>
      </c>
      <c r="BX163" s="14" t="s">
        <v>4789</v>
      </c>
    </row>
    <row r="164" customHeight="true" ht="13.5">
      <c r="A164" s="159"/>
      <c r="C164" s="160" t="s">
        <v>146</v>
      </c>
      <c r="D164" s="161" t="s">
        <v>4790</v>
      </c>
      <c r="E164" s="156"/>
      <c r="F164" s="156"/>
      <c r="G164" s="156"/>
      <c r="H164" s="156"/>
      <c r="I164" s="156"/>
      <c r="J164" s="156"/>
      <c r="K164" s="163"/>
    </row>
    <row r="165">
      <c r="A165" s="154"/>
      <c r="B165" s="155"/>
      <c r="C165" s="155"/>
      <c r="D165" s="156" t="s">
        <v>149</v>
      </c>
      <c r="E165" s="156" t="s">
        <v>4726</v>
      </c>
      <c r="F165" s="155"/>
      <c r="G165" s="157" t="n">
        <v>4</v>
      </c>
      <c r="H165" s="155"/>
      <c r="I165" s="155"/>
      <c r="J165" s="155"/>
      <c r="K165" s="146"/>
    </row>
    <row r="166">
      <c r="A166" s="9" t="s">
        <v>543</v>
      </c>
      <c r="B166" s="10" t="s">
        <v>93</v>
      </c>
      <c r="C166" s="10" t="s">
        <v>4792</v>
      </c>
      <c r="D166" s="14" t="s">
        <v>4793</v>
      </c>
      <c r="E166" s="10"/>
      <c r="F166" s="10" t="s">
        <v>133</v>
      </c>
      <c r="G166" s="111">
        <f>'Stavební rozpočet'!G3005</f>
      </c>
      <c r="H166" s="111">
        <f>'Stavební rozpočet'!H3005</f>
      </c>
      <c r="I166" s="111">
        <f>G166*H166</f>
      </c>
      <c r="J166" s="153" t="s">
        <v>134</v>
      </c>
      <c r="K166" s="146"/>
      <c r="Z166" s="111">
        <f>IF(AQ166="5",BJ166,0)</f>
      </c>
      <c r="AB166" s="111">
        <f>IF(AQ166="1",BH166,0)</f>
      </c>
      <c r="AC166" s="111">
        <f>IF(AQ166="1",BI166,0)</f>
      </c>
      <c r="AD166" s="111">
        <f>IF(AQ166="7",BH166,0)</f>
      </c>
      <c r="AE166" s="111">
        <f>IF(AQ166="7",BI166,0)</f>
      </c>
      <c r="AF166" s="111">
        <f>IF(AQ166="2",BH166,0)</f>
      </c>
      <c r="AG166" s="111">
        <f>IF(AQ166="2",BI166,0)</f>
      </c>
      <c r="AH166" s="111">
        <f>IF(AQ166="0",BJ166,0)</f>
      </c>
      <c r="AI166" s="132" t="s">
        <v>93</v>
      </c>
      <c r="AJ166" s="111">
        <f>IF(AN166=0,I166,0)</f>
      </c>
      <c r="AK166" s="111">
        <f>IF(AN166=12,I166,0)</f>
      </c>
      <c r="AL166" s="111">
        <f>IF(AN166=21,I166,0)</f>
      </c>
      <c r="AN166" s="111" t="n">
        <v>21</v>
      </c>
      <c r="AO166" s="111">
        <f>H166*0</f>
      </c>
      <c r="AP166" s="111">
        <f>H166*(1-0)</f>
      </c>
      <c r="AQ166" s="153" t="s">
        <v>140</v>
      </c>
      <c r="AV166" s="111">
        <f>AW166+AX166</f>
      </c>
      <c r="AW166" s="111">
        <f>G166*AO166</f>
      </c>
      <c r="AX166" s="111">
        <f>G166*AP166</f>
      </c>
      <c r="AY166" s="153" t="s">
        <v>4112</v>
      </c>
      <c r="AZ166" s="153" t="s">
        <v>4606</v>
      </c>
      <c r="BA166" s="132" t="s">
        <v>4594</v>
      </c>
      <c r="BC166" s="111">
        <f>AW166+AX166</f>
      </c>
      <c r="BD166" s="111">
        <f>H166/(100-BE166)*100</f>
      </c>
      <c r="BE166" s="111" t="n">
        <v>0</v>
      </c>
      <c r="BF166" s="111">
        <f>166</f>
      </c>
      <c r="BH166" s="111">
        <f>G166*AO166</f>
      </c>
      <c r="BI166" s="111">
        <f>G166*AP166</f>
      </c>
      <c r="BJ166" s="111">
        <f>G166*H166</f>
      </c>
      <c r="BK166" s="111"/>
      <c r="BL166" s="111"/>
      <c r="BW166" s="111" t="n">
        <v>21</v>
      </c>
      <c r="BX166" s="14" t="s">
        <v>4793</v>
      </c>
    </row>
    <row r="167" customHeight="true" ht="13.5">
      <c r="A167" s="159"/>
      <c r="C167" s="160" t="s">
        <v>146</v>
      </c>
      <c r="D167" s="161" t="s">
        <v>4734</v>
      </c>
      <c r="E167" s="156"/>
      <c r="F167" s="156"/>
      <c r="G167" s="156"/>
      <c r="H167" s="156"/>
      <c r="I167" s="156"/>
      <c r="J167" s="156"/>
      <c r="K167" s="163"/>
    </row>
    <row r="168">
      <c r="A168" s="154"/>
      <c r="B168" s="155"/>
      <c r="C168" s="155"/>
      <c r="D168" s="156" t="s">
        <v>130</v>
      </c>
      <c r="E168" s="156" t="s">
        <v>4726</v>
      </c>
      <c r="F168" s="155"/>
      <c r="G168" s="157" t="n">
        <v>1</v>
      </c>
      <c r="H168" s="155"/>
      <c r="I168" s="155"/>
      <c r="J168" s="155"/>
      <c r="K168" s="146"/>
    </row>
    <row r="169">
      <c r="A169" s="9" t="s">
        <v>546</v>
      </c>
      <c r="B169" s="10" t="s">
        <v>93</v>
      </c>
      <c r="C169" s="10" t="s">
        <v>4795</v>
      </c>
      <c r="D169" s="14" t="s">
        <v>4796</v>
      </c>
      <c r="E169" s="10"/>
      <c r="F169" s="10" t="s">
        <v>133</v>
      </c>
      <c r="G169" s="111">
        <f>'Stavební rozpočet'!G3008</f>
      </c>
      <c r="H169" s="111">
        <f>'Stavební rozpočet'!H3008</f>
      </c>
      <c r="I169" s="111">
        <f>G169*H169</f>
      </c>
      <c r="J169" s="153" t="s">
        <v>134</v>
      </c>
      <c r="K169" s="146"/>
      <c r="Z169" s="111">
        <f>IF(AQ169="5",BJ169,0)</f>
      </c>
      <c r="AB169" s="111">
        <f>IF(AQ169="1",BH169,0)</f>
      </c>
      <c r="AC169" s="111">
        <f>IF(AQ169="1",BI169,0)</f>
      </c>
      <c r="AD169" s="111">
        <f>IF(AQ169="7",BH169,0)</f>
      </c>
      <c r="AE169" s="111">
        <f>IF(AQ169="7",BI169,0)</f>
      </c>
      <c r="AF169" s="111">
        <f>IF(AQ169="2",BH169,0)</f>
      </c>
      <c r="AG169" s="111">
        <f>IF(AQ169="2",BI169,0)</f>
      </c>
      <c r="AH169" s="111">
        <f>IF(AQ169="0",BJ169,0)</f>
      </c>
      <c r="AI169" s="132" t="s">
        <v>93</v>
      </c>
      <c r="AJ169" s="111">
        <f>IF(AN169=0,I169,0)</f>
      </c>
      <c r="AK169" s="111">
        <f>IF(AN169=12,I169,0)</f>
      </c>
      <c r="AL169" s="111">
        <f>IF(AN169=21,I169,0)</f>
      </c>
      <c r="AN169" s="111" t="n">
        <v>21</v>
      </c>
      <c r="AO169" s="111">
        <f>H169*0</f>
      </c>
      <c r="AP169" s="111">
        <f>H169*(1-0)</f>
      </c>
      <c r="AQ169" s="153" t="s">
        <v>140</v>
      </c>
      <c r="AV169" s="111">
        <f>AW169+AX169</f>
      </c>
      <c r="AW169" s="111">
        <f>G169*AO169</f>
      </c>
      <c r="AX169" s="111">
        <f>G169*AP169</f>
      </c>
      <c r="AY169" s="153" t="s">
        <v>4112</v>
      </c>
      <c r="AZ169" s="153" t="s">
        <v>4606</v>
      </c>
      <c r="BA169" s="132" t="s">
        <v>4594</v>
      </c>
      <c r="BC169" s="111">
        <f>AW169+AX169</f>
      </c>
      <c r="BD169" s="111">
        <f>H169/(100-BE169)*100</f>
      </c>
      <c r="BE169" s="111" t="n">
        <v>0</v>
      </c>
      <c r="BF169" s="111">
        <f>169</f>
      </c>
      <c r="BH169" s="111">
        <f>G169*AO169</f>
      </c>
      <c r="BI169" s="111">
        <f>G169*AP169</f>
      </c>
      <c r="BJ169" s="111">
        <f>G169*H169</f>
      </c>
      <c r="BK169" s="111"/>
      <c r="BL169" s="111"/>
      <c r="BW169" s="111" t="n">
        <v>21</v>
      </c>
      <c r="BX169" s="14" t="s">
        <v>4796</v>
      </c>
    </row>
    <row r="170" customHeight="true" ht="13.5">
      <c r="A170" s="159"/>
      <c r="C170" s="160" t="s">
        <v>146</v>
      </c>
      <c r="D170" s="161" t="s">
        <v>4734</v>
      </c>
      <c r="E170" s="156"/>
      <c r="F170" s="156"/>
      <c r="G170" s="156"/>
      <c r="H170" s="156"/>
      <c r="I170" s="156"/>
      <c r="J170" s="156"/>
      <c r="K170" s="163"/>
    </row>
    <row r="171">
      <c r="A171" s="9" t="s">
        <v>549</v>
      </c>
      <c r="B171" s="10" t="s">
        <v>93</v>
      </c>
      <c r="C171" s="10" t="s">
        <v>4798</v>
      </c>
      <c r="D171" s="14" t="s">
        <v>4799</v>
      </c>
      <c r="E171" s="10"/>
      <c r="F171" s="10" t="s">
        <v>133</v>
      </c>
      <c r="G171" s="111">
        <f>'Stavební rozpočet'!G3010</f>
      </c>
      <c r="H171" s="111">
        <f>'Stavební rozpočet'!H3010</f>
      </c>
      <c r="I171" s="111">
        <f>G171*H171</f>
      </c>
      <c r="J171" s="153" t="s">
        <v>134</v>
      </c>
      <c r="K171" s="146"/>
      <c r="Z171" s="111">
        <f>IF(AQ171="5",BJ171,0)</f>
      </c>
      <c r="AB171" s="111">
        <f>IF(AQ171="1",BH171,0)</f>
      </c>
      <c r="AC171" s="111">
        <f>IF(AQ171="1",BI171,0)</f>
      </c>
      <c r="AD171" s="111">
        <f>IF(AQ171="7",BH171,0)</f>
      </c>
      <c r="AE171" s="111">
        <f>IF(AQ171="7",BI171,0)</f>
      </c>
      <c r="AF171" s="111">
        <f>IF(AQ171="2",BH171,0)</f>
      </c>
      <c r="AG171" s="111">
        <f>IF(AQ171="2",BI171,0)</f>
      </c>
      <c r="AH171" s="111">
        <f>IF(AQ171="0",BJ171,0)</f>
      </c>
      <c r="AI171" s="132" t="s">
        <v>93</v>
      </c>
      <c r="AJ171" s="111">
        <f>IF(AN171=0,I171,0)</f>
      </c>
      <c r="AK171" s="111">
        <f>IF(AN171=12,I171,0)</f>
      </c>
      <c r="AL171" s="111">
        <f>IF(AN171=21,I171,0)</f>
      </c>
      <c r="AN171" s="111" t="n">
        <v>21</v>
      </c>
      <c r="AO171" s="111">
        <f>H171*0.829790419</f>
      </c>
      <c r="AP171" s="111">
        <f>H171*(1-0.829790419)</f>
      </c>
      <c r="AQ171" s="153" t="s">
        <v>140</v>
      </c>
      <c r="AV171" s="111">
        <f>AW171+AX171</f>
      </c>
      <c r="AW171" s="111">
        <f>G171*AO171</f>
      </c>
      <c r="AX171" s="111">
        <f>G171*AP171</f>
      </c>
      <c r="AY171" s="153" t="s">
        <v>4112</v>
      </c>
      <c r="AZ171" s="153" t="s">
        <v>4606</v>
      </c>
      <c r="BA171" s="132" t="s">
        <v>4594</v>
      </c>
      <c r="BC171" s="111">
        <f>AW171+AX171</f>
      </c>
      <c r="BD171" s="111">
        <f>H171/(100-BE171)*100</f>
      </c>
      <c r="BE171" s="111" t="n">
        <v>0</v>
      </c>
      <c r="BF171" s="111">
        <f>171</f>
      </c>
      <c r="BH171" s="111">
        <f>G171*AO171</f>
      </c>
      <c r="BI171" s="111">
        <f>G171*AP171</f>
      </c>
      <c r="BJ171" s="111">
        <f>G171*H171</f>
      </c>
      <c r="BK171" s="111"/>
      <c r="BL171" s="111"/>
      <c r="BW171" s="111" t="n">
        <v>21</v>
      </c>
      <c r="BX171" s="14" t="s">
        <v>4799</v>
      </c>
    </row>
    <row r="172" customHeight="true" ht="13.5">
      <c r="A172" s="159"/>
      <c r="C172" s="160" t="s">
        <v>146</v>
      </c>
      <c r="D172" s="161" t="s">
        <v>4800</v>
      </c>
      <c r="E172" s="156"/>
      <c r="F172" s="156"/>
      <c r="G172" s="156"/>
      <c r="H172" s="156"/>
      <c r="I172" s="156"/>
      <c r="J172" s="156"/>
      <c r="K172" s="163"/>
    </row>
    <row r="173">
      <c r="A173" s="9" t="s">
        <v>556</v>
      </c>
      <c r="B173" s="10" t="s">
        <v>93</v>
      </c>
      <c r="C173" s="10" t="s">
        <v>4802</v>
      </c>
      <c r="D173" s="14" t="s">
        <v>4803</v>
      </c>
      <c r="E173" s="10"/>
      <c r="F173" s="10" t="s">
        <v>133</v>
      </c>
      <c r="G173" s="111">
        <f>'Stavební rozpočet'!G3012</f>
      </c>
      <c r="H173" s="111">
        <f>'Stavební rozpočet'!H3012</f>
      </c>
      <c r="I173" s="111">
        <f>G173*H173</f>
      </c>
      <c r="J173" s="153" t="s">
        <v>134</v>
      </c>
      <c r="K173" s="146"/>
      <c r="Z173" s="111">
        <f>IF(AQ173="5",BJ173,0)</f>
      </c>
      <c r="AB173" s="111">
        <f>IF(AQ173="1",BH173,0)</f>
      </c>
      <c r="AC173" s="111">
        <f>IF(AQ173="1",BI173,0)</f>
      </c>
      <c r="AD173" s="111">
        <f>IF(AQ173="7",BH173,0)</f>
      </c>
      <c r="AE173" s="111">
        <f>IF(AQ173="7",BI173,0)</f>
      </c>
      <c r="AF173" s="111">
        <f>IF(AQ173="2",BH173,0)</f>
      </c>
      <c r="AG173" s="111">
        <f>IF(AQ173="2",BI173,0)</f>
      </c>
      <c r="AH173" s="111">
        <f>IF(AQ173="0",BJ173,0)</f>
      </c>
      <c r="AI173" s="132" t="s">
        <v>93</v>
      </c>
      <c r="AJ173" s="111">
        <f>IF(AN173=0,I173,0)</f>
      </c>
      <c r="AK173" s="111">
        <f>IF(AN173=12,I173,0)</f>
      </c>
      <c r="AL173" s="111">
        <f>IF(AN173=21,I173,0)</f>
      </c>
      <c r="AN173" s="111" t="n">
        <v>21</v>
      </c>
      <c r="AO173" s="111">
        <f>H173*0.6159367</f>
      </c>
      <c r="AP173" s="111">
        <f>H173*(1-0.6159367)</f>
      </c>
      <c r="AQ173" s="153" t="s">
        <v>140</v>
      </c>
      <c r="AV173" s="111">
        <f>AW173+AX173</f>
      </c>
      <c r="AW173" s="111">
        <f>G173*AO173</f>
      </c>
      <c r="AX173" s="111">
        <f>G173*AP173</f>
      </c>
      <c r="AY173" s="153" t="s">
        <v>4112</v>
      </c>
      <c r="AZ173" s="153" t="s">
        <v>4606</v>
      </c>
      <c r="BA173" s="132" t="s">
        <v>4594</v>
      </c>
      <c r="BC173" s="111">
        <f>AW173+AX173</f>
      </c>
      <c r="BD173" s="111">
        <f>H173/(100-BE173)*100</f>
      </c>
      <c r="BE173" s="111" t="n">
        <v>0</v>
      </c>
      <c r="BF173" s="111">
        <f>173</f>
      </c>
      <c r="BH173" s="111">
        <f>G173*AO173</f>
      </c>
      <c r="BI173" s="111">
        <f>G173*AP173</f>
      </c>
      <c r="BJ173" s="111">
        <f>G173*H173</f>
      </c>
      <c r="BK173" s="111"/>
      <c r="BL173" s="111"/>
      <c r="BW173" s="111" t="n">
        <v>21</v>
      </c>
      <c r="BX173" s="14" t="s">
        <v>4803</v>
      </c>
    </row>
    <row r="174" customHeight="true" ht="13.5">
      <c r="A174" s="159"/>
      <c r="C174" s="160" t="s">
        <v>146</v>
      </c>
      <c r="D174" s="161" t="s">
        <v>4804</v>
      </c>
      <c r="E174" s="156"/>
      <c r="F174" s="156"/>
      <c r="G174" s="156"/>
      <c r="H174" s="156"/>
      <c r="I174" s="156"/>
      <c r="J174" s="156"/>
      <c r="K174" s="163"/>
    </row>
    <row r="175">
      <c r="A175" s="9" t="s">
        <v>568</v>
      </c>
      <c r="B175" s="10" t="s">
        <v>93</v>
      </c>
      <c r="C175" s="10" t="s">
        <v>4806</v>
      </c>
      <c r="D175" s="14" t="s">
        <v>4807</v>
      </c>
      <c r="E175" s="10"/>
      <c r="F175" s="10" t="s">
        <v>133</v>
      </c>
      <c r="G175" s="111">
        <f>'Stavební rozpočet'!G3014</f>
      </c>
      <c r="H175" s="111">
        <f>'Stavební rozpočet'!H3014</f>
      </c>
      <c r="I175" s="111">
        <f>G175*H175</f>
      </c>
      <c r="J175" s="153" t="s">
        <v>134</v>
      </c>
      <c r="K175" s="146"/>
      <c r="Z175" s="111">
        <f>IF(AQ175="5",BJ175,0)</f>
      </c>
      <c r="AB175" s="111">
        <f>IF(AQ175="1",BH175,0)</f>
      </c>
      <c r="AC175" s="111">
        <f>IF(AQ175="1",BI175,0)</f>
      </c>
      <c r="AD175" s="111">
        <f>IF(AQ175="7",BH175,0)</f>
      </c>
      <c r="AE175" s="111">
        <f>IF(AQ175="7",BI175,0)</f>
      </c>
      <c r="AF175" s="111">
        <f>IF(AQ175="2",BH175,0)</f>
      </c>
      <c r="AG175" s="111">
        <f>IF(AQ175="2",BI175,0)</f>
      </c>
      <c r="AH175" s="111">
        <f>IF(AQ175="0",BJ175,0)</f>
      </c>
      <c r="AI175" s="132" t="s">
        <v>93</v>
      </c>
      <c r="AJ175" s="111">
        <f>IF(AN175=0,I175,0)</f>
      </c>
      <c r="AK175" s="111">
        <f>IF(AN175=12,I175,0)</f>
      </c>
      <c r="AL175" s="111">
        <f>IF(AN175=21,I175,0)</f>
      </c>
      <c r="AN175" s="111" t="n">
        <v>21</v>
      </c>
      <c r="AO175" s="111">
        <f>H175*0.743745244</f>
      </c>
      <c r="AP175" s="111">
        <f>H175*(1-0.743745244)</f>
      </c>
      <c r="AQ175" s="153" t="s">
        <v>140</v>
      </c>
      <c r="AV175" s="111">
        <f>AW175+AX175</f>
      </c>
      <c r="AW175" s="111">
        <f>G175*AO175</f>
      </c>
      <c r="AX175" s="111">
        <f>G175*AP175</f>
      </c>
      <c r="AY175" s="153" t="s">
        <v>4112</v>
      </c>
      <c r="AZ175" s="153" t="s">
        <v>4606</v>
      </c>
      <c r="BA175" s="132" t="s">
        <v>4594</v>
      </c>
      <c r="BC175" s="111">
        <f>AW175+AX175</f>
      </c>
      <c r="BD175" s="111">
        <f>H175/(100-BE175)*100</f>
      </c>
      <c r="BE175" s="111" t="n">
        <v>0</v>
      </c>
      <c r="BF175" s="111">
        <f>175</f>
      </c>
      <c r="BH175" s="111">
        <f>G175*AO175</f>
      </c>
      <c r="BI175" s="111">
        <f>G175*AP175</f>
      </c>
      <c r="BJ175" s="111">
        <f>G175*H175</f>
      </c>
      <c r="BK175" s="111"/>
      <c r="BL175" s="111"/>
      <c r="BW175" s="111" t="n">
        <v>21</v>
      </c>
      <c r="BX175" s="14" t="s">
        <v>4807</v>
      </c>
    </row>
    <row r="176" customHeight="true" ht="13.5">
      <c r="A176" s="159"/>
      <c r="C176" s="160" t="s">
        <v>146</v>
      </c>
      <c r="D176" s="161" t="s">
        <v>4808</v>
      </c>
      <c r="E176" s="156"/>
      <c r="F176" s="156"/>
      <c r="G176" s="156"/>
      <c r="H176" s="156"/>
      <c r="I176" s="156"/>
      <c r="J176" s="156"/>
      <c r="K176" s="163"/>
    </row>
    <row r="177">
      <c r="A177" s="9" t="s">
        <v>576</v>
      </c>
      <c r="B177" s="10" t="s">
        <v>93</v>
      </c>
      <c r="C177" s="10" t="s">
        <v>4810</v>
      </c>
      <c r="D177" s="14" t="s">
        <v>4811</v>
      </c>
      <c r="E177" s="10"/>
      <c r="F177" s="10" t="s">
        <v>133</v>
      </c>
      <c r="G177" s="111">
        <f>'Stavební rozpočet'!G3016</f>
      </c>
      <c r="H177" s="111">
        <f>'Stavební rozpočet'!H3016</f>
      </c>
      <c r="I177" s="111">
        <f>G177*H177</f>
      </c>
      <c r="J177" s="153" t="s">
        <v>134</v>
      </c>
      <c r="K177" s="146"/>
      <c r="Z177" s="111">
        <f>IF(AQ177="5",BJ177,0)</f>
      </c>
      <c r="AB177" s="111">
        <f>IF(AQ177="1",BH177,0)</f>
      </c>
      <c r="AC177" s="111">
        <f>IF(AQ177="1",BI177,0)</f>
      </c>
      <c r="AD177" s="111">
        <f>IF(AQ177="7",BH177,0)</f>
      </c>
      <c r="AE177" s="111">
        <f>IF(AQ177="7",BI177,0)</f>
      </c>
      <c r="AF177" s="111">
        <f>IF(AQ177="2",BH177,0)</f>
      </c>
      <c r="AG177" s="111">
        <f>IF(AQ177="2",BI177,0)</f>
      </c>
      <c r="AH177" s="111">
        <f>IF(AQ177="0",BJ177,0)</f>
      </c>
      <c r="AI177" s="132" t="s">
        <v>93</v>
      </c>
      <c r="AJ177" s="111">
        <f>IF(AN177=0,I177,0)</f>
      </c>
      <c r="AK177" s="111">
        <f>IF(AN177=12,I177,0)</f>
      </c>
      <c r="AL177" s="111">
        <f>IF(AN177=21,I177,0)</f>
      </c>
      <c r="AN177" s="111" t="n">
        <v>21</v>
      </c>
      <c r="AO177" s="111">
        <f>H177*0.780112192</f>
      </c>
      <c r="AP177" s="111">
        <f>H177*(1-0.780112192)</f>
      </c>
      <c r="AQ177" s="153" t="s">
        <v>140</v>
      </c>
      <c r="AV177" s="111">
        <f>AW177+AX177</f>
      </c>
      <c r="AW177" s="111">
        <f>G177*AO177</f>
      </c>
      <c r="AX177" s="111">
        <f>G177*AP177</f>
      </c>
      <c r="AY177" s="153" t="s">
        <v>4112</v>
      </c>
      <c r="AZ177" s="153" t="s">
        <v>4606</v>
      </c>
      <c r="BA177" s="132" t="s">
        <v>4594</v>
      </c>
      <c r="BC177" s="111">
        <f>AW177+AX177</f>
      </c>
      <c r="BD177" s="111">
        <f>H177/(100-BE177)*100</f>
      </c>
      <c r="BE177" s="111" t="n">
        <v>0</v>
      </c>
      <c r="BF177" s="111">
        <f>177</f>
      </c>
      <c r="BH177" s="111">
        <f>G177*AO177</f>
      </c>
      <c r="BI177" s="111">
        <f>G177*AP177</f>
      </c>
      <c r="BJ177" s="111">
        <f>G177*H177</f>
      </c>
      <c r="BK177" s="111"/>
      <c r="BL177" s="111"/>
      <c r="BW177" s="111" t="n">
        <v>21</v>
      </c>
      <c r="BX177" s="14" t="s">
        <v>4811</v>
      </c>
    </row>
    <row r="178" customHeight="true" ht="13.5">
      <c r="A178" s="159"/>
      <c r="C178" s="160" t="s">
        <v>146</v>
      </c>
      <c r="D178" s="161" t="s">
        <v>4808</v>
      </c>
      <c r="E178" s="156"/>
      <c r="F178" s="156"/>
      <c r="G178" s="156"/>
      <c r="H178" s="156"/>
      <c r="I178" s="156"/>
      <c r="J178" s="156"/>
      <c r="K178" s="163"/>
    </row>
    <row r="179">
      <c r="A179" s="9" t="s">
        <v>581</v>
      </c>
      <c r="B179" s="10" t="s">
        <v>93</v>
      </c>
      <c r="C179" s="10" t="s">
        <v>4813</v>
      </c>
      <c r="D179" s="14" t="s">
        <v>4814</v>
      </c>
      <c r="E179" s="10"/>
      <c r="F179" s="10" t="s">
        <v>133</v>
      </c>
      <c r="G179" s="111">
        <f>'Stavební rozpočet'!G3018</f>
      </c>
      <c r="H179" s="111">
        <f>'Stavební rozpočet'!H3018</f>
      </c>
      <c r="I179" s="111">
        <f>G179*H179</f>
      </c>
      <c r="J179" s="153" t="s">
        <v>134</v>
      </c>
      <c r="K179" s="146"/>
      <c r="Z179" s="111">
        <f>IF(AQ179="5",BJ179,0)</f>
      </c>
      <c r="AB179" s="111">
        <f>IF(AQ179="1",BH179,0)</f>
      </c>
      <c r="AC179" s="111">
        <f>IF(AQ179="1",BI179,0)</f>
      </c>
      <c r="AD179" s="111">
        <f>IF(AQ179="7",BH179,0)</f>
      </c>
      <c r="AE179" s="111">
        <f>IF(AQ179="7",BI179,0)</f>
      </c>
      <c r="AF179" s="111">
        <f>IF(AQ179="2",BH179,0)</f>
      </c>
      <c r="AG179" s="111">
        <f>IF(AQ179="2",BI179,0)</f>
      </c>
      <c r="AH179" s="111">
        <f>IF(AQ179="0",BJ179,0)</f>
      </c>
      <c r="AI179" s="132" t="s">
        <v>93</v>
      </c>
      <c r="AJ179" s="111">
        <f>IF(AN179=0,I179,0)</f>
      </c>
      <c r="AK179" s="111">
        <f>IF(AN179=12,I179,0)</f>
      </c>
      <c r="AL179" s="111">
        <f>IF(AN179=21,I179,0)</f>
      </c>
      <c r="AN179" s="111" t="n">
        <v>21</v>
      </c>
      <c r="AO179" s="111">
        <f>H179*0.770286084</f>
      </c>
      <c r="AP179" s="111">
        <f>H179*(1-0.770286084)</f>
      </c>
      <c r="AQ179" s="153" t="s">
        <v>140</v>
      </c>
      <c r="AV179" s="111">
        <f>AW179+AX179</f>
      </c>
      <c r="AW179" s="111">
        <f>G179*AO179</f>
      </c>
      <c r="AX179" s="111">
        <f>G179*AP179</f>
      </c>
      <c r="AY179" s="153" t="s">
        <v>4112</v>
      </c>
      <c r="AZ179" s="153" t="s">
        <v>4606</v>
      </c>
      <c r="BA179" s="132" t="s">
        <v>4594</v>
      </c>
      <c r="BC179" s="111">
        <f>AW179+AX179</f>
      </c>
      <c r="BD179" s="111">
        <f>H179/(100-BE179)*100</f>
      </c>
      <c r="BE179" s="111" t="n">
        <v>0</v>
      </c>
      <c r="BF179" s="111">
        <f>179</f>
      </c>
      <c r="BH179" s="111">
        <f>G179*AO179</f>
      </c>
      <c r="BI179" s="111">
        <f>G179*AP179</f>
      </c>
      <c r="BJ179" s="111">
        <f>G179*H179</f>
      </c>
      <c r="BK179" s="111"/>
      <c r="BL179" s="111"/>
      <c r="BW179" s="111" t="n">
        <v>21</v>
      </c>
      <c r="BX179" s="14" t="s">
        <v>4814</v>
      </c>
    </row>
    <row r="180" customHeight="true" ht="13.5">
      <c r="A180" s="159"/>
      <c r="C180" s="160" t="s">
        <v>146</v>
      </c>
      <c r="D180" s="161" t="s">
        <v>4808</v>
      </c>
      <c r="E180" s="156"/>
      <c r="F180" s="156"/>
      <c r="G180" s="156"/>
      <c r="H180" s="156"/>
      <c r="I180" s="156"/>
      <c r="J180" s="156"/>
      <c r="K180" s="163"/>
    </row>
    <row r="181">
      <c r="A181" s="9" t="s">
        <v>589</v>
      </c>
      <c r="B181" s="10" t="s">
        <v>93</v>
      </c>
      <c r="C181" s="10" t="s">
        <v>4816</v>
      </c>
      <c r="D181" s="14" t="s">
        <v>4817</v>
      </c>
      <c r="E181" s="10"/>
      <c r="F181" s="10" t="s">
        <v>133</v>
      </c>
      <c r="G181" s="111">
        <f>'Stavební rozpočet'!G3020</f>
      </c>
      <c r="H181" s="111">
        <f>'Stavební rozpočet'!H3020</f>
      </c>
      <c r="I181" s="111">
        <f>G181*H181</f>
      </c>
      <c r="J181" s="153" t="s">
        <v>134</v>
      </c>
      <c r="K181" s="146"/>
      <c r="Z181" s="111">
        <f>IF(AQ181="5",BJ181,0)</f>
      </c>
      <c r="AB181" s="111">
        <f>IF(AQ181="1",BH181,0)</f>
      </c>
      <c r="AC181" s="111">
        <f>IF(AQ181="1",BI181,0)</f>
      </c>
      <c r="AD181" s="111">
        <f>IF(AQ181="7",BH181,0)</f>
      </c>
      <c r="AE181" s="111">
        <f>IF(AQ181="7",BI181,0)</f>
      </c>
      <c r="AF181" s="111">
        <f>IF(AQ181="2",BH181,0)</f>
      </c>
      <c r="AG181" s="111">
        <f>IF(AQ181="2",BI181,0)</f>
      </c>
      <c r="AH181" s="111">
        <f>IF(AQ181="0",BJ181,0)</f>
      </c>
      <c r="AI181" s="132" t="s">
        <v>93</v>
      </c>
      <c r="AJ181" s="111">
        <f>IF(AN181=0,I181,0)</f>
      </c>
      <c r="AK181" s="111">
        <f>IF(AN181=12,I181,0)</f>
      </c>
      <c r="AL181" s="111">
        <f>IF(AN181=21,I181,0)</f>
      </c>
      <c r="AN181" s="111" t="n">
        <v>21</v>
      </c>
      <c r="AO181" s="111">
        <f>H181*0</f>
      </c>
      <c r="AP181" s="111">
        <f>H181*(1-0)</f>
      </c>
      <c r="AQ181" s="153" t="s">
        <v>140</v>
      </c>
      <c r="AV181" s="111">
        <f>AW181+AX181</f>
      </c>
      <c r="AW181" s="111">
        <f>G181*AO181</f>
      </c>
      <c r="AX181" s="111">
        <f>G181*AP181</f>
      </c>
      <c r="AY181" s="153" t="s">
        <v>4112</v>
      </c>
      <c r="AZ181" s="153" t="s">
        <v>4606</v>
      </c>
      <c r="BA181" s="132" t="s">
        <v>4594</v>
      </c>
      <c r="BC181" s="111">
        <f>AW181+AX181</f>
      </c>
      <c r="BD181" s="111">
        <f>H181/(100-BE181)*100</f>
      </c>
      <c r="BE181" s="111" t="n">
        <v>0</v>
      </c>
      <c r="BF181" s="111">
        <f>181</f>
      </c>
      <c r="BH181" s="111">
        <f>G181*AO181</f>
      </c>
      <c r="BI181" s="111">
        <f>G181*AP181</f>
      </c>
      <c r="BJ181" s="111">
        <f>G181*H181</f>
      </c>
      <c r="BK181" s="111"/>
      <c r="BL181" s="111"/>
      <c r="BW181" s="111" t="n">
        <v>21</v>
      </c>
      <c r="BX181" s="14" t="s">
        <v>4817</v>
      </c>
    </row>
    <row r="182">
      <c r="A182" s="9" t="s">
        <v>597</v>
      </c>
      <c r="B182" s="10" t="s">
        <v>93</v>
      </c>
      <c r="C182" s="10" t="s">
        <v>4819</v>
      </c>
      <c r="D182" s="14" t="s">
        <v>4820</v>
      </c>
      <c r="E182" s="10"/>
      <c r="F182" s="10" t="s">
        <v>133</v>
      </c>
      <c r="G182" s="111">
        <f>'Stavební rozpočet'!G3021</f>
      </c>
      <c r="H182" s="111">
        <f>'Stavební rozpočet'!H3021</f>
      </c>
      <c r="I182" s="111">
        <f>G182*H182</f>
      </c>
      <c r="J182" s="153" t="s">
        <v>134</v>
      </c>
      <c r="K182" s="146"/>
      <c r="Z182" s="111">
        <f>IF(AQ182="5",BJ182,0)</f>
      </c>
      <c r="AB182" s="111">
        <f>IF(AQ182="1",BH182,0)</f>
      </c>
      <c r="AC182" s="111">
        <f>IF(AQ182="1",BI182,0)</f>
      </c>
      <c r="AD182" s="111">
        <f>IF(AQ182="7",BH182,0)</f>
      </c>
      <c r="AE182" s="111">
        <f>IF(AQ182="7",BI182,0)</f>
      </c>
      <c r="AF182" s="111">
        <f>IF(AQ182="2",BH182,0)</f>
      </c>
      <c r="AG182" s="111">
        <f>IF(AQ182="2",BI182,0)</f>
      </c>
      <c r="AH182" s="111">
        <f>IF(AQ182="0",BJ182,0)</f>
      </c>
      <c r="AI182" s="132" t="s">
        <v>93</v>
      </c>
      <c r="AJ182" s="111">
        <f>IF(AN182=0,I182,0)</f>
      </c>
      <c r="AK182" s="111">
        <f>IF(AN182=12,I182,0)</f>
      </c>
      <c r="AL182" s="111">
        <f>IF(AN182=21,I182,0)</f>
      </c>
      <c r="AN182" s="111" t="n">
        <v>21</v>
      </c>
      <c r="AO182" s="111">
        <f>H182*0</f>
      </c>
      <c r="AP182" s="111">
        <f>H182*(1-0)</f>
      </c>
      <c r="AQ182" s="153" t="s">
        <v>140</v>
      </c>
      <c r="AV182" s="111">
        <f>AW182+AX182</f>
      </c>
      <c r="AW182" s="111">
        <f>G182*AO182</f>
      </c>
      <c r="AX182" s="111">
        <f>G182*AP182</f>
      </c>
      <c r="AY182" s="153" t="s">
        <v>4112</v>
      </c>
      <c r="AZ182" s="153" t="s">
        <v>4606</v>
      </c>
      <c r="BA182" s="132" t="s">
        <v>4594</v>
      </c>
      <c r="BC182" s="111">
        <f>AW182+AX182</f>
      </c>
      <c r="BD182" s="111">
        <f>H182/(100-BE182)*100</f>
      </c>
      <c r="BE182" s="111" t="n">
        <v>0</v>
      </c>
      <c r="BF182" s="111">
        <f>182</f>
      </c>
      <c r="BH182" s="111">
        <f>G182*AO182</f>
      </c>
      <c r="BI182" s="111">
        <f>G182*AP182</f>
      </c>
      <c r="BJ182" s="111">
        <f>G182*H182</f>
      </c>
      <c r="BK182" s="111"/>
      <c r="BL182" s="111"/>
      <c r="BW182" s="111" t="n">
        <v>21</v>
      </c>
      <c r="BX182" s="14" t="s">
        <v>4820</v>
      </c>
    </row>
    <row r="183">
      <c r="A183" s="9" t="s">
        <v>607</v>
      </c>
      <c r="B183" s="10" t="s">
        <v>93</v>
      </c>
      <c r="C183" s="10" t="s">
        <v>4822</v>
      </c>
      <c r="D183" s="14" t="s">
        <v>4823</v>
      </c>
      <c r="E183" s="10"/>
      <c r="F183" s="10" t="s">
        <v>3860</v>
      </c>
      <c r="G183" s="111">
        <f>'Stavební rozpočet'!G3022</f>
      </c>
      <c r="H183" s="111">
        <f>'Stavební rozpočet'!H3022</f>
      </c>
      <c r="I183" s="111">
        <f>G183*H183</f>
      </c>
      <c r="J183" s="153" t="s">
        <v>134</v>
      </c>
      <c r="K183" s="146"/>
      <c r="Z183" s="111">
        <f>IF(AQ183="5",BJ183,0)</f>
      </c>
      <c r="AB183" s="111">
        <f>IF(AQ183="1",BH183,0)</f>
      </c>
      <c r="AC183" s="111">
        <f>IF(AQ183="1",BI183,0)</f>
      </c>
      <c r="AD183" s="111">
        <f>IF(AQ183="7",BH183,0)</f>
      </c>
      <c r="AE183" s="111">
        <f>IF(AQ183="7",BI183,0)</f>
      </c>
      <c r="AF183" s="111">
        <f>IF(AQ183="2",BH183,0)</f>
      </c>
      <c r="AG183" s="111">
        <f>IF(AQ183="2",BI183,0)</f>
      </c>
      <c r="AH183" s="111">
        <f>IF(AQ183="0",BJ183,0)</f>
      </c>
      <c r="AI183" s="132" t="s">
        <v>93</v>
      </c>
      <c r="AJ183" s="111">
        <f>IF(AN183=0,I183,0)</f>
      </c>
      <c r="AK183" s="111">
        <f>IF(AN183=12,I183,0)</f>
      </c>
      <c r="AL183" s="111">
        <f>IF(AN183=21,I183,0)</f>
      </c>
      <c r="AN183" s="111" t="n">
        <v>21</v>
      </c>
      <c r="AO183" s="111">
        <f>H183*0</f>
      </c>
      <c r="AP183" s="111">
        <f>H183*(1-0)</f>
      </c>
      <c r="AQ183" s="153" t="s">
        <v>140</v>
      </c>
      <c r="AV183" s="111">
        <f>AW183+AX183</f>
      </c>
      <c r="AW183" s="111">
        <f>G183*AO183</f>
      </c>
      <c r="AX183" s="111">
        <f>G183*AP183</f>
      </c>
      <c r="AY183" s="153" t="s">
        <v>4112</v>
      </c>
      <c r="AZ183" s="153" t="s">
        <v>4606</v>
      </c>
      <c r="BA183" s="132" t="s">
        <v>4594</v>
      </c>
      <c r="BC183" s="111">
        <f>AW183+AX183</f>
      </c>
      <c r="BD183" s="111">
        <f>H183/(100-BE183)*100</f>
      </c>
      <c r="BE183" s="111" t="n">
        <v>0</v>
      </c>
      <c r="BF183" s="111">
        <f>183</f>
      </c>
      <c r="BH183" s="111">
        <f>G183*AO183</f>
      </c>
      <c r="BI183" s="111">
        <f>G183*AP183</f>
      </c>
      <c r="BJ183" s="111">
        <f>G183*H183</f>
      </c>
      <c r="BK183" s="111"/>
      <c r="BL183" s="111"/>
      <c r="BW183" s="111" t="n">
        <v>21</v>
      </c>
      <c r="BX183" s="14" t="s">
        <v>4823</v>
      </c>
    </row>
    <row r="184" customHeight="true" ht="13.5">
      <c r="A184" s="159"/>
      <c r="C184" s="160" t="s">
        <v>146</v>
      </c>
      <c r="D184" s="161" t="s">
        <v>4824</v>
      </c>
      <c r="E184" s="156"/>
      <c r="F184" s="156"/>
      <c r="G184" s="156"/>
      <c r="H184" s="156"/>
      <c r="I184" s="156"/>
      <c r="J184" s="156"/>
      <c r="K184" s="163"/>
    </row>
    <row r="185">
      <c r="A185" s="154"/>
      <c r="B185" s="155"/>
      <c r="C185" s="155"/>
      <c r="D185" s="156" t="s">
        <v>130</v>
      </c>
      <c r="E185" s="156" t="s">
        <v>4825</v>
      </c>
      <c r="F185" s="155"/>
      <c r="G185" s="157" t="n">
        <v>1</v>
      </c>
      <c r="H185" s="155"/>
      <c r="I185" s="155"/>
      <c r="J185" s="155"/>
      <c r="K185" s="146"/>
    </row>
    <row r="186">
      <c r="A186" s="9" t="s">
        <v>613</v>
      </c>
      <c r="B186" s="10" t="s">
        <v>93</v>
      </c>
      <c r="C186" s="10" t="s">
        <v>4827</v>
      </c>
      <c r="D186" s="14" t="s">
        <v>4828</v>
      </c>
      <c r="E186" s="10"/>
      <c r="F186" s="10" t="s">
        <v>3860</v>
      </c>
      <c r="G186" s="111">
        <f>'Stavební rozpočet'!G3025</f>
      </c>
      <c r="H186" s="111">
        <f>'Stavební rozpočet'!H3025</f>
      </c>
      <c r="I186" s="111">
        <f>G186*H186</f>
      </c>
      <c r="J186" s="153" t="s">
        <v>134</v>
      </c>
      <c r="K186" s="146"/>
      <c r="Z186" s="111">
        <f>IF(AQ186="5",BJ186,0)</f>
      </c>
      <c r="AB186" s="111">
        <f>IF(AQ186="1",BH186,0)</f>
      </c>
      <c r="AC186" s="111">
        <f>IF(AQ186="1",BI186,0)</f>
      </c>
      <c r="AD186" s="111">
        <f>IF(AQ186="7",BH186,0)</f>
      </c>
      <c r="AE186" s="111">
        <f>IF(AQ186="7",BI186,0)</f>
      </c>
      <c r="AF186" s="111">
        <f>IF(AQ186="2",BH186,0)</f>
      </c>
      <c r="AG186" s="111">
        <f>IF(AQ186="2",BI186,0)</f>
      </c>
      <c r="AH186" s="111">
        <f>IF(AQ186="0",BJ186,0)</f>
      </c>
      <c r="AI186" s="132" t="s">
        <v>93</v>
      </c>
      <c r="AJ186" s="111">
        <f>IF(AN186=0,I186,0)</f>
      </c>
      <c r="AK186" s="111">
        <f>IF(AN186=12,I186,0)</f>
      </c>
      <c r="AL186" s="111">
        <f>IF(AN186=21,I186,0)</f>
      </c>
      <c r="AN186" s="111" t="n">
        <v>21</v>
      </c>
      <c r="AO186" s="111">
        <f>H186*0</f>
      </c>
      <c r="AP186" s="111">
        <f>H186*(1-0)</f>
      </c>
      <c r="AQ186" s="153" t="s">
        <v>140</v>
      </c>
      <c r="AV186" s="111">
        <f>AW186+AX186</f>
      </c>
      <c r="AW186" s="111">
        <f>G186*AO186</f>
      </c>
      <c r="AX186" s="111">
        <f>G186*AP186</f>
      </c>
      <c r="AY186" s="153" t="s">
        <v>4112</v>
      </c>
      <c r="AZ186" s="153" t="s">
        <v>4606</v>
      </c>
      <c r="BA186" s="132" t="s">
        <v>4594</v>
      </c>
      <c r="BC186" s="111">
        <f>AW186+AX186</f>
      </c>
      <c r="BD186" s="111">
        <f>H186/(100-BE186)*100</f>
      </c>
      <c r="BE186" s="111" t="n">
        <v>0</v>
      </c>
      <c r="BF186" s="111">
        <f>186</f>
      </c>
      <c r="BH186" s="111">
        <f>G186*AO186</f>
      </c>
      <c r="BI186" s="111">
        <f>G186*AP186</f>
      </c>
      <c r="BJ186" s="111">
        <f>G186*H186</f>
      </c>
      <c r="BK186" s="111"/>
      <c r="BL186" s="111"/>
      <c r="BW186" s="111" t="n">
        <v>21</v>
      </c>
      <c r="BX186" s="14" t="s">
        <v>4828</v>
      </c>
    </row>
    <row r="187" customHeight="true" ht="13.5">
      <c r="A187" s="159"/>
      <c r="C187" s="160" t="s">
        <v>146</v>
      </c>
      <c r="D187" s="161" t="s">
        <v>4829</v>
      </c>
      <c r="E187" s="156"/>
      <c r="F187" s="156"/>
      <c r="G187" s="156"/>
      <c r="H187" s="156"/>
      <c r="I187" s="156"/>
      <c r="J187" s="156"/>
      <c r="K187" s="163"/>
    </row>
    <row r="188">
      <c r="A188" s="154"/>
      <c r="B188" s="155"/>
      <c r="C188" s="155"/>
      <c r="D188" s="156" t="s">
        <v>130</v>
      </c>
      <c r="E188" s="156" t="s">
        <v>4825</v>
      </c>
      <c r="F188" s="155"/>
      <c r="G188" s="157" t="n">
        <v>1</v>
      </c>
      <c r="H188" s="155"/>
      <c r="I188" s="155"/>
      <c r="J188" s="155"/>
      <c r="K188" s="146"/>
    </row>
    <row r="189">
      <c r="A189" s="9" t="s">
        <v>623</v>
      </c>
      <c r="B189" s="10" t="s">
        <v>93</v>
      </c>
      <c r="C189" s="10" t="s">
        <v>4831</v>
      </c>
      <c r="D189" s="14" t="s">
        <v>4832</v>
      </c>
      <c r="E189" s="10"/>
      <c r="F189" s="10" t="s">
        <v>133</v>
      </c>
      <c r="G189" s="111">
        <f>'Stavební rozpočet'!G3028</f>
      </c>
      <c r="H189" s="111">
        <f>'Stavební rozpočet'!H3028</f>
      </c>
      <c r="I189" s="111">
        <f>G189*H189</f>
      </c>
      <c r="J189" s="153" t="s">
        <v>134</v>
      </c>
      <c r="K189" s="146"/>
      <c r="Z189" s="111">
        <f>IF(AQ189="5",BJ189,0)</f>
      </c>
      <c r="AB189" s="111">
        <f>IF(AQ189="1",BH189,0)</f>
      </c>
      <c r="AC189" s="111">
        <f>IF(AQ189="1",BI189,0)</f>
      </c>
      <c r="AD189" s="111">
        <f>IF(AQ189="7",BH189,0)</f>
      </c>
      <c r="AE189" s="111">
        <f>IF(AQ189="7",BI189,0)</f>
      </c>
      <c r="AF189" s="111">
        <f>IF(AQ189="2",BH189,0)</f>
      </c>
      <c r="AG189" s="111">
        <f>IF(AQ189="2",BI189,0)</f>
      </c>
      <c r="AH189" s="111">
        <f>IF(AQ189="0",BJ189,0)</f>
      </c>
      <c r="AI189" s="132" t="s">
        <v>93</v>
      </c>
      <c r="AJ189" s="111">
        <f>IF(AN189=0,I189,0)</f>
      </c>
      <c r="AK189" s="111">
        <f>IF(AN189=12,I189,0)</f>
      </c>
      <c r="AL189" s="111">
        <f>IF(AN189=21,I189,0)</f>
      </c>
      <c r="AN189" s="111" t="n">
        <v>21</v>
      </c>
      <c r="AO189" s="111">
        <f>H189*0.436278342</f>
      </c>
      <c r="AP189" s="111">
        <f>H189*(1-0.436278342)</f>
      </c>
      <c r="AQ189" s="153" t="s">
        <v>140</v>
      </c>
      <c r="AV189" s="111">
        <f>AW189+AX189</f>
      </c>
      <c r="AW189" s="111">
        <f>G189*AO189</f>
      </c>
      <c r="AX189" s="111">
        <f>G189*AP189</f>
      </c>
      <c r="AY189" s="153" t="s">
        <v>4112</v>
      </c>
      <c r="AZ189" s="153" t="s">
        <v>4606</v>
      </c>
      <c r="BA189" s="132" t="s">
        <v>4594</v>
      </c>
      <c r="BC189" s="111">
        <f>AW189+AX189</f>
      </c>
      <c r="BD189" s="111">
        <f>H189/(100-BE189)*100</f>
      </c>
      <c r="BE189" s="111" t="n">
        <v>0</v>
      </c>
      <c r="BF189" s="111">
        <f>189</f>
      </c>
      <c r="BH189" s="111">
        <f>G189*AO189</f>
      </c>
      <c r="BI189" s="111">
        <f>G189*AP189</f>
      </c>
      <c r="BJ189" s="111">
        <f>G189*H189</f>
      </c>
      <c r="BK189" s="111"/>
      <c r="BL189" s="111"/>
      <c r="BW189" s="111" t="n">
        <v>21</v>
      </c>
      <c r="BX189" s="14" t="s">
        <v>4832</v>
      </c>
    </row>
    <row r="190" customHeight="true" ht="13.5">
      <c r="A190" s="159"/>
      <c r="C190" s="160" t="s">
        <v>146</v>
      </c>
      <c r="D190" s="161" t="s">
        <v>4833</v>
      </c>
      <c r="E190" s="156"/>
      <c r="F190" s="156"/>
      <c r="G190" s="156"/>
      <c r="H190" s="156"/>
      <c r="I190" s="156"/>
      <c r="J190" s="156"/>
      <c r="K190" s="163"/>
    </row>
    <row r="191">
      <c r="A191" s="9" t="s">
        <v>633</v>
      </c>
      <c r="B191" s="10" t="s">
        <v>93</v>
      </c>
      <c r="C191" s="10" t="s">
        <v>4835</v>
      </c>
      <c r="D191" s="14" t="s">
        <v>4832</v>
      </c>
      <c r="E191" s="10"/>
      <c r="F191" s="10" t="s">
        <v>133</v>
      </c>
      <c r="G191" s="111">
        <f>'Stavební rozpočet'!G3030</f>
      </c>
      <c r="H191" s="111">
        <f>'Stavební rozpočet'!H3030</f>
      </c>
      <c r="I191" s="111">
        <f>G191*H191</f>
      </c>
      <c r="J191" s="153" t="s">
        <v>134</v>
      </c>
      <c r="K191" s="146"/>
      <c r="Z191" s="111">
        <f>IF(AQ191="5",BJ191,0)</f>
      </c>
      <c r="AB191" s="111">
        <f>IF(AQ191="1",BH191,0)</f>
      </c>
      <c r="AC191" s="111">
        <f>IF(AQ191="1",BI191,0)</f>
      </c>
      <c r="AD191" s="111">
        <f>IF(AQ191="7",BH191,0)</f>
      </c>
      <c r="AE191" s="111">
        <f>IF(AQ191="7",BI191,0)</f>
      </c>
      <c r="AF191" s="111">
        <f>IF(AQ191="2",BH191,0)</f>
      </c>
      <c r="AG191" s="111">
        <f>IF(AQ191="2",BI191,0)</f>
      </c>
      <c r="AH191" s="111">
        <f>IF(AQ191="0",BJ191,0)</f>
      </c>
      <c r="AI191" s="132" t="s">
        <v>93</v>
      </c>
      <c r="AJ191" s="111">
        <f>IF(AN191=0,I191,0)</f>
      </c>
      <c r="AK191" s="111">
        <f>IF(AN191=12,I191,0)</f>
      </c>
      <c r="AL191" s="111">
        <f>IF(AN191=21,I191,0)</f>
      </c>
      <c r="AN191" s="111" t="n">
        <v>21</v>
      </c>
      <c r="AO191" s="111">
        <f>H191*0.409382518</f>
      </c>
      <c r="AP191" s="111">
        <f>H191*(1-0.409382518)</f>
      </c>
      <c r="AQ191" s="153" t="s">
        <v>140</v>
      </c>
      <c r="AV191" s="111">
        <f>AW191+AX191</f>
      </c>
      <c r="AW191" s="111">
        <f>G191*AO191</f>
      </c>
      <c r="AX191" s="111">
        <f>G191*AP191</f>
      </c>
      <c r="AY191" s="153" t="s">
        <v>4112</v>
      </c>
      <c r="AZ191" s="153" t="s">
        <v>4606</v>
      </c>
      <c r="BA191" s="132" t="s">
        <v>4594</v>
      </c>
      <c r="BC191" s="111">
        <f>AW191+AX191</f>
      </c>
      <c r="BD191" s="111">
        <f>H191/(100-BE191)*100</f>
      </c>
      <c r="BE191" s="111" t="n">
        <v>0</v>
      </c>
      <c r="BF191" s="111">
        <f>191</f>
      </c>
      <c r="BH191" s="111">
        <f>G191*AO191</f>
      </c>
      <c r="BI191" s="111">
        <f>G191*AP191</f>
      </c>
      <c r="BJ191" s="111">
        <f>G191*H191</f>
      </c>
      <c r="BK191" s="111"/>
      <c r="BL191" s="111"/>
      <c r="BW191" s="111" t="n">
        <v>21</v>
      </c>
      <c r="BX191" s="14" t="s">
        <v>4832</v>
      </c>
    </row>
    <row r="192" customHeight="true" ht="13.5">
      <c r="A192" s="159"/>
      <c r="C192" s="160" t="s">
        <v>146</v>
      </c>
      <c r="D192" s="161" t="s">
        <v>4836</v>
      </c>
      <c r="E192" s="156"/>
      <c r="F192" s="156"/>
      <c r="G192" s="156"/>
      <c r="H192" s="156"/>
      <c r="I192" s="156"/>
      <c r="J192" s="156"/>
      <c r="K192" s="163"/>
    </row>
    <row r="193">
      <c r="A193" s="9" t="s">
        <v>637</v>
      </c>
      <c r="B193" s="10" t="s">
        <v>93</v>
      </c>
      <c r="C193" s="10" t="s">
        <v>4838</v>
      </c>
      <c r="D193" s="14" t="s">
        <v>4832</v>
      </c>
      <c r="E193" s="10"/>
      <c r="F193" s="10" t="s">
        <v>133</v>
      </c>
      <c r="G193" s="111">
        <f>'Stavební rozpočet'!G3032</f>
      </c>
      <c r="H193" s="111">
        <f>'Stavební rozpočet'!H3032</f>
      </c>
      <c r="I193" s="111">
        <f>G193*H193</f>
      </c>
      <c r="J193" s="153" t="s">
        <v>134</v>
      </c>
      <c r="K193" s="146"/>
      <c r="Z193" s="111">
        <f>IF(AQ193="5",BJ193,0)</f>
      </c>
      <c r="AB193" s="111">
        <f>IF(AQ193="1",BH193,0)</f>
      </c>
      <c r="AC193" s="111">
        <f>IF(AQ193="1",BI193,0)</f>
      </c>
      <c r="AD193" s="111">
        <f>IF(AQ193="7",BH193,0)</f>
      </c>
      <c r="AE193" s="111">
        <f>IF(AQ193="7",BI193,0)</f>
      </c>
      <c r="AF193" s="111">
        <f>IF(AQ193="2",BH193,0)</f>
      </c>
      <c r="AG193" s="111">
        <f>IF(AQ193="2",BI193,0)</f>
      </c>
      <c r="AH193" s="111">
        <f>IF(AQ193="0",BJ193,0)</f>
      </c>
      <c r="AI193" s="132" t="s">
        <v>93</v>
      </c>
      <c r="AJ193" s="111">
        <f>IF(AN193=0,I193,0)</f>
      </c>
      <c r="AK193" s="111">
        <f>IF(AN193=12,I193,0)</f>
      </c>
      <c r="AL193" s="111">
        <f>IF(AN193=21,I193,0)</f>
      </c>
      <c r="AN193" s="111" t="n">
        <v>21</v>
      </c>
      <c r="AO193" s="111">
        <f>H193*0.350616235</f>
      </c>
      <c r="AP193" s="111">
        <f>H193*(1-0.350616235)</f>
      </c>
      <c r="AQ193" s="153" t="s">
        <v>140</v>
      </c>
      <c r="AV193" s="111">
        <f>AW193+AX193</f>
      </c>
      <c r="AW193" s="111">
        <f>G193*AO193</f>
      </c>
      <c r="AX193" s="111">
        <f>G193*AP193</f>
      </c>
      <c r="AY193" s="153" t="s">
        <v>4112</v>
      </c>
      <c r="AZ193" s="153" t="s">
        <v>4606</v>
      </c>
      <c r="BA193" s="132" t="s">
        <v>4594</v>
      </c>
      <c r="BC193" s="111">
        <f>AW193+AX193</f>
      </c>
      <c r="BD193" s="111">
        <f>H193/(100-BE193)*100</f>
      </c>
      <c r="BE193" s="111" t="n">
        <v>0</v>
      </c>
      <c r="BF193" s="111">
        <f>193</f>
      </c>
      <c r="BH193" s="111">
        <f>G193*AO193</f>
      </c>
      <c r="BI193" s="111">
        <f>G193*AP193</f>
      </c>
      <c r="BJ193" s="111">
        <f>G193*H193</f>
      </c>
      <c r="BK193" s="111"/>
      <c r="BL193" s="111"/>
      <c r="BW193" s="111" t="n">
        <v>21</v>
      </c>
      <c r="BX193" s="14" t="s">
        <v>4832</v>
      </c>
    </row>
    <row r="194" customHeight="true" ht="13.5">
      <c r="A194" s="159"/>
      <c r="C194" s="160" t="s">
        <v>146</v>
      </c>
      <c r="D194" s="161" t="s">
        <v>4839</v>
      </c>
      <c r="E194" s="156"/>
      <c r="F194" s="156"/>
      <c r="G194" s="156"/>
      <c r="H194" s="156"/>
      <c r="I194" s="156"/>
      <c r="J194" s="156"/>
      <c r="K194" s="163"/>
    </row>
    <row r="195">
      <c r="A195" s="9" t="s">
        <v>642</v>
      </c>
      <c r="B195" s="10" t="s">
        <v>93</v>
      </c>
      <c r="C195" s="10" t="s">
        <v>4841</v>
      </c>
      <c r="D195" s="14" t="s">
        <v>4832</v>
      </c>
      <c r="E195" s="10"/>
      <c r="F195" s="10" t="s">
        <v>133</v>
      </c>
      <c r="G195" s="111">
        <f>'Stavební rozpočet'!G3034</f>
      </c>
      <c r="H195" s="111">
        <f>'Stavební rozpočet'!H3034</f>
      </c>
      <c r="I195" s="111">
        <f>G195*H195</f>
      </c>
      <c r="J195" s="153" t="s">
        <v>134</v>
      </c>
      <c r="K195" s="146"/>
      <c r="Z195" s="111">
        <f>IF(AQ195="5",BJ195,0)</f>
      </c>
      <c r="AB195" s="111">
        <f>IF(AQ195="1",BH195,0)</f>
      </c>
      <c r="AC195" s="111">
        <f>IF(AQ195="1",BI195,0)</f>
      </c>
      <c r="AD195" s="111">
        <f>IF(AQ195="7",BH195,0)</f>
      </c>
      <c r="AE195" s="111">
        <f>IF(AQ195="7",BI195,0)</f>
      </c>
      <c r="AF195" s="111">
        <f>IF(AQ195="2",BH195,0)</f>
      </c>
      <c r="AG195" s="111">
        <f>IF(AQ195="2",BI195,0)</f>
      </c>
      <c r="AH195" s="111">
        <f>IF(AQ195="0",BJ195,0)</f>
      </c>
      <c r="AI195" s="132" t="s">
        <v>93</v>
      </c>
      <c r="AJ195" s="111">
        <f>IF(AN195=0,I195,0)</f>
      </c>
      <c r="AK195" s="111">
        <f>IF(AN195=12,I195,0)</f>
      </c>
      <c r="AL195" s="111">
        <f>IF(AN195=21,I195,0)</f>
      </c>
      <c r="AN195" s="111" t="n">
        <v>21</v>
      </c>
      <c r="AO195" s="111">
        <f>H195*0.314790858</f>
      </c>
      <c r="AP195" s="111">
        <f>H195*(1-0.314790858)</f>
      </c>
      <c r="AQ195" s="153" t="s">
        <v>140</v>
      </c>
      <c r="AV195" s="111">
        <f>AW195+AX195</f>
      </c>
      <c r="AW195" s="111">
        <f>G195*AO195</f>
      </c>
      <c r="AX195" s="111">
        <f>G195*AP195</f>
      </c>
      <c r="AY195" s="153" t="s">
        <v>4112</v>
      </c>
      <c r="AZ195" s="153" t="s">
        <v>4606</v>
      </c>
      <c r="BA195" s="132" t="s">
        <v>4594</v>
      </c>
      <c r="BC195" s="111">
        <f>AW195+AX195</f>
      </c>
      <c r="BD195" s="111">
        <f>H195/(100-BE195)*100</f>
      </c>
      <c r="BE195" s="111" t="n">
        <v>0</v>
      </c>
      <c r="BF195" s="111">
        <f>195</f>
      </c>
      <c r="BH195" s="111">
        <f>G195*AO195</f>
      </c>
      <c r="BI195" s="111">
        <f>G195*AP195</f>
      </c>
      <c r="BJ195" s="111">
        <f>G195*H195</f>
      </c>
      <c r="BK195" s="111"/>
      <c r="BL195" s="111"/>
      <c r="BW195" s="111" t="n">
        <v>21</v>
      </c>
      <c r="BX195" s="14" t="s">
        <v>4832</v>
      </c>
    </row>
    <row r="196" customHeight="true" ht="13.5">
      <c r="A196" s="159"/>
      <c r="C196" s="160" t="s">
        <v>146</v>
      </c>
      <c r="D196" s="161" t="s">
        <v>4842</v>
      </c>
      <c r="E196" s="156"/>
      <c r="F196" s="156"/>
      <c r="G196" s="156"/>
      <c r="H196" s="156"/>
      <c r="I196" s="156"/>
      <c r="J196" s="156"/>
      <c r="K196" s="163"/>
    </row>
    <row r="197">
      <c r="A197" s="9" t="s">
        <v>646</v>
      </c>
      <c r="B197" s="10" t="s">
        <v>93</v>
      </c>
      <c r="C197" s="10" t="s">
        <v>4844</v>
      </c>
      <c r="D197" s="14" t="s">
        <v>4845</v>
      </c>
      <c r="E197" s="10"/>
      <c r="F197" s="10" t="s">
        <v>133</v>
      </c>
      <c r="G197" s="111">
        <f>'Stavební rozpočet'!G3036</f>
      </c>
      <c r="H197" s="111">
        <f>'Stavební rozpočet'!H3036</f>
      </c>
      <c r="I197" s="111">
        <f>G197*H197</f>
      </c>
      <c r="J197" s="153" t="s">
        <v>134</v>
      </c>
      <c r="K197" s="146"/>
      <c r="Z197" s="111">
        <f>IF(AQ197="5",BJ197,0)</f>
      </c>
      <c r="AB197" s="111">
        <f>IF(AQ197="1",BH197,0)</f>
      </c>
      <c r="AC197" s="111">
        <f>IF(AQ197="1",BI197,0)</f>
      </c>
      <c r="AD197" s="111">
        <f>IF(AQ197="7",BH197,0)</f>
      </c>
      <c r="AE197" s="111">
        <f>IF(AQ197="7",BI197,0)</f>
      </c>
      <c r="AF197" s="111">
        <f>IF(AQ197="2",BH197,0)</f>
      </c>
      <c r="AG197" s="111">
        <f>IF(AQ197="2",BI197,0)</f>
      </c>
      <c r="AH197" s="111">
        <f>IF(AQ197="0",BJ197,0)</f>
      </c>
      <c r="AI197" s="132" t="s">
        <v>93</v>
      </c>
      <c r="AJ197" s="111">
        <f>IF(AN197=0,I197,0)</f>
      </c>
      <c r="AK197" s="111">
        <f>IF(AN197=12,I197,0)</f>
      </c>
      <c r="AL197" s="111">
        <f>IF(AN197=21,I197,0)</f>
      </c>
      <c r="AN197" s="111" t="n">
        <v>21</v>
      </c>
      <c r="AO197" s="111">
        <f>H197*0.090824838</f>
      </c>
      <c r="AP197" s="111">
        <f>H197*(1-0.090824838)</f>
      </c>
      <c r="AQ197" s="153" t="s">
        <v>140</v>
      </c>
      <c r="AV197" s="111">
        <f>AW197+AX197</f>
      </c>
      <c r="AW197" s="111">
        <f>G197*AO197</f>
      </c>
      <c r="AX197" s="111">
        <f>G197*AP197</f>
      </c>
      <c r="AY197" s="153" t="s">
        <v>4112</v>
      </c>
      <c r="AZ197" s="153" t="s">
        <v>4606</v>
      </c>
      <c r="BA197" s="132" t="s">
        <v>4594</v>
      </c>
      <c r="BC197" s="111">
        <f>AW197+AX197</f>
      </c>
      <c r="BD197" s="111">
        <f>H197/(100-BE197)*100</f>
      </c>
      <c r="BE197" s="111" t="n">
        <v>0</v>
      </c>
      <c r="BF197" s="111">
        <f>197</f>
      </c>
      <c r="BH197" s="111">
        <f>G197*AO197</f>
      </c>
      <c r="BI197" s="111">
        <f>G197*AP197</f>
      </c>
      <c r="BJ197" s="111">
        <f>G197*H197</f>
      </c>
      <c r="BK197" s="111"/>
      <c r="BL197" s="111"/>
      <c r="BW197" s="111" t="n">
        <v>21</v>
      </c>
      <c r="BX197" s="14" t="s">
        <v>4845</v>
      </c>
    </row>
    <row r="198" customHeight="true" ht="13.5">
      <c r="A198" s="159"/>
      <c r="C198" s="160" t="s">
        <v>146</v>
      </c>
      <c r="D198" s="161" t="s">
        <v>4846</v>
      </c>
      <c r="E198" s="156"/>
      <c r="F198" s="156"/>
      <c r="G198" s="156"/>
      <c r="H198" s="156"/>
      <c r="I198" s="156"/>
      <c r="J198" s="156"/>
      <c r="K198" s="163"/>
    </row>
    <row r="199">
      <c r="A199" s="9" t="s">
        <v>651</v>
      </c>
      <c r="B199" s="10" t="s">
        <v>93</v>
      </c>
      <c r="C199" s="10" t="s">
        <v>4844</v>
      </c>
      <c r="D199" s="14" t="s">
        <v>4848</v>
      </c>
      <c r="E199" s="10"/>
      <c r="F199" s="10" t="s">
        <v>133</v>
      </c>
      <c r="G199" s="111">
        <f>'Stavební rozpočet'!G3038</f>
      </c>
      <c r="H199" s="111">
        <f>'Stavební rozpočet'!H3038</f>
      </c>
      <c r="I199" s="111">
        <f>G199*H199</f>
      </c>
      <c r="J199" s="153" t="s">
        <v>134</v>
      </c>
      <c r="K199" s="146"/>
      <c r="Z199" s="111">
        <f>IF(AQ199="5",BJ199,0)</f>
      </c>
      <c r="AB199" s="111">
        <f>IF(AQ199="1",BH199,0)</f>
      </c>
      <c r="AC199" s="111">
        <f>IF(AQ199="1",BI199,0)</f>
      </c>
      <c r="AD199" s="111">
        <f>IF(AQ199="7",BH199,0)</f>
      </c>
      <c r="AE199" s="111">
        <f>IF(AQ199="7",BI199,0)</f>
      </c>
      <c r="AF199" s="111">
        <f>IF(AQ199="2",BH199,0)</f>
      </c>
      <c r="AG199" s="111">
        <f>IF(AQ199="2",BI199,0)</f>
      </c>
      <c r="AH199" s="111">
        <f>IF(AQ199="0",BJ199,0)</f>
      </c>
      <c r="AI199" s="132" t="s">
        <v>93</v>
      </c>
      <c r="AJ199" s="111">
        <f>IF(AN199=0,I199,0)</f>
      </c>
      <c r="AK199" s="111">
        <f>IF(AN199=12,I199,0)</f>
      </c>
      <c r="AL199" s="111">
        <f>IF(AN199=21,I199,0)</f>
      </c>
      <c r="AN199" s="111" t="n">
        <v>21</v>
      </c>
      <c r="AO199" s="111">
        <f>H199*0.090772259</f>
      </c>
      <c r="AP199" s="111">
        <f>H199*(1-0.090772259)</f>
      </c>
      <c r="AQ199" s="153" t="s">
        <v>140</v>
      </c>
      <c r="AV199" s="111">
        <f>AW199+AX199</f>
      </c>
      <c r="AW199" s="111">
        <f>G199*AO199</f>
      </c>
      <c r="AX199" s="111">
        <f>G199*AP199</f>
      </c>
      <c r="AY199" s="153" t="s">
        <v>4112</v>
      </c>
      <c r="AZ199" s="153" t="s">
        <v>4606</v>
      </c>
      <c r="BA199" s="132" t="s">
        <v>4594</v>
      </c>
      <c r="BC199" s="111">
        <f>AW199+AX199</f>
      </c>
      <c r="BD199" s="111">
        <f>H199/(100-BE199)*100</f>
      </c>
      <c r="BE199" s="111" t="n">
        <v>0</v>
      </c>
      <c r="BF199" s="111">
        <f>199</f>
      </c>
      <c r="BH199" s="111">
        <f>G199*AO199</f>
      </c>
      <c r="BI199" s="111">
        <f>G199*AP199</f>
      </c>
      <c r="BJ199" s="111">
        <f>G199*H199</f>
      </c>
      <c r="BK199" s="111"/>
      <c r="BL199" s="111"/>
      <c r="BW199" s="111" t="n">
        <v>21</v>
      </c>
      <c r="BX199" s="14" t="s">
        <v>4848</v>
      </c>
    </row>
    <row r="200" customHeight="true" ht="13.5">
      <c r="A200" s="159"/>
      <c r="C200" s="160" t="s">
        <v>146</v>
      </c>
      <c r="D200" s="161" t="s">
        <v>4846</v>
      </c>
      <c r="E200" s="156"/>
      <c r="F200" s="156"/>
      <c r="G200" s="156"/>
      <c r="H200" s="156"/>
      <c r="I200" s="156"/>
      <c r="J200" s="156"/>
      <c r="K200" s="163"/>
    </row>
    <row r="201">
      <c r="A201" s="9" t="s">
        <v>658</v>
      </c>
      <c r="B201" s="10" t="s">
        <v>93</v>
      </c>
      <c r="C201" s="10" t="s">
        <v>4850</v>
      </c>
      <c r="D201" s="14" t="s">
        <v>4851</v>
      </c>
      <c r="E201" s="10"/>
      <c r="F201" s="10" t="s">
        <v>282</v>
      </c>
      <c r="G201" s="111">
        <f>'Stavební rozpočet'!G3040</f>
      </c>
      <c r="H201" s="111">
        <f>'Stavební rozpočet'!H3040</f>
      </c>
      <c r="I201" s="111">
        <f>G201*H201</f>
      </c>
      <c r="J201" s="153" t="s">
        <v>134</v>
      </c>
      <c r="K201" s="146"/>
      <c r="Z201" s="111">
        <f>IF(AQ201="5",BJ201,0)</f>
      </c>
      <c r="AB201" s="111">
        <f>IF(AQ201="1",BH201,0)</f>
      </c>
      <c r="AC201" s="111">
        <f>IF(AQ201="1",BI201,0)</f>
      </c>
      <c r="AD201" s="111">
        <f>IF(AQ201="7",BH201,0)</f>
      </c>
      <c r="AE201" s="111">
        <f>IF(AQ201="7",BI201,0)</f>
      </c>
      <c r="AF201" s="111">
        <f>IF(AQ201="2",BH201,0)</f>
      </c>
      <c r="AG201" s="111">
        <f>IF(AQ201="2",BI201,0)</f>
      </c>
      <c r="AH201" s="111">
        <f>IF(AQ201="0",BJ201,0)</f>
      </c>
      <c r="AI201" s="132" t="s">
        <v>93</v>
      </c>
      <c r="AJ201" s="111">
        <f>IF(AN201=0,I201,0)</f>
      </c>
      <c r="AK201" s="111">
        <f>IF(AN201=12,I201,0)</f>
      </c>
      <c r="AL201" s="111">
        <f>IF(AN201=21,I201,0)</f>
      </c>
      <c r="AN201" s="111" t="n">
        <v>21</v>
      </c>
      <c r="AO201" s="111">
        <f>H201*0</f>
      </c>
      <c r="AP201" s="111">
        <f>H201*(1-0)</f>
      </c>
      <c r="AQ201" s="153" t="s">
        <v>140</v>
      </c>
      <c r="AV201" s="111">
        <f>AW201+AX201</f>
      </c>
      <c r="AW201" s="111">
        <f>G201*AO201</f>
      </c>
      <c r="AX201" s="111">
        <f>G201*AP201</f>
      </c>
      <c r="AY201" s="153" t="s">
        <v>4112</v>
      </c>
      <c r="AZ201" s="153" t="s">
        <v>4606</v>
      </c>
      <c r="BA201" s="132" t="s">
        <v>4594</v>
      </c>
      <c r="BC201" s="111">
        <f>AW201+AX201</f>
      </c>
      <c r="BD201" s="111">
        <f>H201/(100-BE201)*100</f>
      </c>
      <c r="BE201" s="111" t="n">
        <v>0</v>
      </c>
      <c r="BF201" s="111">
        <f>201</f>
      </c>
      <c r="BH201" s="111">
        <f>G201*AO201</f>
      </c>
      <c r="BI201" s="111">
        <f>G201*AP201</f>
      </c>
      <c r="BJ201" s="111">
        <f>G201*H201</f>
      </c>
      <c r="BK201" s="111"/>
      <c r="BL201" s="111"/>
      <c r="BW201" s="111" t="n">
        <v>21</v>
      </c>
      <c r="BX201" s="14" t="s">
        <v>4851</v>
      </c>
    </row>
    <row r="202" customHeight="true" ht="13.5">
      <c r="A202" s="159"/>
      <c r="C202" s="160" t="s">
        <v>146</v>
      </c>
      <c r="D202" s="161" t="s">
        <v>4852</v>
      </c>
      <c r="E202" s="156"/>
      <c r="F202" s="156"/>
      <c r="G202" s="156"/>
      <c r="H202" s="156"/>
      <c r="I202" s="156"/>
      <c r="J202" s="156"/>
      <c r="K202" s="163"/>
    </row>
    <row r="203">
      <c r="A203" s="9" t="s">
        <v>665</v>
      </c>
      <c r="B203" s="10" t="s">
        <v>93</v>
      </c>
      <c r="C203" s="10" t="s">
        <v>4854</v>
      </c>
      <c r="D203" s="14" t="s">
        <v>4855</v>
      </c>
      <c r="E203" s="10"/>
      <c r="F203" s="10" t="s">
        <v>282</v>
      </c>
      <c r="G203" s="111">
        <f>'Stavební rozpočet'!G3042</f>
      </c>
      <c r="H203" s="111">
        <f>'Stavební rozpočet'!H3042</f>
      </c>
      <c r="I203" s="111">
        <f>G203*H203</f>
      </c>
      <c r="J203" s="153" t="s">
        <v>134</v>
      </c>
      <c r="K203" s="146"/>
      <c r="Z203" s="111">
        <f>IF(AQ203="5",BJ203,0)</f>
      </c>
      <c r="AB203" s="111">
        <f>IF(AQ203="1",BH203,0)</f>
      </c>
      <c r="AC203" s="111">
        <f>IF(AQ203="1",BI203,0)</f>
      </c>
      <c r="AD203" s="111">
        <f>IF(AQ203="7",BH203,0)</f>
      </c>
      <c r="AE203" s="111">
        <f>IF(AQ203="7",BI203,0)</f>
      </c>
      <c r="AF203" s="111">
        <f>IF(AQ203="2",BH203,0)</f>
      </c>
      <c r="AG203" s="111">
        <f>IF(AQ203="2",BI203,0)</f>
      </c>
      <c r="AH203" s="111">
        <f>IF(AQ203="0",BJ203,0)</f>
      </c>
      <c r="AI203" s="132" t="s">
        <v>93</v>
      </c>
      <c r="AJ203" s="111">
        <f>IF(AN203=0,I203,0)</f>
      </c>
      <c r="AK203" s="111">
        <f>IF(AN203=12,I203,0)</f>
      </c>
      <c r="AL203" s="111">
        <f>IF(AN203=21,I203,0)</f>
      </c>
      <c r="AN203" s="111" t="n">
        <v>21</v>
      </c>
      <c r="AO203" s="111">
        <f>H203*0</f>
      </c>
      <c r="AP203" s="111">
        <f>H203*(1-0)</f>
      </c>
      <c r="AQ203" s="153" t="s">
        <v>140</v>
      </c>
      <c r="AV203" s="111">
        <f>AW203+AX203</f>
      </c>
      <c r="AW203" s="111">
        <f>G203*AO203</f>
      </c>
      <c r="AX203" s="111">
        <f>G203*AP203</f>
      </c>
      <c r="AY203" s="153" t="s">
        <v>4112</v>
      </c>
      <c r="AZ203" s="153" t="s">
        <v>4606</v>
      </c>
      <c r="BA203" s="132" t="s">
        <v>4594</v>
      </c>
      <c r="BC203" s="111">
        <f>AW203+AX203</f>
      </c>
      <c r="BD203" s="111">
        <f>H203/(100-BE203)*100</f>
      </c>
      <c r="BE203" s="111" t="n">
        <v>0</v>
      </c>
      <c r="BF203" s="111">
        <f>203</f>
      </c>
      <c r="BH203" s="111">
        <f>G203*AO203</f>
      </c>
      <c r="BI203" s="111">
        <f>G203*AP203</f>
      </c>
      <c r="BJ203" s="111">
        <f>G203*H203</f>
      </c>
      <c r="BK203" s="111"/>
      <c r="BL203" s="111"/>
      <c r="BW203" s="111" t="n">
        <v>21</v>
      </c>
      <c r="BX203" s="14" t="s">
        <v>4855</v>
      </c>
    </row>
    <row r="204" customHeight="true" ht="13.5">
      <c r="A204" s="159"/>
      <c r="C204" s="160" t="s">
        <v>146</v>
      </c>
      <c r="D204" s="161" t="s">
        <v>4852</v>
      </c>
      <c r="E204" s="156"/>
      <c r="F204" s="156"/>
      <c r="G204" s="156"/>
      <c r="H204" s="156"/>
      <c r="I204" s="156"/>
      <c r="J204" s="156"/>
      <c r="K204" s="163"/>
    </row>
    <row r="205">
      <c r="A205" s="9" t="s">
        <v>669</v>
      </c>
      <c r="B205" s="10" t="s">
        <v>93</v>
      </c>
      <c r="C205" s="10" t="s">
        <v>4857</v>
      </c>
      <c r="D205" s="14" t="s">
        <v>4858</v>
      </c>
      <c r="E205" s="10"/>
      <c r="F205" s="10" t="s">
        <v>282</v>
      </c>
      <c r="G205" s="111">
        <f>'Stavební rozpočet'!G3044</f>
      </c>
      <c r="H205" s="111">
        <f>'Stavební rozpočet'!H3044</f>
      </c>
      <c r="I205" s="111">
        <f>G205*H205</f>
      </c>
      <c r="J205" s="153" t="s">
        <v>134</v>
      </c>
      <c r="K205" s="146"/>
      <c r="Z205" s="111">
        <f>IF(AQ205="5",BJ205,0)</f>
      </c>
      <c r="AB205" s="111">
        <f>IF(AQ205="1",BH205,0)</f>
      </c>
      <c r="AC205" s="111">
        <f>IF(AQ205="1",BI205,0)</f>
      </c>
      <c r="AD205" s="111">
        <f>IF(AQ205="7",BH205,0)</f>
      </c>
      <c r="AE205" s="111">
        <f>IF(AQ205="7",BI205,0)</f>
      </c>
      <c r="AF205" s="111">
        <f>IF(AQ205="2",BH205,0)</f>
      </c>
      <c r="AG205" s="111">
        <f>IF(AQ205="2",BI205,0)</f>
      </c>
      <c r="AH205" s="111">
        <f>IF(AQ205="0",BJ205,0)</f>
      </c>
      <c r="AI205" s="132" t="s">
        <v>93</v>
      </c>
      <c r="AJ205" s="111">
        <f>IF(AN205=0,I205,0)</f>
      </c>
      <c r="AK205" s="111">
        <f>IF(AN205=12,I205,0)</f>
      </c>
      <c r="AL205" s="111">
        <f>IF(AN205=21,I205,0)</f>
      </c>
      <c r="AN205" s="111" t="n">
        <v>21</v>
      </c>
      <c r="AO205" s="111">
        <f>H205*0.483783325</f>
      </c>
      <c r="AP205" s="111">
        <f>H205*(1-0.483783325)</f>
      </c>
      <c r="AQ205" s="153" t="s">
        <v>140</v>
      </c>
      <c r="AV205" s="111">
        <f>AW205+AX205</f>
      </c>
      <c r="AW205" s="111">
        <f>G205*AO205</f>
      </c>
      <c r="AX205" s="111">
        <f>G205*AP205</f>
      </c>
      <c r="AY205" s="153" t="s">
        <v>4112</v>
      </c>
      <c r="AZ205" s="153" t="s">
        <v>4606</v>
      </c>
      <c r="BA205" s="132" t="s">
        <v>4594</v>
      </c>
      <c r="BC205" s="111">
        <f>AW205+AX205</f>
      </c>
      <c r="BD205" s="111">
        <f>H205/(100-BE205)*100</f>
      </c>
      <c r="BE205" s="111" t="n">
        <v>0</v>
      </c>
      <c r="BF205" s="111">
        <f>205</f>
      </c>
      <c r="BH205" s="111">
        <f>G205*AO205</f>
      </c>
      <c r="BI205" s="111">
        <f>G205*AP205</f>
      </c>
      <c r="BJ205" s="111">
        <f>G205*H205</f>
      </c>
      <c r="BK205" s="111"/>
      <c r="BL205" s="111"/>
      <c r="BW205" s="111" t="n">
        <v>21</v>
      </c>
      <c r="BX205" s="14" t="s">
        <v>4858</v>
      </c>
    </row>
    <row r="206" customHeight="true" ht="13.5">
      <c r="A206" s="159"/>
      <c r="C206" s="160" t="s">
        <v>146</v>
      </c>
      <c r="D206" s="161" t="s">
        <v>4859</v>
      </c>
      <c r="E206" s="156"/>
      <c r="F206" s="156"/>
      <c r="G206" s="156"/>
      <c r="H206" s="156"/>
      <c r="I206" s="156"/>
      <c r="J206" s="156"/>
      <c r="K206" s="163"/>
    </row>
    <row r="207">
      <c r="A207" s="154"/>
      <c r="B207" s="155"/>
      <c r="C207" s="155"/>
      <c r="D207" s="156" t="s">
        <v>805</v>
      </c>
      <c r="E207" s="156" t="s">
        <v>4597</v>
      </c>
      <c r="F207" s="155"/>
      <c r="G207" s="157" t="n">
        <v>100</v>
      </c>
      <c r="H207" s="155"/>
      <c r="I207" s="155"/>
      <c r="J207" s="155"/>
      <c r="K207" s="146"/>
    </row>
    <row r="208">
      <c r="A208" s="154"/>
      <c r="B208" s="155"/>
      <c r="C208" s="155"/>
      <c r="D208" s="156" t="s">
        <v>805</v>
      </c>
      <c r="E208" s="156" t="s">
        <v>4599</v>
      </c>
      <c r="F208" s="155"/>
      <c r="G208" s="157" t="n">
        <v>100</v>
      </c>
      <c r="H208" s="155"/>
      <c r="I208" s="155"/>
      <c r="J208" s="155"/>
      <c r="K208" s="146"/>
    </row>
    <row r="209">
      <c r="A209" s="9" t="s">
        <v>675</v>
      </c>
      <c r="B209" s="10" t="s">
        <v>93</v>
      </c>
      <c r="C209" s="10" t="s">
        <v>4861</v>
      </c>
      <c r="D209" s="14" t="s">
        <v>4862</v>
      </c>
      <c r="E209" s="10"/>
      <c r="F209" s="10" t="s">
        <v>282</v>
      </c>
      <c r="G209" s="111">
        <f>'Stavební rozpočet'!G3048</f>
      </c>
      <c r="H209" s="111">
        <f>'Stavební rozpočet'!H3048</f>
      </c>
      <c r="I209" s="111">
        <f>G209*H209</f>
      </c>
      <c r="J209" s="153" t="s">
        <v>134</v>
      </c>
      <c r="K209" s="146"/>
      <c r="Z209" s="111">
        <f>IF(AQ209="5",BJ209,0)</f>
      </c>
      <c r="AB209" s="111">
        <f>IF(AQ209="1",BH209,0)</f>
      </c>
      <c r="AC209" s="111">
        <f>IF(AQ209="1",BI209,0)</f>
      </c>
      <c r="AD209" s="111">
        <f>IF(AQ209="7",BH209,0)</f>
      </c>
      <c r="AE209" s="111">
        <f>IF(AQ209="7",BI209,0)</f>
      </c>
      <c r="AF209" s="111">
        <f>IF(AQ209="2",BH209,0)</f>
      </c>
      <c r="AG209" s="111">
        <f>IF(AQ209="2",BI209,0)</f>
      </c>
      <c r="AH209" s="111">
        <f>IF(AQ209="0",BJ209,0)</f>
      </c>
      <c r="AI209" s="132" t="s">
        <v>93</v>
      </c>
      <c r="AJ209" s="111">
        <f>IF(AN209=0,I209,0)</f>
      </c>
      <c r="AK209" s="111">
        <f>IF(AN209=12,I209,0)</f>
      </c>
      <c r="AL209" s="111">
        <f>IF(AN209=21,I209,0)</f>
      </c>
      <c r="AN209" s="111" t="n">
        <v>21</v>
      </c>
      <c r="AO209" s="111">
        <f>H209*0.381236674</f>
      </c>
      <c r="AP209" s="111">
        <f>H209*(1-0.381236674)</f>
      </c>
      <c r="AQ209" s="153" t="s">
        <v>140</v>
      </c>
      <c r="AV209" s="111">
        <f>AW209+AX209</f>
      </c>
      <c r="AW209" s="111">
        <f>G209*AO209</f>
      </c>
      <c r="AX209" s="111">
        <f>G209*AP209</f>
      </c>
      <c r="AY209" s="153" t="s">
        <v>4112</v>
      </c>
      <c r="AZ209" s="153" t="s">
        <v>4606</v>
      </c>
      <c r="BA209" s="132" t="s">
        <v>4594</v>
      </c>
      <c r="BC209" s="111">
        <f>AW209+AX209</f>
      </c>
      <c r="BD209" s="111">
        <f>H209/(100-BE209)*100</f>
      </c>
      <c r="BE209" s="111" t="n">
        <v>0</v>
      </c>
      <c r="BF209" s="111">
        <f>209</f>
      </c>
      <c r="BH209" s="111">
        <f>G209*AO209</f>
      </c>
      <c r="BI209" s="111">
        <f>G209*AP209</f>
      </c>
      <c r="BJ209" s="111">
        <f>G209*H209</f>
      </c>
      <c r="BK209" s="111"/>
      <c r="BL209" s="111"/>
      <c r="BW209" s="111" t="n">
        <v>21</v>
      </c>
      <c r="BX209" s="14" t="s">
        <v>4862</v>
      </c>
    </row>
    <row r="210" customHeight="true" ht="13.5">
      <c r="A210" s="159"/>
      <c r="C210" s="160" t="s">
        <v>146</v>
      </c>
      <c r="D210" s="161" t="s">
        <v>4863</v>
      </c>
      <c r="E210" s="156"/>
      <c r="F210" s="156"/>
      <c r="G210" s="156"/>
      <c r="H210" s="156"/>
      <c r="I210" s="156"/>
      <c r="J210" s="156"/>
      <c r="K210" s="163"/>
    </row>
    <row r="211">
      <c r="A211" s="154"/>
      <c r="B211" s="155"/>
      <c r="C211" s="155"/>
      <c r="D211" s="156" t="s">
        <v>805</v>
      </c>
      <c r="E211" s="156" t="s">
        <v>4597</v>
      </c>
      <c r="F211" s="155"/>
      <c r="G211" s="157" t="n">
        <v>100</v>
      </c>
      <c r="H211" s="155"/>
      <c r="I211" s="155"/>
      <c r="J211" s="155"/>
      <c r="K211" s="146"/>
    </row>
    <row r="212">
      <c r="A212" s="154"/>
      <c r="B212" s="155"/>
      <c r="C212" s="155"/>
      <c r="D212" s="156" t="s">
        <v>1202</v>
      </c>
      <c r="E212" s="156" t="s">
        <v>4599</v>
      </c>
      <c r="F212" s="155"/>
      <c r="G212" s="157" t="n">
        <v>150</v>
      </c>
      <c r="H212" s="155"/>
      <c r="I212" s="155"/>
      <c r="J212" s="155"/>
      <c r="K212" s="146"/>
    </row>
    <row r="213">
      <c r="A213" s="9" t="s">
        <v>688</v>
      </c>
      <c r="B213" s="10" t="s">
        <v>93</v>
      </c>
      <c r="C213" s="10" t="s">
        <v>4865</v>
      </c>
      <c r="D213" s="14" t="s">
        <v>4866</v>
      </c>
      <c r="E213" s="10"/>
      <c r="F213" s="10" t="s">
        <v>282</v>
      </c>
      <c r="G213" s="111">
        <f>'Stavební rozpočet'!G3052</f>
      </c>
      <c r="H213" s="111">
        <f>'Stavební rozpočet'!H3052</f>
      </c>
      <c r="I213" s="111">
        <f>G213*H213</f>
      </c>
      <c r="J213" s="153" t="s">
        <v>134</v>
      </c>
      <c r="K213" s="146"/>
      <c r="Z213" s="111">
        <f>IF(AQ213="5",BJ213,0)</f>
      </c>
      <c r="AB213" s="111">
        <f>IF(AQ213="1",BH213,0)</f>
      </c>
      <c r="AC213" s="111">
        <f>IF(AQ213="1",BI213,0)</f>
      </c>
      <c r="AD213" s="111">
        <f>IF(AQ213="7",BH213,0)</f>
      </c>
      <c r="AE213" s="111">
        <f>IF(AQ213="7",BI213,0)</f>
      </c>
      <c r="AF213" s="111">
        <f>IF(AQ213="2",BH213,0)</f>
      </c>
      <c r="AG213" s="111">
        <f>IF(AQ213="2",BI213,0)</f>
      </c>
      <c r="AH213" s="111">
        <f>IF(AQ213="0",BJ213,0)</f>
      </c>
      <c r="AI213" s="132" t="s">
        <v>93</v>
      </c>
      <c r="AJ213" s="111">
        <f>IF(AN213=0,I213,0)</f>
      </c>
      <c r="AK213" s="111">
        <f>IF(AN213=12,I213,0)</f>
      </c>
      <c r="AL213" s="111">
        <f>IF(AN213=21,I213,0)</f>
      </c>
      <c r="AN213" s="111" t="n">
        <v>21</v>
      </c>
      <c r="AO213" s="111">
        <f>H213*0.307053942</f>
      </c>
      <c r="AP213" s="111">
        <f>H213*(1-0.307053942)</f>
      </c>
      <c r="AQ213" s="153" t="s">
        <v>140</v>
      </c>
      <c r="AV213" s="111">
        <f>AW213+AX213</f>
      </c>
      <c r="AW213" s="111">
        <f>G213*AO213</f>
      </c>
      <c r="AX213" s="111">
        <f>G213*AP213</f>
      </c>
      <c r="AY213" s="153" t="s">
        <v>4112</v>
      </c>
      <c r="AZ213" s="153" t="s">
        <v>4606</v>
      </c>
      <c r="BA213" s="132" t="s">
        <v>4594</v>
      </c>
      <c r="BC213" s="111">
        <f>AW213+AX213</f>
      </c>
      <c r="BD213" s="111">
        <f>H213/(100-BE213)*100</f>
      </c>
      <c r="BE213" s="111" t="n">
        <v>0</v>
      </c>
      <c r="BF213" s="111">
        <f>213</f>
      </c>
      <c r="BH213" s="111">
        <f>G213*AO213</f>
      </c>
      <c r="BI213" s="111">
        <f>G213*AP213</f>
      </c>
      <c r="BJ213" s="111">
        <f>G213*H213</f>
      </c>
      <c r="BK213" s="111"/>
      <c r="BL213" s="111"/>
      <c r="BW213" s="111" t="n">
        <v>21</v>
      </c>
      <c r="BX213" s="14" t="s">
        <v>4866</v>
      </c>
    </row>
    <row r="214" customHeight="true" ht="13.5">
      <c r="A214" s="159"/>
      <c r="C214" s="160" t="s">
        <v>146</v>
      </c>
      <c r="D214" s="161" t="s">
        <v>4859</v>
      </c>
      <c r="E214" s="156"/>
      <c r="F214" s="156"/>
      <c r="G214" s="156"/>
      <c r="H214" s="156"/>
      <c r="I214" s="156"/>
      <c r="J214" s="156"/>
      <c r="K214" s="163"/>
    </row>
    <row r="215">
      <c r="A215" s="154"/>
      <c r="B215" s="155"/>
      <c r="C215" s="155"/>
      <c r="D215" s="156" t="s">
        <v>1202</v>
      </c>
      <c r="E215" s="156" t="s">
        <v>4597</v>
      </c>
      <c r="F215" s="155"/>
      <c r="G215" s="157" t="n">
        <v>150</v>
      </c>
      <c r="H215" s="155"/>
      <c r="I215" s="155"/>
      <c r="J215" s="155"/>
      <c r="K215" s="146"/>
    </row>
    <row r="216">
      <c r="A216" s="154"/>
      <c r="B216" s="155"/>
      <c r="C216" s="155"/>
      <c r="D216" s="156" t="s">
        <v>1478</v>
      </c>
      <c r="E216" s="156" t="s">
        <v>4599</v>
      </c>
      <c r="F216" s="155"/>
      <c r="G216" s="157" t="n">
        <v>200</v>
      </c>
      <c r="H216" s="155"/>
      <c r="I216" s="155"/>
      <c r="J216" s="155"/>
      <c r="K216" s="146"/>
    </row>
    <row r="217">
      <c r="A217" s="9" t="s">
        <v>698</v>
      </c>
      <c r="B217" s="10" t="s">
        <v>93</v>
      </c>
      <c r="C217" s="10" t="s">
        <v>4868</v>
      </c>
      <c r="D217" s="14" t="s">
        <v>4869</v>
      </c>
      <c r="E217" s="10"/>
      <c r="F217" s="10" t="s">
        <v>282</v>
      </c>
      <c r="G217" s="111">
        <f>'Stavební rozpočet'!G3056</f>
      </c>
      <c r="H217" s="111">
        <f>'Stavební rozpočet'!H3056</f>
      </c>
      <c r="I217" s="111">
        <f>G217*H217</f>
      </c>
      <c r="J217" s="153" t="s">
        <v>134</v>
      </c>
      <c r="K217" s="146"/>
      <c r="Z217" s="111">
        <f>IF(AQ217="5",BJ217,0)</f>
      </c>
      <c r="AB217" s="111">
        <f>IF(AQ217="1",BH217,0)</f>
      </c>
      <c r="AC217" s="111">
        <f>IF(AQ217="1",BI217,0)</f>
      </c>
      <c r="AD217" s="111">
        <f>IF(AQ217="7",BH217,0)</f>
      </c>
      <c r="AE217" s="111">
        <f>IF(AQ217="7",BI217,0)</f>
      </c>
      <c r="AF217" s="111">
        <f>IF(AQ217="2",BH217,0)</f>
      </c>
      <c r="AG217" s="111">
        <f>IF(AQ217="2",BI217,0)</f>
      </c>
      <c r="AH217" s="111">
        <f>IF(AQ217="0",BJ217,0)</f>
      </c>
      <c r="AI217" s="132" t="s">
        <v>93</v>
      </c>
      <c r="AJ217" s="111">
        <f>IF(AN217=0,I217,0)</f>
      </c>
      <c r="AK217" s="111">
        <f>IF(AN217=12,I217,0)</f>
      </c>
      <c r="AL217" s="111">
        <f>IF(AN217=21,I217,0)</f>
      </c>
      <c r="AN217" s="111" t="n">
        <v>21</v>
      </c>
      <c r="AO217" s="111">
        <f>H217*0.231633312</f>
      </c>
      <c r="AP217" s="111">
        <f>H217*(1-0.231633312)</f>
      </c>
      <c r="AQ217" s="153" t="s">
        <v>140</v>
      </c>
      <c r="AV217" s="111">
        <f>AW217+AX217</f>
      </c>
      <c r="AW217" s="111">
        <f>G217*AO217</f>
      </c>
      <c r="AX217" s="111">
        <f>G217*AP217</f>
      </c>
      <c r="AY217" s="153" t="s">
        <v>4112</v>
      </c>
      <c r="AZ217" s="153" t="s">
        <v>4606</v>
      </c>
      <c r="BA217" s="132" t="s">
        <v>4594</v>
      </c>
      <c r="BC217" s="111">
        <f>AW217+AX217</f>
      </c>
      <c r="BD217" s="111">
        <f>H217/(100-BE217)*100</f>
      </c>
      <c r="BE217" s="111" t="n">
        <v>0</v>
      </c>
      <c r="BF217" s="111">
        <f>217</f>
      </c>
      <c r="BH217" s="111">
        <f>G217*AO217</f>
      </c>
      <c r="BI217" s="111">
        <f>G217*AP217</f>
      </c>
      <c r="BJ217" s="111">
        <f>G217*H217</f>
      </c>
      <c r="BK217" s="111"/>
      <c r="BL217" s="111"/>
      <c r="BW217" s="111" t="n">
        <v>21</v>
      </c>
      <c r="BX217" s="14" t="s">
        <v>4869</v>
      </c>
    </row>
    <row r="218" customHeight="true" ht="13.5">
      <c r="A218" s="159"/>
      <c r="C218" s="160" t="s">
        <v>146</v>
      </c>
      <c r="D218" s="161" t="s">
        <v>4863</v>
      </c>
      <c r="E218" s="156"/>
      <c r="F218" s="156"/>
      <c r="G218" s="156"/>
      <c r="H218" s="156"/>
      <c r="I218" s="156"/>
      <c r="J218" s="156"/>
      <c r="K218" s="163"/>
    </row>
    <row r="219">
      <c r="A219" s="154"/>
      <c r="B219" s="155"/>
      <c r="C219" s="155"/>
      <c r="D219" s="156" t="s">
        <v>805</v>
      </c>
      <c r="E219" s="156" t="s">
        <v>4597</v>
      </c>
      <c r="F219" s="155"/>
      <c r="G219" s="157" t="n">
        <v>100</v>
      </c>
      <c r="H219" s="155"/>
      <c r="I219" s="155"/>
      <c r="J219" s="155"/>
      <c r="K219" s="146"/>
    </row>
    <row r="220">
      <c r="A220" s="154"/>
      <c r="B220" s="155"/>
      <c r="C220" s="155"/>
      <c r="D220" s="156" t="s">
        <v>2020</v>
      </c>
      <c r="E220" s="156" t="s">
        <v>4599</v>
      </c>
      <c r="F220" s="155"/>
      <c r="G220" s="157" t="n">
        <v>300</v>
      </c>
      <c r="H220" s="155"/>
      <c r="I220" s="155"/>
      <c r="J220" s="155"/>
      <c r="K220" s="146"/>
    </row>
    <row r="221">
      <c r="A221" s="9" t="s">
        <v>704</v>
      </c>
      <c r="B221" s="10" t="s">
        <v>93</v>
      </c>
      <c r="C221" s="10" t="s">
        <v>4871</v>
      </c>
      <c r="D221" s="14" t="s">
        <v>4872</v>
      </c>
      <c r="E221" s="10"/>
      <c r="F221" s="10" t="s">
        <v>133</v>
      </c>
      <c r="G221" s="111">
        <f>'Stavební rozpočet'!G3060</f>
      </c>
      <c r="H221" s="111">
        <f>'Stavební rozpočet'!H3060</f>
      </c>
      <c r="I221" s="111">
        <f>G221*H221</f>
      </c>
      <c r="J221" s="153" t="s">
        <v>134</v>
      </c>
      <c r="K221" s="146"/>
      <c r="Z221" s="111">
        <f>IF(AQ221="5",BJ221,0)</f>
      </c>
      <c r="AB221" s="111">
        <f>IF(AQ221="1",BH221,0)</f>
      </c>
      <c r="AC221" s="111">
        <f>IF(AQ221="1",BI221,0)</f>
      </c>
      <c r="AD221" s="111">
        <f>IF(AQ221="7",BH221,0)</f>
      </c>
      <c r="AE221" s="111">
        <f>IF(AQ221="7",BI221,0)</f>
      </c>
      <c r="AF221" s="111">
        <f>IF(AQ221="2",BH221,0)</f>
      </c>
      <c r="AG221" s="111">
        <f>IF(AQ221="2",BI221,0)</f>
      </c>
      <c r="AH221" s="111">
        <f>IF(AQ221="0",BJ221,0)</f>
      </c>
      <c r="AI221" s="132" t="s">
        <v>93</v>
      </c>
      <c r="AJ221" s="111">
        <f>IF(AN221=0,I221,0)</f>
      </c>
      <c r="AK221" s="111">
        <f>IF(AN221=12,I221,0)</f>
      </c>
      <c r="AL221" s="111">
        <f>IF(AN221=21,I221,0)</f>
      </c>
      <c r="AN221" s="111" t="n">
        <v>21</v>
      </c>
      <c r="AO221" s="111">
        <f>H221*1</f>
      </c>
      <c r="AP221" s="111">
        <f>H221*(1-1)</f>
      </c>
      <c r="AQ221" s="153" t="s">
        <v>130</v>
      </c>
      <c r="AV221" s="111">
        <f>AW221+AX221</f>
      </c>
      <c r="AW221" s="111">
        <f>G221*AO221</f>
      </c>
      <c r="AX221" s="111">
        <f>G221*AP221</f>
      </c>
      <c r="AY221" s="153" t="s">
        <v>4112</v>
      </c>
      <c r="AZ221" s="153" t="s">
        <v>4606</v>
      </c>
      <c r="BA221" s="132" t="s">
        <v>4594</v>
      </c>
      <c r="BC221" s="111">
        <f>AW221+AX221</f>
      </c>
      <c r="BD221" s="111">
        <f>H221/(100-BE221)*100</f>
      </c>
      <c r="BE221" s="111" t="n">
        <v>0</v>
      </c>
      <c r="BF221" s="111">
        <f>221</f>
      </c>
      <c r="BH221" s="111">
        <f>G221*AO221</f>
      </c>
      <c r="BI221" s="111">
        <f>G221*AP221</f>
      </c>
      <c r="BJ221" s="111">
        <f>G221*H221</f>
      </c>
      <c r="BK221" s="111"/>
      <c r="BL221" s="111"/>
      <c r="BW221" s="111" t="n">
        <v>21</v>
      </c>
      <c r="BX221" s="14" t="s">
        <v>4872</v>
      </c>
    </row>
    <row r="222">
      <c r="A222" s="154"/>
      <c r="B222" s="155"/>
      <c r="C222" s="155"/>
      <c r="D222" s="156" t="s">
        <v>130</v>
      </c>
      <c r="E222" s="156" t="s">
        <v>4726</v>
      </c>
      <c r="F222" s="155"/>
      <c r="G222" s="157" t="n">
        <v>1</v>
      </c>
      <c r="H222" s="155"/>
      <c r="I222" s="155"/>
      <c r="J222" s="155"/>
      <c r="K222" s="146"/>
    </row>
    <row r="223">
      <c r="A223" s="9" t="s">
        <v>710</v>
      </c>
      <c r="B223" s="10" t="s">
        <v>93</v>
      </c>
      <c r="C223" s="10" t="s">
        <v>4874</v>
      </c>
      <c r="D223" s="14" t="s">
        <v>4875</v>
      </c>
      <c r="E223" s="10"/>
      <c r="F223" s="10" t="s">
        <v>133</v>
      </c>
      <c r="G223" s="111">
        <f>'Stavební rozpočet'!G3062</f>
      </c>
      <c r="H223" s="111">
        <f>'Stavební rozpočet'!H3062</f>
      </c>
      <c r="I223" s="111">
        <f>G223*H223</f>
      </c>
      <c r="J223" s="153" t="s">
        <v>134</v>
      </c>
      <c r="K223" s="146"/>
      <c r="Z223" s="111">
        <f>IF(AQ223="5",BJ223,0)</f>
      </c>
      <c r="AB223" s="111">
        <f>IF(AQ223="1",BH223,0)</f>
      </c>
      <c r="AC223" s="111">
        <f>IF(AQ223="1",BI223,0)</f>
      </c>
      <c r="AD223" s="111">
        <f>IF(AQ223="7",BH223,0)</f>
      </c>
      <c r="AE223" s="111">
        <f>IF(AQ223="7",BI223,0)</f>
      </c>
      <c r="AF223" s="111">
        <f>IF(AQ223="2",BH223,0)</f>
      </c>
      <c r="AG223" s="111">
        <f>IF(AQ223="2",BI223,0)</f>
      </c>
      <c r="AH223" s="111">
        <f>IF(AQ223="0",BJ223,0)</f>
      </c>
      <c r="AI223" s="132" t="s">
        <v>93</v>
      </c>
      <c r="AJ223" s="111">
        <f>IF(AN223=0,I223,0)</f>
      </c>
      <c r="AK223" s="111">
        <f>IF(AN223=12,I223,0)</f>
      </c>
      <c r="AL223" s="111">
        <f>IF(AN223=21,I223,0)</f>
      </c>
      <c r="AN223" s="111" t="n">
        <v>21</v>
      </c>
      <c r="AO223" s="111">
        <f>H223*1</f>
      </c>
      <c r="AP223" s="111">
        <f>H223*(1-1)</f>
      </c>
      <c r="AQ223" s="153" t="s">
        <v>130</v>
      </c>
      <c r="AV223" s="111">
        <f>AW223+AX223</f>
      </c>
      <c r="AW223" s="111">
        <f>G223*AO223</f>
      </c>
      <c r="AX223" s="111">
        <f>G223*AP223</f>
      </c>
      <c r="AY223" s="153" t="s">
        <v>4112</v>
      </c>
      <c r="AZ223" s="153" t="s">
        <v>4606</v>
      </c>
      <c r="BA223" s="132" t="s">
        <v>4594</v>
      </c>
      <c r="BC223" s="111">
        <f>AW223+AX223</f>
      </c>
      <c r="BD223" s="111">
        <f>H223/(100-BE223)*100</f>
      </c>
      <c r="BE223" s="111" t="n">
        <v>0</v>
      </c>
      <c r="BF223" s="111">
        <f>223</f>
      </c>
      <c r="BH223" s="111">
        <f>G223*AO223</f>
      </c>
      <c r="BI223" s="111">
        <f>G223*AP223</f>
      </c>
      <c r="BJ223" s="111">
        <f>G223*H223</f>
      </c>
      <c r="BK223" s="111"/>
      <c r="BL223" s="111"/>
      <c r="BW223" s="111" t="n">
        <v>21</v>
      </c>
      <c r="BX223" s="14" t="s">
        <v>4875</v>
      </c>
    </row>
    <row r="224">
      <c r="A224" s="154"/>
      <c r="B224" s="155"/>
      <c r="C224" s="155"/>
      <c r="D224" s="156" t="s">
        <v>130</v>
      </c>
      <c r="E224" s="156" t="s">
        <v>4876</v>
      </c>
      <c r="F224" s="155"/>
      <c r="G224" s="157" t="n">
        <v>1</v>
      </c>
      <c r="H224" s="155"/>
      <c r="I224" s="155"/>
      <c r="J224" s="155"/>
      <c r="K224" s="146"/>
    </row>
    <row r="225">
      <c r="A225" s="154"/>
      <c r="B225" s="155"/>
      <c r="C225" s="155"/>
      <c r="D225" s="156" t="s">
        <v>4</v>
      </c>
      <c r="E225" s="156" t="s">
        <v>4877</v>
      </c>
      <c r="F225" s="155"/>
      <c r="G225" s="157" t="n">
        <v>0</v>
      </c>
      <c r="H225" s="155"/>
      <c r="I225" s="155"/>
      <c r="J225" s="155"/>
      <c r="K225" s="146"/>
    </row>
    <row r="226">
      <c r="A226" s="9" t="s">
        <v>715</v>
      </c>
      <c r="B226" s="10" t="s">
        <v>93</v>
      </c>
      <c r="C226" s="10" t="s">
        <v>4879</v>
      </c>
      <c r="D226" s="14" t="s">
        <v>4880</v>
      </c>
      <c r="E226" s="10"/>
      <c r="F226" s="10" t="s">
        <v>133</v>
      </c>
      <c r="G226" s="111">
        <f>'Stavební rozpočet'!G3065</f>
      </c>
      <c r="H226" s="111">
        <f>'Stavební rozpočet'!H3065</f>
      </c>
      <c r="I226" s="111">
        <f>G226*H226</f>
      </c>
      <c r="J226" s="153" t="s">
        <v>134</v>
      </c>
      <c r="K226" s="146"/>
      <c r="Z226" s="111">
        <f>IF(AQ226="5",BJ226,0)</f>
      </c>
      <c r="AB226" s="111">
        <f>IF(AQ226="1",BH226,0)</f>
      </c>
      <c r="AC226" s="111">
        <f>IF(AQ226="1",BI226,0)</f>
      </c>
      <c r="AD226" s="111">
        <f>IF(AQ226="7",BH226,0)</f>
      </c>
      <c r="AE226" s="111">
        <f>IF(AQ226="7",BI226,0)</f>
      </c>
      <c r="AF226" s="111">
        <f>IF(AQ226="2",BH226,0)</f>
      </c>
      <c r="AG226" s="111">
        <f>IF(AQ226="2",BI226,0)</f>
      </c>
      <c r="AH226" s="111">
        <f>IF(AQ226="0",BJ226,0)</f>
      </c>
      <c r="AI226" s="132" t="s">
        <v>93</v>
      </c>
      <c r="AJ226" s="111">
        <f>IF(AN226=0,I226,0)</f>
      </c>
      <c r="AK226" s="111">
        <f>IF(AN226=12,I226,0)</f>
      </c>
      <c r="AL226" s="111">
        <f>IF(AN226=21,I226,0)</f>
      </c>
      <c r="AN226" s="111" t="n">
        <v>21</v>
      </c>
      <c r="AO226" s="111">
        <f>H226*1</f>
      </c>
      <c r="AP226" s="111">
        <f>H226*(1-1)</f>
      </c>
      <c r="AQ226" s="153" t="s">
        <v>130</v>
      </c>
      <c r="AV226" s="111">
        <f>AW226+AX226</f>
      </c>
      <c r="AW226" s="111">
        <f>G226*AO226</f>
      </c>
      <c r="AX226" s="111">
        <f>G226*AP226</f>
      </c>
      <c r="AY226" s="153" t="s">
        <v>4112</v>
      </c>
      <c r="AZ226" s="153" t="s">
        <v>4606</v>
      </c>
      <c r="BA226" s="132" t="s">
        <v>4594</v>
      </c>
      <c r="BC226" s="111">
        <f>AW226+AX226</f>
      </c>
      <c r="BD226" s="111">
        <f>H226/(100-BE226)*100</f>
      </c>
      <c r="BE226" s="111" t="n">
        <v>0</v>
      </c>
      <c r="BF226" s="111">
        <f>226</f>
      </c>
      <c r="BH226" s="111">
        <f>G226*AO226</f>
      </c>
      <c r="BI226" s="111">
        <f>G226*AP226</f>
      </c>
      <c r="BJ226" s="111">
        <f>G226*H226</f>
      </c>
      <c r="BK226" s="111"/>
      <c r="BL226" s="111"/>
      <c r="BW226" s="111" t="n">
        <v>21</v>
      </c>
      <c r="BX226" s="14" t="s">
        <v>4880</v>
      </c>
    </row>
    <row r="227">
      <c r="A227" s="154"/>
      <c r="B227" s="155"/>
      <c r="C227" s="155"/>
      <c r="D227" s="156" t="s">
        <v>140</v>
      </c>
      <c r="E227" s="156" t="s">
        <v>4726</v>
      </c>
      <c r="F227" s="155"/>
      <c r="G227" s="157" t="n">
        <v>2</v>
      </c>
      <c r="H227" s="155"/>
      <c r="I227" s="155"/>
      <c r="J227" s="155"/>
      <c r="K227" s="146"/>
    </row>
    <row r="228">
      <c r="A228" s="9" t="s">
        <v>728</v>
      </c>
      <c r="B228" s="10" t="s">
        <v>93</v>
      </c>
      <c r="C228" s="10" t="s">
        <v>4882</v>
      </c>
      <c r="D228" s="14" t="s">
        <v>4883</v>
      </c>
      <c r="E228" s="10"/>
      <c r="F228" s="10" t="s">
        <v>133</v>
      </c>
      <c r="G228" s="111">
        <f>'Stavební rozpočet'!G3067</f>
      </c>
      <c r="H228" s="111">
        <f>'Stavební rozpočet'!H3067</f>
      </c>
      <c r="I228" s="111">
        <f>G228*H228</f>
      </c>
      <c r="J228" s="153" t="s">
        <v>134</v>
      </c>
      <c r="K228" s="146"/>
      <c r="Z228" s="111">
        <f>IF(AQ228="5",BJ228,0)</f>
      </c>
      <c r="AB228" s="111">
        <f>IF(AQ228="1",BH228,0)</f>
      </c>
      <c r="AC228" s="111">
        <f>IF(AQ228="1",BI228,0)</f>
      </c>
      <c r="AD228" s="111">
        <f>IF(AQ228="7",BH228,0)</f>
      </c>
      <c r="AE228" s="111">
        <f>IF(AQ228="7",BI228,0)</f>
      </c>
      <c r="AF228" s="111">
        <f>IF(AQ228="2",BH228,0)</f>
      </c>
      <c r="AG228" s="111">
        <f>IF(AQ228="2",BI228,0)</f>
      </c>
      <c r="AH228" s="111">
        <f>IF(AQ228="0",BJ228,0)</f>
      </c>
      <c r="AI228" s="132" t="s">
        <v>93</v>
      </c>
      <c r="AJ228" s="111">
        <f>IF(AN228=0,I228,0)</f>
      </c>
      <c r="AK228" s="111">
        <f>IF(AN228=12,I228,0)</f>
      </c>
      <c r="AL228" s="111">
        <f>IF(AN228=21,I228,0)</f>
      </c>
      <c r="AN228" s="111" t="n">
        <v>21</v>
      </c>
      <c r="AO228" s="111">
        <f>H228*1</f>
      </c>
      <c r="AP228" s="111">
        <f>H228*(1-1)</f>
      </c>
      <c r="AQ228" s="153" t="s">
        <v>130</v>
      </c>
      <c r="AV228" s="111">
        <f>AW228+AX228</f>
      </c>
      <c r="AW228" s="111">
        <f>G228*AO228</f>
      </c>
      <c r="AX228" s="111">
        <f>G228*AP228</f>
      </c>
      <c r="AY228" s="153" t="s">
        <v>4112</v>
      </c>
      <c r="AZ228" s="153" t="s">
        <v>4606</v>
      </c>
      <c r="BA228" s="132" t="s">
        <v>4594</v>
      </c>
      <c r="BC228" s="111">
        <f>AW228+AX228</f>
      </c>
      <c r="BD228" s="111">
        <f>H228/(100-BE228)*100</f>
      </c>
      <c r="BE228" s="111" t="n">
        <v>0</v>
      </c>
      <c r="BF228" s="111">
        <f>228</f>
      </c>
      <c r="BH228" s="111">
        <f>G228*AO228</f>
      </c>
      <c r="BI228" s="111">
        <f>G228*AP228</f>
      </c>
      <c r="BJ228" s="111">
        <f>G228*H228</f>
      </c>
      <c r="BK228" s="111"/>
      <c r="BL228" s="111"/>
      <c r="BW228" s="111" t="n">
        <v>21</v>
      </c>
      <c r="BX228" s="14" t="s">
        <v>4883</v>
      </c>
    </row>
    <row r="229">
      <c r="A229" s="154"/>
      <c r="B229" s="155"/>
      <c r="C229" s="155"/>
      <c r="D229" s="156" t="s">
        <v>130</v>
      </c>
      <c r="E229" s="156" t="s">
        <v>4726</v>
      </c>
      <c r="F229" s="155"/>
      <c r="G229" s="157" t="n">
        <v>1</v>
      </c>
      <c r="H229" s="155"/>
      <c r="I229" s="155"/>
      <c r="J229" s="155"/>
      <c r="K229" s="146"/>
    </row>
    <row r="230">
      <c r="A230" s="9" t="s">
        <v>737</v>
      </c>
      <c r="B230" s="10" t="s">
        <v>93</v>
      </c>
      <c r="C230" s="10" t="s">
        <v>4885</v>
      </c>
      <c r="D230" s="14" t="s">
        <v>4886</v>
      </c>
      <c r="E230" s="10"/>
      <c r="F230" s="10" t="s">
        <v>133</v>
      </c>
      <c r="G230" s="111">
        <f>'Stavební rozpočet'!G3069</f>
      </c>
      <c r="H230" s="111">
        <f>'Stavební rozpočet'!H3069</f>
      </c>
      <c r="I230" s="111">
        <f>G230*H230</f>
      </c>
      <c r="J230" s="153" t="s">
        <v>134</v>
      </c>
      <c r="K230" s="146"/>
      <c r="Z230" s="111">
        <f>IF(AQ230="5",BJ230,0)</f>
      </c>
      <c r="AB230" s="111">
        <f>IF(AQ230="1",BH230,0)</f>
      </c>
      <c r="AC230" s="111">
        <f>IF(AQ230="1",BI230,0)</f>
      </c>
      <c r="AD230" s="111">
        <f>IF(AQ230="7",BH230,0)</f>
      </c>
      <c r="AE230" s="111">
        <f>IF(AQ230="7",BI230,0)</f>
      </c>
      <c r="AF230" s="111">
        <f>IF(AQ230="2",BH230,0)</f>
      </c>
      <c r="AG230" s="111">
        <f>IF(AQ230="2",BI230,0)</f>
      </c>
      <c r="AH230" s="111">
        <f>IF(AQ230="0",BJ230,0)</f>
      </c>
      <c r="AI230" s="132" t="s">
        <v>93</v>
      </c>
      <c r="AJ230" s="111">
        <f>IF(AN230=0,I230,0)</f>
      </c>
      <c r="AK230" s="111">
        <f>IF(AN230=12,I230,0)</f>
      </c>
      <c r="AL230" s="111">
        <f>IF(AN230=21,I230,0)</f>
      </c>
      <c r="AN230" s="111" t="n">
        <v>21</v>
      </c>
      <c r="AO230" s="111">
        <f>H230*1</f>
      </c>
      <c r="AP230" s="111">
        <f>H230*(1-1)</f>
      </c>
      <c r="AQ230" s="153" t="s">
        <v>130</v>
      </c>
      <c r="AV230" s="111">
        <f>AW230+AX230</f>
      </c>
      <c r="AW230" s="111">
        <f>G230*AO230</f>
      </c>
      <c r="AX230" s="111">
        <f>G230*AP230</f>
      </c>
      <c r="AY230" s="153" t="s">
        <v>4112</v>
      </c>
      <c r="AZ230" s="153" t="s">
        <v>4606</v>
      </c>
      <c r="BA230" s="132" t="s">
        <v>4594</v>
      </c>
      <c r="BC230" s="111">
        <f>AW230+AX230</f>
      </c>
      <c r="BD230" s="111">
        <f>H230/(100-BE230)*100</f>
      </c>
      <c r="BE230" s="111" t="n">
        <v>0</v>
      </c>
      <c r="BF230" s="111">
        <f>230</f>
      </c>
      <c r="BH230" s="111">
        <f>G230*AO230</f>
      </c>
      <c r="BI230" s="111">
        <f>G230*AP230</f>
      </c>
      <c r="BJ230" s="111">
        <f>G230*H230</f>
      </c>
      <c r="BK230" s="111"/>
      <c r="BL230" s="111"/>
      <c r="BW230" s="111" t="n">
        <v>21</v>
      </c>
      <c r="BX230" s="14" t="s">
        <v>4886</v>
      </c>
    </row>
    <row r="231">
      <c r="A231" s="154"/>
      <c r="B231" s="155"/>
      <c r="C231" s="155"/>
      <c r="D231" s="156" t="s">
        <v>176</v>
      </c>
      <c r="E231" s="156" t="s">
        <v>4726</v>
      </c>
      <c r="F231" s="155"/>
      <c r="G231" s="157" t="n">
        <v>8</v>
      </c>
      <c r="H231" s="155"/>
      <c r="I231" s="155"/>
      <c r="J231" s="155"/>
      <c r="K231" s="146"/>
    </row>
    <row r="232">
      <c r="A232" s="9" t="s">
        <v>745</v>
      </c>
      <c r="B232" s="10" t="s">
        <v>93</v>
      </c>
      <c r="C232" s="10" t="s">
        <v>4888</v>
      </c>
      <c r="D232" s="14" t="s">
        <v>4889</v>
      </c>
      <c r="E232" s="10"/>
      <c r="F232" s="10" t="s">
        <v>133</v>
      </c>
      <c r="G232" s="111">
        <f>'Stavební rozpočet'!G3071</f>
      </c>
      <c r="H232" s="111">
        <f>'Stavební rozpočet'!H3071</f>
      </c>
      <c r="I232" s="111">
        <f>G232*H232</f>
      </c>
      <c r="J232" s="153" t="s">
        <v>134</v>
      </c>
      <c r="K232" s="146"/>
      <c r="Z232" s="111">
        <f>IF(AQ232="5",BJ232,0)</f>
      </c>
      <c r="AB232" s="111">
        <f>IF(AQ232="1",BH232,0)</f>
      </c>
      <c r="AC232" s="111">
        <f>IF(AQ232="1",BI232,0)</f>
      </c>
      <c r="AD232" s="111">
        <f>IF(AQ232="7",BH232,0)</f>
      </c>
      <c r="AE232" s="111">
        <f>IF(AQ232="7",BI232,0)</f>
      </c>
      <c r="AF232" s="111">
        <f>IF(AQ232="2",BH232,0)</f>
      </c>
      <c r="AG232" s="111">
        <f>IF(AQ232="2",BI232,0)</f>
      </c>
      <c r="AH232" s="111">
        <f>IF(AQ232="0",BJ232,0)</f>
      </c>
      <c r="AI232" s="132" t="s">
        <v>93</v>
      </c>
      <c r="AJ232" s="111">
        <f>IF(AN232=0,I232,0)</f>
      </c>
      <c r="AK232" s="111">
        <f>IF(AN232=12,I232,0)</f>
      </c>
      <c r="AL232" s="111">
        <f>IF(AN232=21,I232,0)</f>
      </c>
      <c r="AN232" s="111" t="n">
        <v>21</v>
      </c>
      <c r="AO232" s="111">
        <f>H232*1</f>
      </c>
      <c r="AP232" s="111">
        <f>H232*(1-1)</f>
      </c>
      <c r="AQ232" s="153" t="s">
        <v>130</v>
      </c>
      <c r="AV232" s="111">
        <f>AW232+AX232</f>
      </c>
      <c r="AW232" s="111">
        <f>G232*AO232</f>
      </c>
      <c r="AX232" s="111">
        <f>G232*AP232</f>
      </c>
      <c r="AY232" s="153" t="s">
        <v>4112</v>
      </c>
      <c r="AZ232" s="153" t="s">
        <v>4606</v>
      </c>
      <c r="BA232" s="132" t="s">
        <v>4594</v>
      </c>
      <c r="BC232" s="111">
        <f>AW232+AX232</f>
      </c>
      <c r="BD232" s="111">
        <f>H232/(100-BE232)*100</f>
      </c>
      <c r="BE232" s="111" t="n">
        <v>0</v>
      </c>
      <c r="BF232" s="111">
        <f>232</f>
      </c>
      <c r="BH232" s="111">
        <f>G232*AO232</f>
      </c>
      <c r="BI232" s="111">
        <f>G232*AP232</f>
      </c>
      <c r="BJ232" s="111">
        <f>G232*H232</f>
      </c>
      <c r="BK232" s="111"/>
      <c r="BL232" s="111"/>
      <c r="BW232" s="111" t="n">
        <v>21</v>
      </c>
      <c r="BX232" s="14" t="s">
        <v>4889</v>
      </c>
    </row>
    <row r="233">
      <c r="A233" s="154"/>
      <c r="B233" s="155"/>
      <c r="C233" s="155"/>
      <c r="D233" s="156" t="s">
        <v>266</v>
      </c>
      <c r="E233" s="156" t="s">
        <v>4726</v>
      </c>
      <c r="F233" s="155"/>
      <c r="G233" s="157" t="n">
        <v>22</v>
      </c>
      <c r="H233" s="155"/>
      <c r="I233" s="155"/>
      <c r="J233" s="155"/>
      <c r="K233" s="146"/>
    </row>
    <row r="234">
      <c r="A234" s="9" t="s">
        <v>748</v>
      </c>
      <c r="B234" s="10" t="s">
        <v>93</v>
      </c>
      <c r="C234" s="10" t="s">
        <v>4891</v>
      </c>
      <c r="D234" s="14" t="s">
        <v>4892</v>
      </c>
      <c r="E234" s="10"/>
      <c r="F234" s="10" t="s">
        <v>133</v>
      </c>
      <c r="G234" s="111">
        <f>'Stavební rozpočet'!G3073</f>
      </c>
      <c r="H234" s="111">
        <f>'Stavební rozpočet'!H3073</f>
      </c>
      <c r="I234" s="111">
        <f>G234*H234</f>
      </c>
      <c r="J234" s="153" t="s">
        <v>134</v>
      </c>
      <c r="K234" s="146"/>
      <c r="Z234" s="111">
        <f>IF(AQ234="5",BJ234,0)</f>
      </c>
      <c r="AB234" s="111">
        <f>IF(AQ234="1",BH234,0)</f>
      </c>
      <c r="AC234" s="111">
        <f>IF(AQ234="1",BI234,0)</f>
      </c>
      <c r="AD234" s="111">
        <f>IF(AQ234="7",BH234,0)</f>
      </c>
      <c r="AE234" s="111">
        <f>IF(AQ234="7",BI234,0)</f>
      </c>
      <c r="AF234" s="111">
        <f>IF(AQ234="2",BH234,0)</f>
      </c>
      <c r="AG234" s="111">
        <f>IF(AQ234="2",BI234,0)</f>
      </c>
      <c r="AH234" s="111">
        <f>IF(AQ234="0",BJ234,0)</f>
      </c>
      <c r="AI234" s="132" t="s">
        <v>93</v>
      </c>
      <c r="AJ234" s="111">
        <f>IF(AN234=0,I234,0)</f>
      </c>
      <c r="AK234" s="111">
        <f>IF(AN234=12,I234,0)</f>
      </c>
      <c r="AL234" s="111">
        <f>IF(AN234=21,I234,0)</f>
      </c>
      <c r="AN234" s="111" t="n">
        <v>21</v>
      </c>
      <c r="AO234" s="111">
        <f>H234*1</f>
      </c>
      <c r="AP234" s="111">
        <f>H234*(1-1)</f>
      </c>
      <c r="AQ234" s="153" t="s">
        <v>130</v>
      </c>
      <c r="AV234" s="111">
        <f>AW234+AX234</f>
      </c>
      <c r="AW234" s="111">
        <f>G234*AO234</f>
      </c>
      <c r="AX234" s="111">
        <f>G234*AP234</f>
      </c>
      <c r="AY234" s="153" t="s">
        <v>4112</v>
      </c>
      <c r="AZ234" s="153" t="s">
        <v>4606</v>
      </c>
      <c r="BA234" s="132" t="s">
        <v>4594</v>
      </c>
      <c r="BC234" s="111">
        <f>AW234+AX234</f>
      </c>
      <c r="BD234" s="111">
        <f>H234/(100-BE234)*100</f>
      </c>
      <c r="BE234" s="111" t="n">
        <v>0</v>
      </c>
      <c r="BF234" s="111">
        <f>234</f>
      </c>
      <c r="BH234" s="111">
        <f>G234*AO234</f>
      </c>
      <c r="BI234" s="111">
        <f>G234*AP234</f>
      </c>
      <c r="BJ234" s="111">
        <f>G234*H234</f>
      </c>
      <c r="BK234" s="111"/>
      <c r="BL234" s="111"/>
      <c r="BW234" s="111" t="n">
        <v>21</v>
      </c>
      <c r="BX234" s="14" t="s">
        <v>4892</v>
      </c>
    </row>
    <row r="235">
      <c r="A235" s="154"/>
      <c r="B235" s="155"/>
      <c r="C235" s="155"/>
      <c r="D235" s="156" t="s">
        <v>163</v>
      </c>
      <c r="E235" s="156" t="s">
        <v>4726</v>
      </c>
      <c r="F235" s="155"/>
      <c r="G235" s="157" t="n">
        <v>13</v>
      </c>
      <c r="H235" s="155"/>
      <c r="I235" s="155"/>
      <c r="J235" s="155"/>
      <c r="K235" s="146"/>
    </row>
    <row r="236">
      <c r="A236" s="147" t="s">
        <v>4</v>
      </c>
      <c r="B236" s="148" t="s">
        <v>93</v>
      </c>
      <c r="C236" s="148" t="s">
        <v>4578</v>
      </c>
      <c r="D236" s="149" t="s">
        <v>4893</v>
      </c>
      <c r="E236" s="148"/>
      <c r="F236" s="150" t="s">
        <v>79</v>
      </c>
      <c r="G236" s="150" t="s">
        <v>79</v>
      </c>
      <c r="H236" s="150" t="s">
        <v>79</v>
      </c>
      <c r="I236" s="117">
        <f>SUM(I237:I251)</f>
      </c>
      <c r="J236" s="132" t="s">
        <v>4</v>
      </c>
      <c r="K236" s="146"/>
      <c r="AI236" s="132" t="s">
        <v>93</v>
      </c>
      <c r="AS236" s="117">
        <f>SUM(AJ237:AJ251)</f>
      </c>
      <c r="AT236" s="117">
        <f>SUM(AK237:AK251)</f>
      </c>
      <c r="AU236" s="117">
        <f>SUM(AL237:AL251)</f>
      </c>
    </row>
    <row r="237">
      <c r="A237" s="9" t="s">
        <v>756</v>
      </c>
      <c r="B237" s="10" t="s">
        <v>93</v>
      </c>
      <c r="C237" s="10" t="s">
        <v>4895</v>
      </c>
      <c r="D237" s="14" t="s">
        <v>4896</v>
      </c>
      <c r="E237" s="10"/>
      <c r="F237" s="10" t="s">
        <v>133</v>
      </c>
      <c r="G237" s="111">
        <f>'Stavební rozpočet'!G3076</f>
      </c>
      <c r="H237" s="111">
        <f>'Stavební rozpočet'!H3076</f>
      </c>
      <c r="I237" s="111">
        <f>G237*H237</f>
      </c>
      <c r="J237" s="153" t="s">
        <v>134</v>
      </c>
      <c r="K237" s="146"/>
      <c r="Z237" s="111">
        <f>IF(AQ237="5",BJ237,0)</f>
      </c>
      <c r="AB237" s="111">
        <f>IF(AQ237="1",BH237,0)</f>
      </c>
      <c r="AC237" s="111">
        <f>IF(AQ237="1",BI237,0)</f>
      </c>
      <c r="AD237" s="111">
        <f>IF(AQ237="7",BH237,0)</f>
      </c>
      <c r="AE237" s="111">
        <f>IF(AQ237="7",BI237,0)</f>
      </c>
      <c r="AF237" s="111">
        <f>IF(AQ237="2",BH237,0)</f>
      </c>
      <c r="AG237" s="111">
        <f>IF(AQ237="2",BI237,0)</f>
      </c>
      <c r="AH237" s="111">
        <f>IF(AQ237="0",BJ237,0)</f>
      </c>
      <c r="AI237" s="132" t="s">
        <v>93</v>
      </c>
      <c r="AJ237" s="111">
        <f>IF(AN237=0,I237,0)</f>
      </c>
      <c r="AK237" s="111">
        <f>IF(AN237=12,I237,0)</f>
      </c>
      <c r="AL237" s="111">
        <f>IF(AN237=21,I237,0)</f>
      </c>
      <c r="AN237" s="111" t="n">
        <v>21</v>
      </c>
      <c r="AO237" s="111">
        <f>H237*0</f>
      </c>
      <c r="AP237" s="111">
        <f>H237*(1-0)</f>
      </c>
      <c r="AQ237" s="153" t="s">
        <v>140</v>
      </c>
      <c r="AV237" s="111">
        <f>AW237+AX237</f>
      </c>
      <c r="AW237" s="111">
        <f>G237*AO237</f>
      </c>
      <c r="AX237" s="111">
        <f>G237*AP237</f>
      </c>
      <c r="AY237" s="153" t="s">
        <v>4583</v>
      </c>
      <c r="AZ237" s="153" t="s">
        <v>4606</v>
      </c>
      <c r="BA237" s="132" t="s">
        <v>4594</v>
      </c>
      <c r="BC237" s="111">
        <f>AW237+AX237</f>
      </c>
      <c r="BD237" s="111">
        <f>H237/(100-BE237)*100</f>
      </c>
      <c r="BE237" s="111" t="n">
        <v>0</v>
      </c>
      <c r="BF237" s="111">
        <f>237</f>
      </c>
      <c r="BH237" s="111">
        <f>G237*AO237</f>
      </c>
      <c r="BI237" s="111">
        <f>G237*AP237</f>
      </c>
      <c r="BJ237" s="111">
        <f>G237*H237</f>
      </c>
      <c r="BK237" s="111"/>
      <c r="BL237" s="111"/>
      <c r="BW237" s="111" t="n">
        <v>21</v>
      </c>
      <c r="BX237" s="14" t="s">
        <v>4896</v>
      </c>
    </row>
    <row r="238" customHeight="true" ht="13.5">
      <c r="A238" s="159"/>
      <c r="C238" s="160" t="s">
        <v>146</v>
      </c>
      <c r="D238" s="161" t="s">
        <v>4897</v>
      </c>
      <c r="E238" s="156"/>
      <c r="F238" s="156"/>
      <c r="G238" s="156"/>
      <c r="H238" s="156"/>
      <c r="I238" s="156"/>
      <c r="J238" s="156"/>
      <c r="K238" s="163"/>
    </row>
    <row r="239">
      <c r="A239" s="154"/>
      <c r="B239" s="155"/>
      <c r="C239" s="155"/>
      <c r="D239" s="156" t="s">
        <v>140</v>
      </c>
      <c r="E239" s="156" t="s">
        <v>4726</v>
      </c>
      <c r="F239" s="155"/>
      <c r="G239" s="157" t="n">
        <v>2</v>
      </c>
      <c r="H239" s="155"/>
      <c r="I239" s="155"/>
      <c r="J239" s="155"/>
      <c r="K239" s="146"/>
    </row>
    <row r="240">
      <c r="A240" s="9" t="s">
        <v>761</v>
      </c>
      <c r="B240" s="10" t="s">
        <v>93</v>
      </c>
      <c r="C240" s="10" t="s">
        <v>4899</v>
      </c>
      <c r="D240" s="14" t="s">
        <v>4900</v>
      </c>
      <c r="E240" s="10"/>
      <c r="F240" s="10" t="s">
        <v>133</v>
      </c>
      <c r="G240" s="111">
        <f>'Stavební rozpočet'!G3079</f>
      </c>
      <c r="H240" s="111">
        <f>'Stavební rozpočet'!H3079</f>
      </c>
      <c r="I240" s="111">
        <f>G240*H240</f>
      </c>
      <c r="J240" s="153" t="s">
        <v>134</v>
      </c>
      <c r="K240" s="146"/>
      <c r="Z240" s="111">
        <f>IF(AQ240="5",BJ240,0)</f>
      </c>
      <c r="AB240" s="111">
        <f>IF(AQ240="1",BH240,0)</f>
      </c>
      <c r="AC240" s="111">
        <f>IF(AQ240="1",BI240,0)</f>
      </c>
      <c r="AD240" s="111">
        <f>IF(AQ240="7",BH240,0)</f>
      </c>
      <c r="AE240" s="111">
        <f>IF(AQ240="7",BI240,0)</f>
      </c>
      <c r="AF240" s="111">
        <f>IF(AQ240="2",BH240,0)</f>
      </c>
      <c r="AG240" s="111">
        <f>IF(AQ240="2",BI240,0)</f>
      </c>
      <c r="AH240" s="111">
        <f>IF(AQ240="0",BJ240,0)</f>
      </c>
      <c r="AI240" s="132" t="s">
        <v>93</v>
      </c>
      <c r="AJ240" s="111">
        <f>IF(AN240=0,I240,0)</f>
      </c>
      <c r="AK240" s="111">
        <f>IF(AN240=12,I240,0)</f>
      </c>
      <c r="AL240" s="111">
        <f>IF(AN240=21,I240,0)</f>
      </c>
      <c r="AN240" s="111" t="n">
        <v>21</v>
      </c>
      <c r="AO240" s="111">
        <f>H240*0</f>
      </c>
      <c r="AP240" s="111">
        <f>H240*(1-0)</f>
      </c>
      <c r="AQ240" s="153" t="s">
        <v>140</v>
      </c>
      <c r="AV240" s="111">
        <f>AW240+AX240</f>
      </c>
      <c r="AW240" s="111">
        <f>G240*AO240</f>
      </c>
      <c r="AX240" s="111">
        <f>G240*AP240</f>
      </c>
      <c r="AY240" s="153" t="s">
        <v>4583</v>
      </c>
      <c r="AZ240" s="153" t="s">
        <v>4606</v>
      </c>
      <c r="BA240" s="132" t="s">
        <v>4594</v>
      </c>
      <c r="BC240" s="111">
        <f>AW240+AX240</f>
      </c>
      <c r="BD240" s="111">
        <f>H240/(100-BE240)*100</f>
      </c>
      <c r="BE240" s="111" t="n">
        <v>0</v>
      </c>
      <c r="BF240" s="111">
        <f>240</f>
      </c>
      <c r="BH240" s="111">
        <f>G240*AO240</f>
      </c>
      <c r="BI240" s="111">
        <f>G240*AP240</f>
      </c>
      <c r="BJ240" s="111">
        <f>G240*H240</f>
      </c>
      <c r="BK240" s="111"/>
      <c r="BL240" s="111"/>
      <c r="BW240" s="111" t="n">
        <v>21</v>
      </c>
      <c r="BX240" s="14" t="s">
        <v>4900</v>
      </c>
    </row>
    <row r="241" customHeight="true" ht="13.5">
      <c r="A241" s="159"/>
      <c r="C241" s="160" t="s">
        <v>146</v>
      </c>
      <c r="D241" s="161" t="s">
        <v>4901</v>
      </c>
      <c r="E241" s="156"/>
      <c r="F241" s="156"/>
      <c r="G241" s="156"/>
      <c r="H241" s="156"/>
      <c r="I241" s="156"/>
      <c r="J241" s="156"/>
      <c r="K241" s="163"/>
    </row>
    <row r="242">
      <c r="A242" s="154"/>
      <c r="B242" s="155"/>
      <c r="C242" s="155"/>
      <c r="D242" s="156" t="s">
        <v>183</v>
      </c>
      <c r="E242" s="156" t="s">
        <v>4726</v>
      </c>
      <c r="F242" s="155"/>
      <c r="G242" s="157" t="n">
        <v>9</v>
      </c>
      <c r="H242" s="155"/>
      <c r="I242" s="155"/>
      <c r="J242" s="155"/>
      <c r="K242" s="146"/>
    </row>
    <row r="243">
      <c r="A243" s="9" t="s">
        <v>765</v>
      </c>
      <c r="B243" s="10" t="s">
        <v>93</v>
      </c>
      <c r="C243" s="10" t="s">
        <v>4903</v>
      </c>
      <c r="D243" s="14" t="s">
        <v>4904</v>
      </c>
      <c r="E243" s="10"/>
      <c r="F243" s="10" t="s">
        <v>133</v>
      </c>
      <c r="G243" s="111">
        <f>'Stavební rozpočet'!G3082</f>
      </c>
      <c r="H243" s="111">
        <f>'Stavební rozpočet'!H3082</f>
      </c>
      <c r="I243" s="111">
        <f>G243*H243</f>
      </c>
      <c r="J243" s="153" t="s">
        <v>134</v>
      </c>
      <c r="K243" s="146"/>
      <c r="Z243" s="111">
        <f>IF(AQ243="5",BJ243,0)</f>
      </c>
      <c r="AB243" s="111">
        <f>IF(AQ243="1",BH243,0)</f>
      </c>
      <c r="AC243" s="111">
        <f>IF(AQ243="1",BI243,0)</f>
      </c>
      <c r="AD243" s="111">
        <f>IF(AQ243="7",BH243,0)</f>
      </c>
      <c r="AE243" s="111">
        <f>IF(AQ243="7",BI243,0)</f>
      </c>
      <c r="AF243" s="111">
        <f>IF(AQ243="2",BH243,0)</f>
      </c>
      <c r="AG243" s="111">
        <f>IF(AQ243="2",BI243,0)</f>
      </c>
      <c r="AH243" s="111">
        <f>IF(AQ243="0",BJ243,0)</f>
      </c>
      <c r="AI243" s="132" t="s">
        <v>93</v>
      </c>
      <c r="AJ243" s="111">
        <f>IF(AN243=0,I243,0)</f>
      </c>
      <c r="AK243" s="111">
        <f>IF(AN243=12,I243,0)</f>
      </c>
      <c r="AL243" s="111">
        <f>IF(AN243=21,I243,0)</f>
      </c>
      <c r="AN243" s="111" t="n">
        <v>21</v>
      </c>
      <c r="AO243" s="111">
        <f>H243*0</f>
      </c>
      <c r="AP243" s="111">
        <f>H243*(1-0)</f>
      </c>
      <c r="AQ243" s="153" t="s">
        <v>140</v>
      </c>
      <c r="AV243" s="111">
        <f>AW243+AX243</f>
      </c>
      <c r="AW243" s="111">
        <f>G243*AO243</f>
      </c>
      <c r="AX243" s="111">
        <f>G243*AP243</f>
      </c>
      <c r="AY243" s="153" t="s">
        <v>4583</v>
      </c>
      <c r="AZ243" s="153" t="s">
        <v>4606</v>
      </c>
      <c r="BA243" s="132" t="s">
        <v>4594</v>
      </c>
      <c r="BC243" s="111">
        <f>AW243+AX243</f>
      </c>
      <c r="BD243" s="111">
        <f>H243/(100-BE243)*100</f>
      </c>
      <c r="BE243" s="111" t="n">
        <v>0</v>
      </c>
      <c r="BF243" s="111">
        <f>243</f>
      </c>
      <c r="BH243" s="111">
        <f>G243*AO243</f>
      </c>
      <c r="BI243" s="111">
        <f>G243*AP243</f>
      </c>
      <c r="BJ243" s="111">
        <f>G243*H243</f>
      </c>
      <c r="BK243" s="111"/>
      <c r="BL243" s="111"/>
      <c r="BW243" s="111" t="n">
        <v>21</v>
      </c>
      <c r="BX243" s="14" t="s">
        <v>4904</v>
      </c>
    </row>
    <row r="244" customHeight="true" ht="13.5">
      <c r="A244" s="159"/>
      <c r="C244" s="160" t="s">
        <v>146</v>
      </c>
      <c r="D244" s="161" t="s">
        <v>4905</v>
      </c>
      <c r="E244" s="156"/>
      <c r="F244" s="156"/>
      <c r="G244" s="156"/>
      <c r="H244" s="156"/>
      <c r="I244" s="156"/>
      <c r="J244" s="156"/>
      <c r="K244" s="163"/>
    </row>
    <row r="245">
      <c r="A245" s="154"/>
      <c r="B245" s="155"/>
      <c r="C245" s="155"/>
      <c r="D245" s="156" t="s">
        <v>186</v>
      </c>
      <c r="E245" s="156" t="s">
        <v>4906</v>
      </c>
      <c r="F245" s="155"/>
      <c r="G245" s="157" t="n">
        <v>10</v>
      </c>
      <c r="H245" s="155"/>
      <c r="I245" s="155"/>
      <c r="J245" s="155"/>
      <c r="K245" s="146"/>
    </row>
    <row r="246">
      <c r="A246" s="9" t="s">
        <v>768</v>
      </c>
      <c r="B246" s="10" t="s">
        <v>93</v>
      </c>
      <c r="C246" s="10" t="s">
        <v>4908</v>
      </c>
      <c r="D246" s="14" t="s">
        <v>4909</v>
      </c>
      <c r="E246" s="10"/>
      <c r="F246" s="10" t="s">
        <v>282</v>
      </c>
      <c r="G246" s="111">
        <f>'Stavební rozpočet'!G3085</f>
      </c>
      <c r="H246" s="111">
        <f>'Stavební rozpočet'!H3085</f>
      </c>
      <c r="I246" s="111">
        <f>G246*H246</f>
      </c>
      <c r="J246" s="153" t="s">
        <v>134</v>
      </c>
      <c r="K246" s="146"/>
      <c r="Z246" s="111">
        <f>IF(AQ246="5",BJ246,0)</f>
      </c>
      <c r="AB246" s="111">
        <f>IF(AQ246="1",BH246,0)</f>
      </c>
      <c r="AC246" s="111">
        <f>IF(AQ246="1",BI246,0)</f>
      </c>
      <c r="AD246" s="111">
        <f>IF(AQ246="7",BH246,0)</f>
      </c>
      <c r="AE246" s="111">
        <f>IF(AQ246="7",BI246,0)</f>
      </c>
      <c r="AF246" s="111">
        <f>IF(AQ246="2",BH246,0)</f>
      </c>
      <c r="AG246" s="111">
        <f>IF(AQ246="2",BI246,0)</f>
      </c>
      <c r="AH246" s="111">
        <f>IF(AQ246="0",BJ246,0)</f>
      </c>
      <c r="AI246" s="132" t="s">
        <v>93</v>
      </c>
      <c r="AJ246" s="111">
        <f>IF(AN246=0,I246,0)</f>
      </c>
      <c r="AK246" s="111">
        <f>IF(AN246=12,I246,0)</f>
      </c>
      <c r="AL246" s="111">
        <f>IF(AN246=21,I246,0)</f>
      </c>
      <c r="AN246" s="111" t="n">
        <v>21</v>
      </c>
      <c r="AO246" s="111">
        <f>H246*0</f>
      </c>
      <c r="AP246" s="111">
        <f>H246*(1-0)</f>
      </c>
      <c r="AQ246" s="153" t="s">
        <v>140</v>
      </c>
      <c r="AV246" s="111">
        <f>AW246+AX246</f>
      </c>
      <c r="AW246" s="111">
        <f>G246*AO246</f>
      </c>
      <c r="AX246" s="111">
        <f>G246*AP246</f>
      </c>
      <c r="AY246" s="153" t="s">
        <v>4583</v>
      </c>
      <c r="AZ246" s="153" t="s">
        <v>4606</v>
      </c>
      <c r="BA246" s="132" t="s">
        <v>4594</v>
      </c>
      <c r="BC246" s="111">
        <f>AW246+AX246</f>
      </c>
      <c r="BD246" s="111">
        <f>H246/(100-BE246)*100</f>
      </c>
      <c r="BE246" s="111" t="n">
        <v>0</v>
      </c>
      <c r="BF246" s="111">
        <f>246</f>
      </c>
      <c r="BH246" s="111">
        <f>G246*AO246</f>
      </c>
      <c r="BI246" s="111">
        <f>G246*AP246</f>
      </c>
      <c r="BJ246" s="111">
        <f>G246*H246</f>
      </c>
      <c r="BK246" s="111"/>
      <c r="BL246" s="111"/>
      <c r="BW246" s="111" t="n">
        <v>21</v>
      </c>
      <c r="BX246" s="14" t="s">
        <v>4909</v>
      </c>
    </row>
    <row r="247">
      <c r="A247" s="154"/>
      <c r="B247" s="155"/>
      <c r="C247" s="155"/>
      <c r="D247" s="156" t="s">
        <v>4910</v>
      </c>
      <c r="E247" s="156" t="s">
        <v>4726</v>
      </c>
      <c r="F247" s="155"/>
      <c r="G247" s="157" t="n">
        <v>1300</v>
      </c>
      <c r="H247" s="155"/>
      <c r="I247" s="155"/>
      <c r="J247" s="155"/>
      <c r="K247" s="146"/>
    </row>
    <row r="248">
      <c r="A248" s="9" t="s">
        <v>783</v>
      </c>
      <c r="B248" s="10" t="s">
        <v>93</v>
      </c>
      <c r="C248" s="10" t="s">
        <v>4912</v>
      </c>
      <c r="D248" s="14" t="s">
        <v>4913</v>
      </c>
      <c r="E248" s="10"/>
      <c r="F248" s="10" t="s">
        <v>133</v>
      </c>
      <c r="G248" s="111">
        <f>'Stavební rozpočet'!G3087</f>
      </c>
      <c r="H248" s="111">
        <f>'Stavební rozpočet'!H3087</f>
      </c>
      <c r="I248" s="111">
        <f>G248*H248</f>
      </c>
      <c r="J248" s="153" t="s">
        <v>134</v>
      </c>
      <c r="K248" s="146"/>
      <c r="Z248" s="111">
        <f>IF(AQ248="5",BJ248,0)</f>
      </c>
      <c r="AB248" s="111">
        <f>IF(AQ248="1",BH248,0)</f>
      </c>
      <c r="AC248" s="111">
        <f>IF(AQ248="1",BI248,0)</f>
      </c>
      <c r="AD248" s="111">
        <f>IF(AQ248="7",BH248,0)</f>
      </c>
      <c r="AE248" s="111">
        <f>IF(AQ248="7",BI248,0)</f>
      </c>
      <c r="AF248" s="111">
        <f>IF(AQ248="2",BH248,0)</f>
      </c>
      <c r="AG248" s="111">
        <f>IF(AQ248="2",BI248,0)</f>
      </c>
      <c r="AH248" s="111">
        <f>IF(AQ248="0",BJ248,0)</f>
      </c>
      <c r="AI248" s="132" t="s">
        <v>93</v>
      </c>
      <c r="AJ248" s="111">
        <f>IF(AN248=0,I248,0)</f>
      </c>
      <c r="AK248" s="111">
        <f>IF(AN248=12,I248,0)</f>
      </c>
      <c r="AL248" s="111">
        <f>IF(AN248=21,I248,0)</f>
      </c>
      <c r="AN248" s="111" t="n">
        <v>21</v>
      </c>
      <c r="AO248" s="111">
        <f>H248*0</f>
      </c>
      <c r="AP248" s="111">
        <f>H248*(1-0)</f>
      </c>
      <c r="AQ248" s="153" t="s">
        <v>140</v>
      </c>
      <c r="AV248" s="111">
        <f>AW248+AX248</f>
      </c>
      <c r="AW248" s="111">
        <f>G248*AO248</f>
      </c>
      <c r="AX248" s="111">
        <f>G248*AP248</f>
      </c>
      <c r="AY248" s="153" t="s">
        <v>4583</v>
      </c>
      <c r="AZ248" s="153" t="s">
        <v>4606</v>
      </c>
      <c r="BA248" s="132" t="s">
        <v>4594</v>
      </c>
      <c r="BC248" s="111">
        <f>AW248+AX248</f>
      </c>
      <c r="BD248" s="111">
        <f>H248/(100-BE248)*100</f>
      </c>
      <c r="BE248" s="111" t="n">
        <v>0</v>
      </c>
      <c r="BF248" s="111">
        <f>248</f>
      </c>
      <c r="BH248" s="111">
        <f>G248*AO248</f>
      </c>
      <c r="BI248" s="111">
        <f>G248*AP248</f>
      </c>
      <c r="BJ248" s="111">
        <f>G248*H248</f>
      </c>
      <c r="BK248" s="111"/>
      <c r="BL248" s="111"/>
      <c r="BW248" s="111" t="n">
        <v>21</v>
      </c>
      <c r="BX248" s="14" t="s">
        <v>4913</v>
      </c>
    </row>
    <row r="249" customHeight="true" ht="13.5">
      <c r="A249" s="159"/>
      <c r="C249" s="160" t="s">
        <v>146</v>
      </c>
      <c r="D249" s="161" t="s">
        <v>4610</v>
      </c>
      <c r="E249" s="156"/>
      <c r="F249" s="156"/>
      <c r="G249" s="156"/>
      <c r="H249" s="156"/>
      <c r="I249" s="156"/>
      <c r="J249" s="156"/>
      <c r="K249" s="163"/>
    </row>
    <row r="250">
      <c r="A250" s="154"/>
      <c r="B250" s="155"/>
      <c r="C250" s="155"/>
      <c r="D250" s="156" t="s">
        <v>589</v>
      </c>
      <c r="E250" s="156" t="s">
        <v>4914</v>
      </c>
      <c r="F250" s="155"/>
      <c r="G250" s="157" t="n">
        <v>70</v>
      </c>
      <c r="H250" s="155"/>
      <c r="I250" s="155"/>
      <c r="J250" s="155"/>
      <c r="K250" s="146"/>
    </row>
    <row r="251">
      <c r="A251" s="9" t="s">
        <v>793</v>
      </c>
      <c r="B251" s="10" t="s">
        <v>93</v>
      </c>
      <c r="C251" s="10" t="s">
        <v>4916</v>
      </c>
      <c r="D251" s="14" t="s">
        <v>4917</v>
      </c>
      <c r="E251" s="10"/>
      <c r="F251" s="10" t="s">
        <v>133</v>
      </c>
      <c r="G251" s="111">
        <f>'Stavební rozpočet'!G3090</f>
      </c>
      <c r="H251" s="111">
        <f>'Stavební rozpočet'!H3090</f>
      </c>
      <c r="I251" s="111">
        <f>G251*H251</f>
      </c>
      <c r="J251" s="153" t="s">
        <v>134</v>
      </c>
      <c r="K251" s="146"/>
      <c r="Z251" s="111">
        <f>IF(AQ251="5",BJ251,0)</f>
      </c>
      <c r="AB251" s="111">
        <f>IF(AQ251="1",BH251,0)</f>
      </c>
      <c r="AC251" s="111">
        <f>IF(AQ251="1",BI251,0)</f>
      </c>
      <c r="AD251" s="111">
        <f>IF(AQ251="7",BH251,0)</f>
      </c>
      <c r="AE251" s="111">
        <f>IF(AQ251="7",BI251,0)</f>
      </c>
      <c r="AF251" s="111">
        <f>IF(AQ251="2",BH251,0)</f>
      </c>
      <c r="AG251" s="111">
        <f>IF(AQ251="2",BI251,0)</f>
      </c>
      <c r="AH251" s="111">
        <f>IF(AQ251="0",BJ251,0)</f>
      </c>
      <c r="AI251" s="132" t="s">
        <v>93</v>
      </c>
      <c r="AJ251" s="111">
        <f>IF(AN251=0,I251,0)</f>
      </c>
      <c r="AK251" s="111">
        <f>IF(AN251=12,I251,0)</f>
      </c>
      <c r="AL251" s="111">
        <f>IF(AN251=21,I251,0)</f>
      </c>
      <c r="AN251" s="111" t="n">
        <v>21</v>
      </c>
      <c r="AO251" s="111">
        <f>H251*1</f>
      </c>
      <c r="AP251" s="111">
        <f>H251*(1-1)</f>
      </c>
      <c r="AQ251" s="153" t="s">
        <v>130</v>
      </c>
      <c r="AV251" s="111">
        <f>AW251+AX251</f>
      </c>
      <c r="AW251" s="111">
        <f>G251*AO251</f>
      </c>
      <c r="AX251" s="111">
        <f>G251*AP251</f>
      </c>
      <c r="AY251" s="153" t="s">
        <v>4583</v>
      </c>
      <c r="AZ251" s="153" t="s">
        <v>4606</v>
      </c>
      <c r="BA251" s="132" t="s">
        <v>4594</v>
      </c>
      <c r="BC251" s="111">
        <f>AW251+AX251</f>
      </c>
      <c r="BD251" s="111">
        <f>H251/(100-BE251)*100</f>
      </c>
      <c r="BE251" s="111" t="n">
        <v>0</v>
      </c>
      <c r="BF251" s="111">
        <f>251</f>
      </c>
      <c r="BH251" s="111">
        <f>G251*AO251</f>
      </c>
      <c r="BI251" s="111">
        <f>G251*AP251</f>
      </c>
      <c r="BJ251" s="111">
        <f>G251*H251</f>
      </c>
      <c r="BK251" s="111"/>
      <c r="BL251" s="111"/>
      <c r="BW251" s="111" t="n">
        <v>21</v>
      </c>
      <c r="BX251" s="14" t="s">
        <v>4917</v>
      </c>
    </row>
    <row r="252">
      <c r="A252" s="154"/>
      <c r="B252" s="155"/>
      <c r="C252" s="155"/>
      <c r="D252" s="156" t="s">
        <v>140</v>
      </c>
      <c r="E252" s="156" t="s">
        <v>4918</v>
      </c>
      <c r="F252" s="155"/>
      <c r="G252" s="157" t="n">
        <v>2</v>
      </c>
      <c r="H252" s="155"/>
      <c r="I252" s="155"/>
      <c r="J252" s="155"/>
      <c r="K252" s="146"/>
    </row>
    <row r="253">
      <c r="A253" s="147" t="s">
        <v>4</v>
      </c>
      <c r="B253" s="148" t="s">
        <v>93</v>
      </c>
      <c r="C253" s="148" t="s">
        <v>4919</v>
      </c>
      <c r="D253" s="149" t="s">
        <v>94</v>
      </c>
      <c r="E253" s="148"/>
      <c r="F253" s="150" t="s">
        <v>79</v>
      </c>
      <c r="G253" s="150" t="s">
        <v>79</v>
      </c>
      <c r="H253" s="150" t="s">
        <v>79</v>
      </c>
      <c r="I253" s="117">
        <f>SUM(I254:I345)</f>
      </c>
      <c r="J253" s="132" t="s">
        <v>4</v>
      </c>
      <c r="K253" s="146"/>
      <c r="AI253" s="132" t="s">
        <v>93</v>
      </c>
      <c r="AS253" s="117">
        <f>SUM(AJ254:AJ345)</f>
      </c>
      <c r="AT253" s="117">
        <f>SUM(AK254:AK345)</f>
      </c>
      <c r="AU253" s="117">
        <f>SUM(AL254:AL345)</f>
      </c>
    </row>
    <row r="254">
      <c r="A254" s="9" t="s">
        <v>802</v>
      </c>
      <c r="B254" s="10" t="s">
        <v>93</v>
      </c>
      <c r="C254" s="10" t="s">
        <v>4921</v>
      </c>
      <c r="D254" s="14" t="s">
        <v>4922</v>
      </c>
      <c r="E254" s="10"/>
      <c r="F254" s="10" t="s">
        <v>282</v>
      </c>
      <c r="G254" s="111">
        <f>'Stavební rozpočet'!G3093</f>
      </c>
      <c r="H254" s="111">
        <f>'Stavební rozpočet'!H3093</f>
      </c>
      <c r="I254" s="111">
        <f>G254*H254</f>
      </c>
      <c r="J254" s="153" t="s">
        <v>134</v>
      </c>
      <c r="K254" s="146"/>
      <c r="Z254" s="111">
        <f>IF(AQ254="5",BJ254,0)</f>
      </c>
      <c r="AB254" s="111">
        <f>IF(AQ254="1",BH254,0)</f>
      </c>
      <c r="AC254" s="111">
        <f>IF(AQ254="1",BI254,0)</f>
      </c>
      <c r="AD254" s="111">
        <f>IF(AQ254="7",BH254,0)</f>
      </c>
      <c r="AE254" s="111">
        <f>IF(AQ254="7",BI254,0)</f>
      </c>
      <c r="AF254" s="111">
        <f>IF(AQ254="2",BH254,0)</f>
      </c>
      <c r="AG254" s="111">
        <f>IF(AQ254="2",BI254,0)</f>
      </c>
      <c r="AH254" s="111">
        <f>IF(AQ254="0",BJ254,0)</f>
      </c>
      <c r="AI254" s="132" t="s">
        <v>93</v>
      </c>
      <c r="AJ254" s="111">
        <f>IF(AN254=0,I254,0)</f>
      </c>
      <c r="AK254" s="111">
        <f>IF(AN254=12,I254,0)</f>
      </c>
      <c r="AL254" s="111">
        <f>IF(AN254=21,I254,0)</f>
      </c>
      <c r="AN254" s="111" t="n">
        <v>21</v>
      </c>
      <c r="AO254" s="111">
        <f>H254*0.752947594</f>
      </c>
      <c r="AP254" s="111">
        <f>H254*(1-0.752947594)</f>
      </c>
      <c r="AQ254" s="153" t="s">
        <v>140</v>
      </c>
      <c r="AV254" s="111">
        <f>AW254+AX254</f>
      </c>
      <c r="AW254" s="111">
        <f>G254*AO254</f>
      </c>
      <c r="AX254" s="111">
        <f>G254*AP254</f>
      </c>
      <c r="AY254" s="153" t="s">
        <v>4923</v>
      </c>
      <c r="AZ254" s="153" t="s">
        <v>4606</v>
      </c>
      <c r="BA254" s="132" t="s">
        <v>4594</v>
      </c>
      <c r="BC254" s="111">
        <f>AW254+AX254</f>
      </c>
      <c r="BD254" s="111">
        <f>H254/(100-BE254)*100</f>
      </c>
      <c r="BE254" s="111" t="n">
        <v>0</v>
      </c>
      <c r="BF254" s="111">
        <f>254</f>
      </c>
      <c r="BH254" s="111">
        <f>G254*AO254</f>
      </c>
      <c r="BI254" s="111">
        <f>G254*AP254</f>
      </c>
      <c r="BJ254" s="111">
        <f>G254*H254</f>
      </c>
      <c r="BK254" s="111"/>
      <c r="BL254" s="111"/>
      <c r="BW254" s="111" t="n">
        <v>21</v>
      </c>
      <c r="BX254" s="14" t="s">
        <v>4922</v>
      </c>
    </row>
    <row r="255" customHeight="true" ht="13.5">
      <c r="A255" s="159"/>
      <c r="C255" s="160" t="s">
        <v>146</v>
      </c>
      <c r="D255" s="161" t="s">
        <v>4924</v>
      </c>
      <c r="E255" s="156"/>
      <c r="F255" s="156"/>
      <c r="G255" s="156"/>
      <c r="H255" s="156"/>
      <c r="I255" s="156"/>
      <c r="J255" s="156"/>
      <c r="K255" s="163"/>
    </row>
    <row r="256">
      <c r="A256" s="9" t="s">
        <v>805</v>
      </c>
      <c r="B256" s="10" t="s">
        <v>93</v>
      </c>
      <c r="C256" s="10" t="s">
        <v>4926</v>
      </c>
      <c r="D256" s="14" t="s">
        <v>4927</v>
      </c>
      <c r="E256" s="10"/>
      <c r="F256" s="10" t="s">
        <v>282</v>
      </c>
      <c r="G256" s="111">
        <f>'Stavební rozpočet'!G3095</f>
      </c>
      <c r="H256" s="111">
        <f>'Stavební rozpočet'!H3095</f>
      </c>
      <c r="I256" s="111">
        <f>G256*H256</f>
      </c>
      <c r="J256" s="153" t="s">
        <v>134</v>
      </c>
      <c r="K256" s="146"/>
      <c r="Z256" s="111">
        <f>IF(AQ256="5",BJ256,0)</f>
      </c>
      <c r="AB256" s="111">
        <f>IF(AQ256="1",BH256,0)</f>
      </c>
      <c r="AC256" s="111">
        <f>IF(AQ256="1",BI256,0)</f>
      </c>
      <c r="AD256" s="111">
        <f>IF(AQ256="7",BH256,0)</f>
      </c>
      <c r="AE256" s="111">
        <f>IF(AQ256="7",BI256,0)</f>
      </c>
      <c r="AF256" s="111">
        <f>IF(AQ256="2",BH256,0)</f>
      </c>
      <c r="AG256" s="111">
        <f>IF(AQ256="2",BI256,0)</f>
      </c>
      <c r="AH256" s="111">
        <f>IF(AQ256="0",BJ256,0)</f>
      </c>
      <c r="AI256" s="132" t="s">
        <v>93</v>
      </c>
      <c r="AJ256" s="111">
        <f>IF(AN256=0,I256,0)</f>
      </c>
      <c r="AK256" s="111">
        <f>IF(AN256=12,I256,0)</f>
      </c>
      <c r="AL256" s="111">
        <f>IF(AN256=21,I256,0)</f>
      </c>
      <c r="AN256" s="111" t="n">
        <v>21</v>
      </c>
      <c r="AO256" s="111">
        <f>H256*0.626707376</f>
      </c>
      <c r="AP256" s="111">
        <f>H256*(1-0.626707376)</f>
      </c>
      <c r="AQ256" s="153" t="s">
        <v>140</v>
      </c>
      <c r="AV256" s="111">
        <f>AW256+AX256</f>
      </c>
      <c r="AW256" s="111">
        <f>G256*AO256</f>
      </c>
      <c r="AX256" s="111">
        <f>G256*AP256</f>
      </c>
      <c r="AY256" s="153" t="s">
        <v>4923</v>
      </c>
      <c r="AZ256" s="153" t="s">
        <v>4606</v>
      </c>
      <c r="BA256" s="132" t="s">
        <v>4594</v>
      </c>
      <c r="BC256" s="111">
        <f>AW256+AX256</f>
      </c>
      <c r="BD256" s="111">
        <f>H256/(100-BE256)*100</f>
      </c>
      <c r="BE256" s="111" t="n">
        <v>0</v>
      </c>
      <c r="BF256" s="111">
        <f>256</f>
      </c>
      <c r="BH256" s="111">
        <f>G256*AO256</f>
      </c>
      <c r="BI256" s="111">
        <f>G256*AP256</f>
      </c>
      <c r="BJ256" s="111">
        <f>G256*H256</f>
      </c>
      <c r="BK256" s="111"/>
      <c r="BL256" s="111"/>
      <c r="BW256" s="111" t="n">
        <v>21</v>
      </c>
      <c r="BX256" s="14" t="s">
        <v>4927</v>
      </c>
    </row>
    <row r="257" customHeight="true" ht="13.5">
      <c r="A257" s="159"/>
      <c r="C257" s="160" t="s">
        <v>146</v>
      </c>
      <c r="D257" s="161" t="s">
        <v>4928</v>
      </c>
      <c r="E257" s="156"/>
      <c r="F257" s="156"/>
      <c r="G257" s="156"/>
      <c r="H257" s="156"/>
      <c r="I257" s="156"/>
      <c r="J257" s="156"/>
      <c r="K257" s="163"/>
    </row>
    <row r="258">
      <c r="A258" s="9" t="s">
        <v>812</v>
      </c>
      <c r="B258" s="10" t="s">
        <v>93</v>
      </c>
      <c r="C258" s="10" t="s">
        <v>4930</v>
      </c>
      <c r="D258" s="14" t="s">
        <v>4931</v>
      </c>
      <c r="E258" s="10"/>
      <c r="F258" s="10" t="s">
        <v>282</v>
      </c>
      <c r="G258" s="111">
        <f>'Stavební rozpočet'!G3097</f>
      </c>
      <c r="H258" s="111">
        <f>'Stavební rozpočet'!H3097</f>
      </c>
      <c r="I258" s="111">
        <f>G258*H258</f>
      </c>
      <c r="J258" s="153" t="s">
        <v>134</v>
      </c>
      <c r="K258" s="146"/>
      <c r="Z258" s="111">
        <f>IF(AQ258="5",BJ258,0)</f>
      </c>
      <c r="AB258" s="111">
        <f>IF(AQ258="1",BH258,0)</f>
      </c>
      <c r="AC258" s="111">
        <f>IF(AQ258="1",BI258,0)</f>
      </c>
      <c r="AD258" s="111">
        <f>IF(AQ258="7",BH258,0)</f>
      </c>
      <c r="AE258" s="111">
        <f>IF(AQ258="7",BI258,0)</f>
      </c>
      <c r="AF258" s="111">
        <f>IF(AQ258="2",BH258,0)</f>
      </c>
      <c r="AG258" s="111">
        <f>IF(AQ258="2",BI258,0)</f>
      </c>
      <c r="AH258" s="111">
        <f>IF(AQ258="0",BJ258,0)</f>
      </c>
      <c r="AI258" s="132" t="s">
        <v>93</v>
      </c>
      <c r="AJ258" s="111">
        <f>IF(AN258=0,I258,0)</f>
      </c>
      <c r="AK258" s="111">
        <f>IF(AN258=12,I258,0)</f>
      </c>
      <c r="AL258" s="111">
        <f>IF(AN258=21,I258,0)</f>
      </c>
      <c r="AN258" s="111" t="n">
        <v>21</v>
      </c>
      <c r="AO258" s="111">
        <f>H258*0.408559173</f>
      </c>
      <c r="AP258" s="111">
        <f>H258*(1-0.408559173)</f>
      </c>
      <c r="AQ258" s="153" t="s">
        <v>140</v>
      </c>
      <c r="AV258" s="111">
        <f>AW258+AX258</f>
      </c>
      <c r="AW258" s="111">
        <f>G258*AO258</f>
      </c>
      <c r="AX258" s="111">
        <f>G258*AP258</f>
      </c>
      <c r="AY258" s="153" t="s">
        <v>4923</v>
      </c>
      <c r="AZ258" s="153" t="s">
        <v>4606</v>
      </c>
      <c r="BA258" s="132" t="s">
        <v>4594</v>
      </c>
      <c r="BC258" s="111">
        <f>AW258+AX258</f>
      </c>
      <c r="BD258" s="111">
        <f>H258/(100-BE258)*100</f>
      </c>
      <c r="BE258" s="111" t="n">
        <v>0</v>
      </c>
      <c r="BF258" s="111">
        <f>258</f>
      </c>
      <c r="BH258" s="111">
        <f>G258*AO258</f>
      </c>
      <c r="BI258" s="111">
        <f>G258*AP258</f>
      </c>
      <c r="BJ258" s="111">
        <f>G258*H258</f>
      </c>
      <c r="BK258" s="111"/>
      <c r="BL258" s="111"/>
      <c r="BW258" s="111" t="n">
        <v>21</v>
      </c>
      <c r="BX258" s="14" t="s">
        <v>4931</v>
      </c>
    </row>
    <row r="259" customHeight="true" ht="13.5">
      <c r="A259" s="159"/>
      <c r="C259" s="160" t="s">
        <v>146</v>
      </c>
      <c r="D259" s="161" t="s">
        <v>4932</v>
      </c>
      <c r="E259" s="156"/>
      <c r="F259" s="156"/>
      <c r="G259" s="156"/>
      <c r="H259" s="156"/>
      <c r="I259" s="156"/>
      <c r="J259" s="156"/>
      <c r="K259" s="163"/>
    </row>
    <row r="260">
      <c r="A260" s="9" t="s">
        <v>815</v>
      </c>
      <c r="B260" s="10" t="s">
        <v>93</v>
      </c>
      <c r="C260" s="10" t="s">
        <v>4934</v>
      </c>
      <c r="D260" s="14" t="s">
        <v>4935</v>
      </c>
      <c r="E260" s="10"/>
      <c r="F260" s="10" t="s">
        <v>282</v>
      </c>
      <c r="G260" s="111">
        <f>'Stavební rozpočet'!G3099</f>
      </c>
      <c r="H260" s="111">
        <f>'Stavební rozpočet'!H3099</f>
      </c>
      <c r="I260" s="111">
        <f>G260*H260</f>
      </c>
      <c r="J260" s="153" t="s">
        <v>134</v>
      </c>
      <c r="K260" s="146"/>
      <c r="Z260" s="111">
        <f>IF(AQ260="5",BJ260,0)</f>
      </c>
      <c r="AB260" s="111">
        <f>IF(AQ260="1",BH260,0)</f>
      </c>
      <c r="AC260" s="111">
        <f>IF(AQ260="1",BI260,0)</f>
      </c>
      <c r="AD260" s="111">
        <f>IF(AQ260="7",BH260,0)</f>
      </c>
      <c r="AE260" s="111">
        <f>IF(AQ260="7",BI260,0)</f>
      </c>
      <c r="AF260" s="111">
        <f>IF(AQ260="2",BH260,0)</f>
      </c>
      <c r="AG260" s="111">
        <f>IF(AQ260="2",BI260,0)</f>
      </c>
      <c r="AH260" s="111">
        <f>IF(AQ260="0",BJ260,0)</f>
      </c>
      <c r="AI260" s="132" t="s">
        <v>93</v>
      </c>
      <c r="AJ260" s="111">
        <f>IF(AN260=0,I260,0)</f>
      </c>
      <c r="AK260" s="111">
        <f>IF(AN260=12,I260,0)</f>
      </c>
      <c r="AL260" s="111">
        <f>IF(AN260=21,I260,0)</f>
      </c>
      <c r="AN260" s="111" t="n">
        <v>21</v>
      </c>
      <c r="AO260" s="111">
        <f>H260*0.740537168</f>
      </c>
      <c r="AP260" s="111">
        <f>H260*(1-0.740537168)</f>
      </c>
      <c r="AQ260" s="153" t="s">
        <v>140</v>
      </c>
      <c r="AV260" s="111">
        <f>AW260+AX260</f>
      </c>
      <c r="AW260" s="111">
        <f>G260*AO260</f>
      </c>
      <c r="AX260" s="111">
        <f>G260*AP260</f>
      </c>
      <c r="AY260" s="153" t="s">
        <v>4923</v>
      </c>
      <c r="AZ260" s="153" t="s">
        <v>4606</v>
      </c>
      <c r="BA260" s="132" t="s">
        <v>4594</v>
      </c>
      <c r="BC260" s="111">
        <f>AW260+AX260</f>
      </c>
      <c r="BD260" s="111">
        <f>H260/(100-BE260)*100</f>
      </c>
      <c r="BE260" s="111" t="n">
        <v>0</v>
      </c>
      <c r="BF260" s="111">
        <f>260</f>
      </c>
      <c r="BH260" s="111">
        <f>G260*AO260</f>
      </c>
      <c r="BI260" s="111">
        <f>G260*AP260</f>
      </c>
      <c r="BJ260" s="111">
        <f>G260*H260</f>
      </c>
      <c r="BK260" s="111"/>
      <c r="BL260" s="111"/>
      <c r="BW260" s="111" t="n">
        <v>21</v>
      </c>
      <c r="BX260" s="14" t="s">
        <v>4935</v>
      </c>
    </row>
    <row r="261" customHeight="true" ht="13.5">
      <c r="A261" s="159"/>
      <c r="C261" s="160" t="s">
        <v>146</v>
      </c>
      <c r="D261" s="161" t="s">
        <v>4936</v>
      </c>
      <c r="E261" s="156"/>
      <c r="F261" s="156"/>
      <c r="G261" s="156"/>
      <c r="H261" s="156"/>
      <c r="I261" s="156"/>
      <c r="J261" s="156"/>
      <c r="K261" s="163"/>
    </row>
    <row r="262">
      <c r="A262" s="9" t="s">
        <v>822</v>
      </c>
      <c r="B262" s="10" t="s">
        <v>93</v>
      </c>
      <c r="C262" s="10" t="s">
        <v>4938</v>
      </c>
      <c r="D262" s="14" t="s">
        <v>4939</v>
      </c>
      <c r="E262" s="10"/>
      <c r="F262" s="10" t="s">
        <v>282</v>
      </c>
      <c r="G262" s="111">
        <f>'Stavební rozpočet'!G3101</f>
      </c>
      <c r="H262" s="111">
        <f>'Stavební rozpočet'!H3101</f>
      </c>
      <c r="I262" s="111">
        <f>G262*H262</f>
      </c>
      <c r="J262" s="153" t="s">
        <v>134</v>
      </c>
      <c r="K262" s="146"/>
      <c r="Z262" s="111">
        <f>IF(AQ262="5",BJ262,0)</f>
      </c>
      <c r="AB262" s="111">
        <f>IF(AQ262="1",BH262,0)</f>
      </c>
      <c r="AC262" s="111">
        <f>IF(AQ262="1",BI262,0)</f>
      </c>
      <c r="AD262" s="111">
        <f>IF(AQ262="7",BH262,0)</f>
      </c>
      <c r="AE262" s="111">
        <f>IF(AQ262="7",BI262,0)</f>
      </c>
      <c r="AF262" s="111">
        <f>IF(AQ262="2",BH262,0)</f>
      </c>
      <c r="AG262" s="111">
        <f>IF(AQ262="2",BI262,0)</f>
      </c>
      <c r="AH262" s="111">
        <f>IF(AQ262="0",BJ262,0)</f>
      </c>
      <c r="AI262" s="132" t="s">
        <v>93</v>
      </c>
      <c r="AJ262" s="111">
        <f>IF(AN262=0,I262,0)</f>
      </c>
      <c r="AK262" s="111">
        <f>IF(AN262=12,I262,0)</f>
      </c>
      <c r="AL262" s="111">
        <f>IF(AN262=21,I262,0)</f>
      </c>
      <c r="AN262" s="111" t="n">
        <v>21</v>
      </c>
      <c r="AO262" s="111">
        <f>H262*0.641330839</f>
      </c>
      <c r="AP262" s="111">
        <f>H262*(1-0.641330839)</f>
      </c>
      <c r="AQ262" s="153" t="s">
        <v>140</v>
      </c>
      <c r="AV262" s="111">
        <f>AW262+AX262</f>
      </c>
      <c r="AW262" s="111">
        <f>G262*AO262</f>
      </c>
      <c r="AX262" s="111">
        <f>G262*AP262</f>
      </c>
      <c r="AY262" s="153" t="s">
        <v>4923</v>
      </c>
      <c r="AZ262" s="153" t="s">
        <v>4606</v>
      </c>
      <c r="BA262" s="132" t="s">
        <v>4594</v>
      </c>
      <c r="BC262" s="111">
        <f>AW262+AX262</f>
      </c>
      <c r="BD262" s="111">
        <f>H262/(100-BE262)*100</f>
      </c>
      <c r="BE262" s="111" t="n">
        <v>0</v>
      </c>
      <c r="BF262" s="111">
        <f>262</f>
      </c>
      <c r="BH262" s="111">
        <f>G262*AO262</f>
      </c>
      <c r="BI262" s="111">
        <f>G262*AP262</f>
      </c>
      <c r="BJ262" s="111">
        <f>G262*H262</f>
      </c>
      <c r="BK262" s="111"/>
      <c r="BL262" s="111"/>
      <c r="BW262" s="111" t="n">
        <v>21</v>
      </c>
      <c r="BX262" s="14" t="s">
        <v>4939</v>
      </c>
    </row>
    <row r="263" customHeight="true" ht="13.5">
      <c r="A263" s="159"/>
      <c r="C263" s="160" t="s">
        <v>146</v>
      </c>
      <c r="D263" s="161" t="s">
        <v>4940</v>
      </c>
      <c r="E263" s="156"/>
      <c r="F263" s="156"/>
      <c r="G263" s="156"/>
      <c r="H263" s="156"/>
      <c r="I263" s="156"/>
      <c r="J263" s="156"/>
      <c r="K263" s="163"/>
    </row>
    <row r="264">
      <c r="A264" s="9" t="s">
        <v>825</v>
      </c>
      <c r="B264" s="10" t="s">
        <v>93</v>
      </c>
      <c r="C264" s="10" t="s">
        <v>4942</v>
      </c>
      <c r="D264" s="14" t="s">
        <v>4943</v>
      </c>
      <c r="E264" s="10"/>
      <c r="F264" s="10" t="s">
        <v>282</v>
      </c>
      <c r="G264" s="111">
        <f>'Stavební rozpočet'!G3103</f>
      </c>
      <c r="H264" s="111">
        <f>'Stavební rozpočet'!H3103</f>
      </c>
      <c r="I264" s="111">
        <f>G264*H264</f>
      </c>
      <c r="J264" s="153" t="s">
        <v>134</v>
      </c>
      <c r="K264" s="146"/>
      <c r="Z264" s="111">
        <f>IF(AQ264="5",BJ264,0)</f>
      </c>
      <c r="AB264" s="111">
        <f>IF(AQ264="1",BH264,0)</f>
      </c>
      <c r="AC264" s="111">
        <f>IF(AQ264="1",BI264,0)</f>
      </c>
      <c r="AD264" s="111">
        <f>IF(AQ264="7",BH264,0)</f>
      </c>
      <c r="AE264" s="111">
        <f>IF(AQ264="7",BI264,0)</f>
      </c>
      <c r="AF264" s="111">
        <f>IF(AQ264="2",BH264,0)</f>
      </c>
      <c r="AG264" s="111">
        <f>IF(AQ264="2",BI264,0)</f>
      </c>
      <c r="AH264" s="111">
        <f>IF(AQ264="0",BJ264,0)</f>
      </c>
      <c r="AI264" s="132" t="s">
        <v>93</v>
      </c>
      <c r="AJ264" s="111">
        <f>IF(AN264=0,I264,0)</f>
      </c>
      <c r="AK264" s="111">
        <f>IF(AN264=12,I264,0)</f>
      </c>
      <c r="AL264" s="111">
        <f>IF(AN264=21,I264,0)</f>
      </c>
      <c r="AN264" s="111" t="n">
        <v>21</v>
      </c>
      <c r="AO264" s="111">
        <f>H264*0.309965804</f>
      </c>
      <c r="AP264" s="111">
        <f>H264*(1-0.309965804)</f>
      </c>
      <c r="AQ264" s="153" t="s">
        <v>140</v>
      </c>
      <c r="AV264" s="111">
        <f>AW264+AX264</f>
      </c>
      <c r="AW264" s="111">
        <f>G264*AO264</f>
      </c>
      <c r="AX264" s="111">
        <f>G264*AP264</f>
      </c>
      <c r="AY264" s="153" t="s">
        <v>4923</v>
      </c>
      <c r="AZ264" s="153" t="s">
        <v>4606</v>
      </c>
      <c r="BA264" s="132" t="s">
        <v>4594</v>
      </c>
      <c r="BC264" s="111">
        <f>AW264+AX264</f>
      </c>
      <c r="BD264" s="111">
        <f>H264/(100-BE264)*100</f>
      </c>
      <c r="BE264" s="111" t="n">
        <v>0</v>
      </c>
      <c r="BF264" s="111">
        <f>264</f>
      </c>
      <c r="BH264" s="111">
        <f>G264*AO264</f>
      </c>
      <c r="BI264" s="111">
        <f>G264*AP264</f>
      </c>
      <c r="BJ264" s="111">
        <f>G264*H264</f>
      </c>
      <c r="BK264" s="111"/>
      <c r="BL264" s="111"/>
      <c r="BW264" s="111" t="n">
        <v>21</v>
      </c>
      <c r="BX264" s="14" t="s">
        <v>4943</v>
      </c>
    </row>
    <row r="265" customHeight="true" ht="13.5">
      <c r="A265" s="159"/>
      <c r="C265" s="160" t="s">
        <v>146</v>
      </c>
      <c r="D265" s="161" t="s">
        <v>4944</v>
      </c>
      <c r="E265" s="156"/>
      <c r="F265" s="156"/>
      <c r="G265" s="156"/>
      <c r="H265" s="156"/>
      <c r="I265" s="156"/>
      <c r="J265" s="156"/>
      <c r="K265" s="163"/>
    </row>
    <row r="266">
      <c r="A266" s="9" t="s">
        <v>831</v>
      </c>
      <c r="B266" s="10" t="s">
        <v>93</v>
      </c>
      <c r="C266" s="10" t="s">
        <v>4946</v>
      </c>
      <c r="D266" s="14" t="s">
        <v>4947</v>
      </c>
      <c r="E266" s="10"/>
      <c r="F266" s="10" t="s">
        <v>282</v>
      </c>
      <c r="G266" s="111">
        <f>'Stavební rozpočet'!G3105</f>
      </c>
      <c r="H266" s="111">
        <f>'Stavební rozpočet'!H3105</f>
      </c>
      <c r="I266" s="111">
        <f>G266*H266</f>
      </c>
      <c r="J266" s="153" t="s">
        <v>134</v>
      </c>
      <c r="K266" s="146"/>
      <c r="Z266" s="111">
        <f>IF(AQ266="5",BJ266,0)</f>
      </c>
      <c r="AB266" s="111">
        <f>IF(AQ266="1",BH266,0)</f>
      </c>
      <c r="AC266" s="111">
        <f>IF(AQ266="1",BI266,0)</f>
      </c>
      <c r="AD266" s="111">
        <f>IF(AQ266="7",BH266,0)</f>
      </c>
      <c r="AE266" s="111">
        <f>IF(AQ266="7",BI266,0)</f>
      </c>
      <c r="AF266" s="111">
        <f>IF(AQ266="2",BH266,0)</f>
      </c>
      <c r="AG266" s="111">
        <f>IF(AQ266="2",BI266,0)</f>
      </c>
      <c r="AH266" s="111">
        <f>IF(AQ266="0",BJ266,0)</f>
      </c>
      <c r="AI266" s="132" t="s">
        <v>93</v>
      </c>
      <c r="AJ266" s="111">
        <f>IF(AN266=0,I266,0)</f>
      </c>
      <c r="AK266" s="111">
        <f>IF(AN266=12,I266,0)</f>
      </c>
      <c r="AL266" s="111">
        <f>IF(AN266=21,I266,0)</f>
      </c>
      <c r="AN266" s="111" t="n">
        <v>21</v>
      </c>
      <c r="AO266" s="111">
        <f>H266*0.22113164</f>
      </c>
      <c r="AP266" s="111">
        <f>H266*(1-0.22113164)</f>
      </c>
      <c r="AQ266" s="153" t="s">
        <v>140</v>
      </c>
      <c r="AV266" s="111">
        <f>AW266+AX266</f>
      </c>
      <c r="AW266" s="111">
        <f>G266*AO266</f>
      </c>
      <c r="AX266" s="111">
        <f>G266*AP266</f>
      </c>
      <c r="AY266" s="153" t="s">
        <v>4923</v>
      </c>
      <c r="AZ266" s="153" t="s">
        <v>4606</v>
      </c>
      <c r="BA266" s="132" t="s">
        <v>4594</v>
      </c>
      <c r="BC266" s="111">
        <f>AW266+AX266</f>
      </c>
      <c r="BD266" s="111">
        <f>H266/(100-BE266)*100</f>
      </c>
      <c r="BE266" s="111" t="n">
        <v>0</v>
      </c>
      <c r="BF266" s="111">
        <f>266</f>
      </c>
      <c r="BH266" s="111">
        <f>G266*AO266</f>
      </c>
      <c r="BI266" s="111">
        <f>G266*AP266</f>
      </c>
      <c r="BJ266" s="111">
        <f>G266*H266</f>
      </c>
      <c r="BK266" s="111"/>
      <c r="BL266" s="111"/>
      <c r="BW266" s="111" t="n">
        <v>21</v>
      </c>
      <c r="BX266" s="14" t="s">
        <v>4947</v>
      </c>
    </row>
    <row r="267" customHeight="true" ht="13.5">
      <c r="A267" s="159"/>
      <c r="C267" s="160" t="s">
        <v>146</v>
      </c>
      <c r="D267" s="161" t="s">
        <v>4948</v>
      </c>
      <c r="E267" s="156"/>
      <c r="F267" s="156"/>
      <c r="G267" s="156"/>
      <c r="H267" s="156"/>
      <c r="I267" s="156"/>
      <c r="J267" s="156"/>
      <c r="K267" s="163"/>
    </row>
    <row r="268">
      <c r="A268" s="9" t="s">
        <v>837</v>
      </c>
      <c r="B268" s="10" t="s">
        <v>93</v>
      </c>
      <c r="C268" s="10" t="s">
        <v>4950</v>
      </c>
      <c r="D268" s="14" t="s">
        <v>4951</v>
      </c>
      <c r="E268" s="10"/>
      <c r="F268" s="10" t="s">
        <v>282</v>
      </c>
      <c r="G268" s="111">
        <f>'Stavební rozpočet'!G3107</f>
      </c>
      <c r="H268" s="111">
        <f>'Stavební rozpočet'!H3107</f>
      </c>
      <c r="I268" s="111">
        <f>G268*H268</f>
      </c>
      <c r="J268" s="153" t="s">
        <v>134</v>
      </c>
      <c r="K268" s="146"/>
      <c r="Z268" s="111">
        <f>IF(AQ268="5",BJ268,0)</f>
      </c>
      <c r="AB268" s="111">
        <f>IF(AQ268="1",BH268,0)</f>
      </c>
      <c r="AC268" s="111">
        <f>IF(AQ268="1",BI268,0)</f>
      </c>
      <c r="AD268" s="111">
        <f>IF(AQ268="7",BH268,0)</f>
      </c>
      <c r="AE268" s="111">
        <f>IF(AQ268="7",BI268,0)</f>
      </c>
      <c r="AF268" s="111">
        <f>IF(AQ268="2",BH268,0)</f>
      </c>
      <c r="AG268" s="111">
        <f>IF(AQ268="2",BI268,0)</f>
      </c>
      <c r="AH268" s="111">
        <f>IF(AQ268="0",BJ268,0)</f>
      </c>
      <c r="AI268" s="132" t="s">
        <v>93</v>
      </c>
      <c r="AJ268" s="111">
        <f>IF(AN268=0,I268,0)</f>
      </c>
      <c r="AK268" s="111">
        <f>IF(AN268=12,I268,0)</f>
      </c>
      <c r="AL268" s="111">
        <f>IF(AN268=21,I268,0)</f>
      </c>
      <c r="AN268" s="111" t="n">
        <v>21</v>
      </c>
      <c r="AO268" s="111">
        <f>H268*0.192940804</f>
      </c>
      <c r="AP268" s="111">
        <f>H268*(1-0.192940804)</f>
      </c>
      <c r="AQ268" s="153" t="s">
        <v>140</v>
      </c>
      <c r="AV268" s="111">
        <f>AW268+AX268</f>
      </c>
      <c r="AW268" s="111">
        <f>G268*AO268</f>
      </c>
      <c r="AX268" s="111">
        <f>G268*AP268</f>
      </c>
      <c r="AY268" s="153" t="s">
        <v>4923</v>
      </c>
      <c r="AZ268" s="153" t="s">
        <v>4606</v>
      </c>
      <c r="BA268" s="132" t="s">
        <v>4594</v>
      </c>
      <c r="BC268" s="111">
        <f>AW268+AX268</f>
      </c>
      <c r="BD268" s="111">
        <f>H268/(100-BE268)*100</f>
      </c>
      <c r="BE268" s="111" t="n">
        <v>0</v>
      </c>
      <c r="BF268" s="111">
        <f>268</f>
      </c>
      <c r="BH268" s="111">
        <f>G268*AO268</f>
      </c>
      <c r="BI268" s="111">
        <f>G268*AP268</f>
      </c>
      <c r="BJ268" s="111">
        <f>G268*H268</f>
      </c>
      <c r="BK268" s="111"/>
      <c r="BL268" s="111"/>
      <c r="BW268" s="111" t="n">
        <v>21</v>
      </c>
      <c r="BX268" s="14" t="s">
        <v>4951</v>
      </c>
    </row>
    <row r="269" customHeight="true" ht="13.5">
      <c r="A269" s="159"/>
      <c r="C269" s="160" t="s">
        <v>146</v>
      </c>
      <c r="D269" s="161" t="s">
        <v>4952</v>
      </c>
      <c r="E269" s="156"/>
      <c r="F269" s="156"/>
      <c r="G269" s="156"/>
      <c r="H269" s="156"/>
      <c r="I269" s="156"/>
      <c r="J269" s="156"/>
      <c r="K269" s="163"/>
    </row>
    <row r="270">
      <c r="A270" s="9" t="s">
        <v>842</v>
      </c>
      <c r="B270" s="10" t="s">
        <v>93</v>
      </c>
      <c r="C270" s="10" t="s">
        <v>4954</v>
      </c>
      <c r="D270" s="14" t="s">
        <v>4955</v>
      </c>
      <c r="E270" s="10"/>
      <c r="F270" s="10" t="s">
        <v>282</v>
      </c>
      <c r="G270" s="111">
        <f>'Stavební rozpočet'!G3109</f>
      </c>
      <c r="H270" s="111">
        <f>'Stavební rozpočet'!H3109</f>
      </c>
      <c r="I270" s="111">
        <f>G270*H270</f>
      </c>
      <c r="J270" s="153" t="s">
        <v>134</v>
      </c>
      <c r="K270" s="146"/>
      <c r="Z270" s="111">
        <f>IF(AQ270="5",BJ270,0)</f>
      </c>
      <c r="AB270" s="111">
        <f>IF(AQ270="1",BH270,0)</f>
      </c>
      <c r="AC270" s="111">
        <f>IF(AQ270="1",BI270,0)</f>
      </c>
      <c r="AD270" s="111">
        <f>IF(AQ270="7",BH270,0)</f>
      </c>
      <c r="AE270" s="111">
        <f>IF(AQ270="7",BI270,0)</f>
      </c>
      <c r="AF270" s="111">
        <f>IF(AQ270="2",BH270,0)</f>
      </c>
      <c r="AG270" s="111">
        <f>IF(AQ270="2",BI270,0)</f>
      </c>
      <c r="AH270" s="111">
        <f>IF(AQ270="0",BJ270,0)</f>
      </c>
      <c r="AI270" s="132" t="s">
        <v>93</v>
      </c>
      <c r="AJ270" s="111">
        <f>IF(AN270=0,I270,0)</f>
      </c>
      <c r="AK270" s="111">
        <f>IF(AN270=12,I270,0)</f>
      </c>
      <c r="AL270" s="111">
        <f>IF(AN270=21,I270,0)</f>
      </c>
      <c r="AN270" s="111" t="n">
        <v>21</v>
      </c>
      <c r="AO270" s="111">
        <f>H270*0.514664411</f>
      </c>
      <c r="AP270" s="111">
        <f>H270*(1-0.514664411)</f>
      </c>
      <c r="AQ270" s="153" t="s">
        <v>140</v>
      </c>
      <c r="AV270" s="111">
        <f>AW270+AX270</f>
      </c>
      <c r="AW270" s="111">
        <f>G270*AO270</f>
      </c>
      <c r="AX270" s="111">
        <f>G270*AP270</f>
      </c>
      <c r="AY270" s="153" t="s">
        <v>4923</v>
      </c>
      <c r="AZ270" s="153" t="s">
        <v>4606</v>
      </c>
      <c r="BA270" s="132" t="s">
        <v>4594</v>
      </c>
      <c r="BC270" s="111">
        <f>AW270+AX270</f>
      </c>
      <c r="BD270" s="111">
        <f>H270/(100-BE270)*100</f>
      </c>
      <c r="BE270" s="111" t="n">
        <v>0</v>
      </c>
      <c r="BF270" s="111">
        <f>270</f>
      </c>
      <c r="BH270" s="111">
        <f>G270*AO270</f>
      </c>
      <c r="BI270" s="111">
        <f>G270*AP270</f>
      </c>
      <c r="BJ270" s="111">
        <f>G270*H270</f>
      </c>
      <c r="BK270" s="111"/>
      <c r="BL270" s="111"/>
      <c r="BW270" s="111" t="n">
        <v>21</v>
      </c>
      <c r="BX270" s="14" t="s">
        <v>4955</v>
      </c>
    </row>
    <row r="271" customHeight="true" ht="13.5">
      <c r="A271" s="159"/>
      <c r="C271" s="160" t="s">
        <v>146</v>
      </c>
      <c r="D271" s="161" t="s">
        <v>4956</v>
      </c>
      <c r="E271" s="156"/>
      <c r="F271" s="156"/>
      <c r="G271" s="156"/>
      <c r="H271" s="156"/>
      <c r="I271" s="156"/>
      <c r="J271" s="156"/>
      <c r="K271" s="163"/>
    </row>
    <row r="272">
      <c r="A272" s="9" t="s">
        <v>847</v>
      </c>
      <c r="B272" s="10" t="s">
        <v>93</v>
      </c>
      <c r="C272" s="10" t="s">
        <v>4958</v>
      </c>
      <c r="D272" s="14" t="s">
        <v>4959</v>
      </c>
      <c r="E272" s="10"/>
      <c r="F272" s="10" t="s">
        <v>282</v>
      </c>
      <c r="G272" s="111">
        <f>'Stavební rozpočet'!G3111</f>
      </c>
      <c r="H272" s="111">
        <f>'Stavební rozpočet'!H3111</f>
      </c>
      <c r="I272" s="111">
        <f>G272*H272</f>
      </c>
      <c r="J272" s="153" t="s">
        <v>134</v>
      </c>
      <c r="K272" s="146"/>
      <c r="Z272" s="111">
        <f>IF(AQ272="5",BJ272,0)</f>
      </c>
      <c r="AB272" s="111">
        <f>IF(AQ272="1",BH272,0)</f>
      </c>
      <c r="AC272" s="111">
        <f>IF(AQ272="1",BI272,0)</f>
      </c>
      <c r="AD272" s="111">
        <f>IF(AQ272="7",BH272,0)</f>
      </c>
      <c r="AE272" s="111">
        <f>IF(AQ272="7",BI272,0)</f>
      </c>
      <c r="AF272" s="111">
        <f>IF(AQ272="2",BH272,0)</f>
      </c>
      <c r="AG272" s="111">
        <f>IF(AQ272="2",BI272,0)</f>
      </c>
      <c r="AH272" s="111">
        <f>IF(AQ272="0",BJ272,0)</f>
      </c>
      <c r="AI272" s="132" t="s">
        <v>93</v>
      </c>
      <c r="AJ272" s="111">
        <f>IF(AN272=0,I272,0)</f>
      </c>
      <c r="AK272" s="111">
        <f>IF(AN272=12,I272,0)</f>
      </c>
      <c r="AL272" s="111">
        <f>IF(AN272=21,I272,0)</f>
      </c>
      <c r="AN272" s="111" t="n">
        <v>21</v>
      </c>
      <c r="AO272" s="111">
        <f>H272*0.282103271</f>
      </c>
      <c r="AP272" s="111">
        <f>H272*(1-0.282103271)</f>
      </c>
      <c r="AQ272" s="153" t="s">
        <v>140</v>
      </c>
      <c r="AV272" s="111">
        <f>AW272+AX272</f>
      </c>
      <c r="AW272" s="111">
        <f>G272*AO272</f>
      </c>
      <c r="AX272" s="111">
        <f>G272*AP272</f>
      </c>
      <c r="AY272" s="153" t="s">
        <v>4923</v>
      </c>
      <c r="AZ272" s="153" t="s">
        <v>4606</v>
      </c>
      <c r="BA272" s="132" t="s">
        <v>4594</v>
      </c>
      <c r="BC272" s="111">
        <f>AW272+AX272</f>
      </c>
      <c r="BD272" s="111">
        <f>H272/(100-BE272)*100</f>
      </c>
      <c r="BE272" s="111" t="n">
        <v>0</v>
      </c>
      <c r="BF272" s="111">
        <f>272</f>
      </c>
      <c r="BH272" s="111">
        <f>G272*AO272</f>
      </c>
      <c r="BI272" s="111">
        <f>G272*AP272</f>
      </c>
      <c r="BJ272" s="111">
        <f>G272*H272</f>
      </c>
      <c r="BK272" s="111"/>
      <c r="BL272" s="111"/>
      <c r="BW272" s="111" t="n">
        <v>21</v>
      </c>
      <c r="BX272" s="14" t="s">
        <v>4959</v>
      </c>
    </row>
    <row r="273" customHeight="true" ht="13.5">
      <c r="A273" s="159"/>
      <c r="C273" s="160" t="s">
        <v>146</v>
      </c>
      <c r="D273" s="161" t="s">
        <v>4960</v>
      </c>
      <c r="E273" s="156"/>
      <c r="F273" s="156"/>
      <c r="G273" s="156"/>
      <c r="H273" s="156"/>
      <c r="I273" s="156"/>
      <c r="J273" s="156"/>
      <c r="K273" s="163"/>
    </row>
    <row r="274">
      <c r="A274" s="9" t="s">
        <v>852</v>
      </c>
      <c r="B274" s="10" t="s">
        <v>93</v>
      </c>
      <c r="C274" s="10" t="s">
        <v>4962</v>
      </c>
      <c r="D274" s="14" t="s">
        <v>4963</v>
      </c>
      <c r="E274" s="10"/>
      <c r="F274" s="10" t="s">
        <v>282</v>
      </c>
      <c r="G274" s="111">
        <f>'Stavební rozpočet'!G3113</f>
      </c>
      <c r="H274" s="111">
        <f>'Stavební rozpočet'!H3113</f>
      </c>
      <c r="I274" s="111">
        <f>G274*H274</f>
      </c>
      <c r="J274" s="153" t="s">
        <v>134</v>
      </c>
      <c r="K274" s="146"/>
      <c r="Z274" s="111">
        <f>IF(AQ274="5",BJ274,0)</f>
      </c>
      <c r="AB274" s="111">
        <f>IF(AQ274="1",BH274,0)</f>
      </c>
      <c r="AC274" s="111">
        <f>IF(AQ274="1",BI274,0)</f>
      </c>
      <c r="AD274" s="111">
        <f>IF(AQ274="7",BH274,0)</f>
      </c>
      <c r="AE274" s="111">
        <f>IF(AQ274="7",BI274,0)</f>
      </c>
      <c r="AF274" s="111">
        <f>IF(AQ274="2",BH274,0)</f>
      </c>
      <c r="AG274" s="111">
        <f>IF(AQ274="2",BI274,0)</f>
      </c>
      <c r="AH274" s="111">
        <f>IF(AQ274="0",BJ274,0)</f>
      </c>
      <c r="AI274" s="132" t="s">
        <v>93</v>
      </c>
      <c r="AJ274" s="111">
        <f>IF(AN274=0,I274,0)</f>
      </c>
      <c r="AK274" s="111">
        <f>IF(AN274=12,I274,0)</f>
      </c>
      <c r="AL274" s="111">
        <f>IF(AN274=21,I274,0)</f>
      </c>
      <c r="AN274" s="111" t="n">
        <v>21</v>
      </c>
      <c r="AO274" s="111">
        <f>H274*0.215170746</f>
      </c>
      <c r="AP274" s="111">
        <f>H274*(1-0.215170746)</f>
      </c>
      <c r="AQ274" s="153" t="s">
        <v>140</v>
      </c>
      <c r="AV274" s="111">
        <f>AW274+AX274</f>
      </c>
      <c r="AW274" s="111">
        <f>G274*AO274</f>
      </c>
      <c r="AX274" s="111">
        <f>G274*AP274</f>
      </c>
      <c r="AY274" s="153" t="s">
        <v>4923</v>
      </c>
      <c r="AZ274" s="153" t="s">
        <v>4606</v>
      </c>
      <c r="BA274" s="132" t="s">
        <v>4594</v>
      </c>
      <c r="BC274" s="111">
        <f>AW274+AX274</f>
      </c>
      <c r="BD274" s="111">
        <f>H274/(100-BE274)*100</f>
      </c>
      <c r="BE274" s="111" t="n">
        <v>0</v>
      </c>
      <c r="BF274" s="111">
        <f>274</f>
      </c>
      <c r="BH274" s="111">
        <f>G274*AO274</f>
      </c>
      <c r="BI274" s="111">
        <f>G274*AP274</f>
      </c>
      <c r="BJ274" s="111">
        <f>G274*H274</f>
      </c>
      <c r="BK274" s="111"/>
      <c r="BL274" s="111"/>
      <c r="BW274" s="111" t="n">
        <v>21</v>
      </c>
      <c r="BX274" s="14" t="s">
        <v>4963</v>
      </c>
    </row>
    <row r="275" customHeight="true" ht="13.5">
      <c r="A275" s="159"/>
      <c r="C275" s="160" t="s">
        <v>146</v>
      </c>
      <c r="D275" s="161" t="s">
        <v>4964</v>
      </c>
      <c r="E275" s="156"/>
      <c r="F275" s="156"/>
      <c r="G275" s="156"/>
      <c r="H275" s="156"/>
      <c r="I275" s="156"/>
      <c r="J275" s="156"/>
      <c r="K275" s="163"/>
    </row>
    <row r="276">
      <c r="A276" s="9" t="s">
        <v>856</v>
      </c>
      <c r="B276" s="10" t="s">
        <v>93</v>
      </c>
      <c r="C276" s="10" t="s">
        <v>4966</v>
      </c>
      <c r="D276" s="14" t="s">
        <v>4967</v>
      </c>
      <c r="E276" s="10"/>
      <c r="F276" s="10" t="s">
        <v>3860</v>
      </c>
      <c r="G276" s="111">
        <f>'Stavební rozpočet'!G3115</f>
      </c>
      <c r="H276" s="111">
        <f>'Stavební rozpočet'!H3115</f>
      </c>
      <c r="I276" s="111">
        <f>G276*H276</f>
      </c>
      <c r="J276" s="153" t="s">
        <v>134</v>
      </c>
      <c r="K276" s="146"/>
      <c r="Z276" s="111">
        <f>IF(AQ276="5",BJ276,0)</f>
      </c>
      <c r="AB276" s="111">
        <f>IF(AQ276="1",BH276,0)</f>
      </c>
      <c r="AC276" s="111">
        <f>IF(AQ276="1",BI276,0)</f>
      </c>
      <c r="AD276" s="111">
        <f>IF(AQ276="7",BH276,0)</f>
      </c>
      <c r="AE276" s="111">
        <f>IF(AQ276="7",BI276,0)</f>
      </c>
      <c r="AF276" s="111">
        <f>IF(AQ276="2",BH276,0)</f>
      </c>
      <c r="AG276" s="111">
        <f>IF(AQ276="2",BI276,0)</f>
      </c>
      <c r="AH276" s="111">
        <f>IF(AQ276="0",BJ276,0)</f>
      </c>
      <c r="AI276" s="132" t="s">
        <v>93</v>
      </c>
      <c r="AJ276" s="111">
        <f>IF(AN276=0,I276,0)</f>
      </c>
      <c r="AK276" s="111">
        <f>IF(AN276=12,I276,0)</f>
      </c>
      <c r="AL276" s="111">
        <f>IF(AN276=21,I276,0)</f>
      </c>
      <c r="AN276" s="111" t="n">
        <v>21</v>
      </c>
      <c r="AO276" s="111">
        <f>H276*0</f>
      </c>
      <c r="AP276" s="111">
        <f>H276*(1-0)</f>
      </c>
      <c r="AQ276" s="153" t="s">
        <v>140</v>
      </c>
      <c r="AV276" s="111">
        <f>AW276+AX276</f>
      </c>
      <c r="AW276" s="111">
        <f>G276*AO276</f>
      </c>
      <c r="AX276" s="111">
        <f>G276*AP276</f>
      </c>
      <c r="AY276" s="153" t="s">
        <v>4923</v>
      </c>
      <c r="AZ276" s="153" t="s">
        <v>4606</v>
      </c>
      <c r="BA276" s="132" t="s">
        <v>4594</v>
      </c>
      <c r="BC276" s="111">
        <f>AW276+AX276</f>
      </c>
      <c r="BD276" s="111">
        <f>H276/(100-BE276)*100</f>
      </c>
      <c r="BE276" s="111" t="n">
        <v>0</v>
      </c>
      <c r="BF276" s="111">
        <f>276</f>
      </c>
      <c r="BH276" s="111">
        <f>G276*AO276</f>
      </c>
      <c r="BI276" s="111">
        <f>G276*AP276</f>
      </c>
      <c r="BJ276" s="111">
        <f>G276*H276</f>
      </c>
      <c r="BK276" s="111"/>
      <c r="BL276" s="111"/>
      <c r="BW276" s="111" t="n">
        <v>21</v>
      </c>
      <c r="BX276" s="14" t="s">
        <v>4967</v>
      </c>
    </row>
    <row r="277">
      <c r="A277" s="154"/>
      <c r="B277" s="155"/>
      <c r="C277" s="155"/>
      <c r="D277" s="156" t="s">
        <v>130</v>
      </c>
      <c r="E277" s="156" t="s">
        <v>4968</v>
      </c>
      <c r="F277" s="155"/>
      <c r="G277" s="157" t="n">
        <v>1</v>
      </c>
      <c r="H277" s="155"/>
      <c r="I277" s="155"/>
      <c r="J277" s="155"/>
      <c r="K277" s="146"/>
    </row>
    <row r="278">
      <c r="A278" s="9" t="s">
        <v>859</v>
      </c>
      <c r="B278" s="10" t="s">
        <v>93</v>
      </c>
      <c r="C278" s="10" t="s">
        <v>4970</v>
      </c>
      <c r="D278" s="14" t="s">
        <v>4971</v>
      </c>
      <c r="E278" s="10"/>
      <c r="F278" s="10" t="s">
        <v>133</v>
      </c>
      <c r="G278" s="111">
        <f>'Stavební rozpočet'!G3117</f>
      </c>
      <c r="H278" s="111">
        <f>'Stavební rozpočet'!H3117</f>
      </c>
      <c r="I278" s="111">
        <f>G278*H278</f>
      </c>
      <c r="J278" s="153" t="s">
        <v>134</v>
      </c>
      <c r="K278" s="146"/>
      <c r="Z278" s="111">
        <f>IF(AQ278="5",BJ278,0)</f>
      </c>
      <c r="AB278" s="111">
        <f>IF(AQ278="1",BH278,0)</f>
      </c>
      <c r="AC278" s="111">
        <f>IF(AQ278="1",BI278,0)</f>
      </c>
      <c r="AD278" s="111">
        <f>IF(AQ278="7",BH278,0)</f>
      </c>
      <c r="AE278" s="111">
        <f>IF(AQ278="7",BI278,0)</f>
      </c>
      <c r="AF278" s="111">
        <f>IF(AQ278="2",BH278,0)</f>
      </c>
      <c r="AG278" s="111">
        <f>IF(AQ278="2",BI278,0)</f>
      </c>
      <c r="AH278" s="111">
        <f>IF(AQ278="0",BJ278,0)</f>
      </c>
      <c r="AI278" s="132" t="s">
        <v>93</v>
      </c>
      <c r="AJ278" s="111">
        <f>IF(AN278=0,I278,0)</f>
      </c>
      <c r="AK278" s="111">
        <f>IF(AN278=12,I278,0)</f>
      </c>
      <c r="AL278" s="111">
        <f>IF(AN278=21,I278,0)</f>
      </c>
      <c r="AN278" s="111" t="n">
        <v>21</v>
      </c>
      <c r="AO278" s="111">
        <f>H278*0</f>
      </c>
      <c r="AP278" s="111">
        <f>H278*(1-0)</f>
      </c>
      <c r="AQ278" s="153" t="s">
        <v>140</v>
      </c>
      <c r="AV278" s="111">
        <f>AW278+AX278</f>
      </c>
      <c r="AW278" s="111">
        <f>G278*AO278</f>
      </c>
      <c r="AX278" s="111">
        <f>G278*AP278</f>
      </c>
      <c r="AY278" s="153" t="s">
        <v>4923</v>
      </c>
      <c r="AZ278" s="153" t="s">
        <v>4606</v>
      </c>
      <c r="BA278" s="132" t="s">
        <v>4594</v>
      </c>
      <c r="BC278" s="111">
        <f>AW278+AX278</f>
      </c>
      <c r="BD278" s="111">
        <f>H278/(100-BE278)*100</f>
      </c>
      <c r="BE278" s="111" t="n">
        <v>0</v>
      </c>
      <c r="BF278" s="111">
        <f>278</f>
      </c>
      <c r="BH278" s="111">
        <f>G278*AO278</f>
      </c>
      <c r="BI278" s="111">
        <f>G278*AP278</f>
      </c>
      <c r="BJ278" s="111">
        <f>G278*H278</f>
      </c>
      <c r="BK278" s="111"/>
      <c r="BL278" s="111"/>
      <c r="BW278" s="111" t="n">
        <v>21</v>
      </c>
      <c r="BX278" s="14" t="s">
        <v>4971</v>
      </c>
    </row>
    <row r="279" customHeight="true" ht="13.5">
      <c r="A279" s="159"/>
      <c r="C279" s="160" t="s">
        <v>146</v>
      </c>
      <c r="D279" s="161" t="s">
        <v>4972</v>
      </c>
      <c r="E279" s="156"/>
      <c r="F279" s="156"/>
      <c r="G279" s="156"/>
      <c r="H279" s="156"/>
      <c r="I279" s="156"/>
      <c r="J279" s="156"/>
      <c r="K279" s="163"/>
    </row>
    <row r="280">
      <c r="A280" s="9" t="s">
        <v>878</v>
      </c>
      <c r="B280" s="10" t="s">
        <v>93</v>
      </c>
      <c r="C280" s="10" t="s">
        <v>4974</v>
      </c>
      <c r="D280" s="14" t="s">
        <v>4975</v>
      </c>
      <c r="E280" s="10"/>
      <c r="F280" s="10" t="s">
        <v>133</v>
      </c>
      <c r="G280" s="111">
        <f>'Stavební rozpočet'!G3119</f>
      </c>
      <c r="H280" s="111">
        <f>'Stavební rozpočet'!H3119</f>
      </c>
      <c r="I280" s="111">
        <f>G280*H280</f>
      </c>
      <c r="J280" s="153" t="s">
        <v>134</v>
      </c>
      <c r="K280" s="146"/>
      <c r="Z280" s="111">
        <f>IF(AQ280="5",BJ280,0)</f>
      </c>
      <c r="AB280" s="111">
        <f>IF(AQ280="1",BH280,0)</f>
      </c>
      <c r="AC280" s="111">
        <f>IF(AQ280="1",BI280,0)</f>
      </c>
      <c r="AD280" s="111">
        <f>IF(AQ280="7",BH280,0)</f>
      </c>
      <c r="AE280" s="111">
        <f>IF(AQ280="7",BI280,0)</f>
      </c>
      <c r="AF280" s="111">
        <f>IF(AQ280="2",BH280,0)</f>
      </c>
      <c r="AG280" s="111">
        <f>IF(AQ280="2",BI280,0)</f>
      </c>
      <c r="AH280" s="111">
        <f>IF(AQ280="0",BJ280,0)</f>
      </c>
      <c r="AI280" s="132" t="s">
        <v>93</v>
      </c>
      <c r="AJ280" s="111">
        <f>IF(AN280=0,I280,0)</f>
      </c>
      <c r="AK280" s="111">
        <f>IF(AN280=12,I280,0)</f>
      </c>
      <c r="AL280" s="111">
        <f>IF(AN280=21,I280,0)</f>
      </c>
      <c r="AN280" s="111" t="n">
        <v>21</v>
      </c>
      <c r="AO280" s="111">
        <f>H280*0.474785201</f>
      </c>
      <c r="AP280" s="111">
        <f>H280*(1-0.474785201)</f>
      </c>
      <c r="AQ280" s="153" t="s">
        <v>140</v>
      </c>
      <c r="AV280" s="111">
        <f>AW280+AX280</f>
      </c>
      <c r="AW280" s="111">
        <f>G280*AO280</f>
      </c>
      <c r="AX280" s="111">
        <f>G280*AP280</f>
      </c>
      <c r="AY280" s="153" t="s">
        <v>4923</v>
      </c>
      <c r="AZ280" s="153" t="s">
        <v>4606</v>
      </c>
      <c r="BA280" s="132" t="s">
        <v>4594</v>
      </c>
      <c r="BC280" s="111">
        <f>AW280+AX280</f>
      </c>
      <c r="BD280" s="111">
        <f>H280/(100-BE280)*100</f>
      </c>
      <c r="BE280" s="111" t="n">
        <v>0</v>
      </c>
      <c r="BF280" s="111">
        <f>280</f>
      </c>
      <c r="BH280" s="111">
        <f>G280*AO280</f>
      </c>
      <c r="BI280" s="111">
        <f>G280*AP280</f>
      </c>
      <c r="BJ280" s="111">
        <f>G280*H280</f>
      </c>
      <c r="BK280" s="111"/>
      <c r="BL280" s="111"/>
      <c r="BW280" s="111" t="n">
        <v>21</v>
      </c>
      <c r="BX280" s="14" t="s">
        <v>4975</v>
      </c>
    </row>
    <row r="281" customHeight="true" ht="13.5">
      <c r="A281" s="159"/>
      <c r="C281" s="160" t="s">
        <v>146</v>
      </c>
      <c r="D281" s="161" t="s">
        <v>4976</v>
      </c>
      <c r="E281" s="156"/>
      <c r="F281" s="156"/>
      <c r="G281" s="156"/>
      <c r="H281" s="156"/>
      <c r="I281" s="156"/>
      <c r="J281" s="156"/>
      <c r="K281" s="163"/>
    </row>
    <row r="282">
      <c r="A282" s="9" t="s">
        <v>881</v>
      </c>
      <c r="B282" s="10" t="s">
        <v>93</v>
      </c>
      <c r="C282" s="10" t="s">
        <v>4978</v>
      </c>
      <c r="D282" s="14" t="s">
        <v>4979</v>
      </c>
      <c r="E282" s="10"/>
      <c r="F282" s="10" t="s">
        <v>133</v>
      </c>
      <c r="G282" s="111">
        <f>'Stavební rozpočet'!G3121</f>
      </c>
      <c r="H282" s="111">
        <f>'Stavební rozpočet'!H3121</f>
      </c>
      <c r="I282" s="111">
        <f>G282*H282</f>
      </c>
      <c r="J282" s="153" t="s">
        <v>134</v>
      </c>
      <c r="K282" s="146"/>
      <c r="Z282" s="111">
        <f>IF(AQ282="5",BJ282,0)</f>
      </c>
      <c r="AB282" s="111">
        <f>IF(AQ282="1",BH282,0)</f>
      </c>
      <c r="AC282" s="111">
        <f>IF(AQ282="1",BI282,0)</f>
      </c>
      <c r="AD282" s="111">
        <f>IF(AQ282="7",BH282,0)</f>
      </c>
      <c r="AE282" s="111">
        <f>IF(AQ282="7",BI282,0)</f>
      </c>
      <c r="AF282" s="111">
        <f>IF(AQ282="2",BH282,0)</f>
      </c>
      <c r="AG282" s="111">
        <f>IF(AQ282="2",BI282,0)</f>
      </c>
      <c r="AH282" s="111">
        <f>IF(AQ282="0",BJ282,0)</f>
      </c>
      <c r="AI282" s="132" t="s">
        <v>93</v>
      </c>
      <c r="AJ282" s="111">
        <f>IF(AN282=0,I282,0)</f>
      </c>
      <c r="AK282" s="111">
        <f>IF(AN282=12,I282,0)</f>
      </c>
      <c r="AL282" s="111">
        <f>IF(AN282=21,I282,0)</f>
      </c>
      <c r="AN282" s="111" t="n">
        <v>21</v>
      </c>
      <c r="AO282" s="111">
        <f>H282*0.089370044</f>
      </c>
      <c r="AP282" s="111">
        <f>H282*(1-0.089370044)</f>
      </c>
      <c r="AQ282" s="153" t="s">
        <v>140</v>
      </c>
      <c r="AV282" s="111">
        <f>AW282+AX282</f>
      </c>
      <c r="AW282" s="111">
        <f>G282*AO282</f>
      </c>
      <c r="AX282" s="111">
        <f>G282*AP282</f>
      </c>
      <c r="AY282" s="153" t="s">
        <v>4923</v>
      </c>
      <c r="AZ282" s="153" t="s">
        <v>4606</v>
      </c>
      <c r="BA282" s="132" t="s">
        <v>4594</v>
      </c>
      <c r="BC282" s="111">
        <f>AW282+AX282</f>
      </c>
      <c r="BD282" s="111">
        <f>H282/(100-BE282)*100</f>
      </c>
      <c r="BE282" s="111" t="n">
        <v>0</v>
      </c>
      <c r="BF282" s="111">
        <f>282</f>
      </c>
      <c r="BH282" s="111">
        <f>G282*AO282</f>
      </c>
      <c r="BI282" s="111">
        <f>G282*AP282</f>
      </c>
      <c r="BJ282" s="111">
        <f>G282*H282</f>
      </c>
      <c r="BK282" s="111"/>
      <c r="BL282" s="111"/>
      <c r="BW282" s="111" t="n">
        <v>21</v>
      </c>
      <c r="BX282" s="14" t="s">
        <v>4979</v>
      </c>
    </row>
    <row r="283" customHeight="true" ht="13.5">
      <c r="A283" s="159"/>
      <c r="C283" s="160" t="s">
        <v>146</v>
      </c>
      <c r="D283" s="161" t="s">
        <v>4980</v>
      </c>
      <c r="E283" s="156"/>
      <c r="F283" s="156"/>
      <c r="G283" s="156"/>
      <c r="H283" s="156"/>
      <c r="I283" s="156"/>
      <c r="J283" s="156"/>
      <c r="K283" s="163"/>
    </row>
    <row r="284">
      <c r="A284" s="9" t="s">
        <v>884</v>
      </c>
      <c r="B284" s="10" t="s">
        <v>93</v>
      </c>
      <c r="C284" s="10" t="s">
        <v>4982</v>
      </c>
      <c r="D284" s="14" t="s">
        <v>4983</v>
      </c>
      <c r="E284" s="10"/>
      <c r="F284" s="10" t="s">
        <v>133</v>
      </c>
      <c r="G284" s="111">
        <f>'Stavební rozpočet'!G3123</f>
      </c>
      <c r="H284" s="111">
        <f>'Stavební rozpočet'!H3123</f>
      </c>
      <c r="I284" s="111">
        <f>G284*H284</f>
      </c>
      <c r="J284" s="153" t="s">
        <v>134</v>
      </c>
      <c r="K284" s="146"/>
      <c r="Z284" s="111">
        <f>IF(AQ284="5",BJ284,0)</f>
      </c>
      <c r="AB284" s="111">
        <f>IF(AQ284="1",BH284,0)</f>
      </c>
      <c r="AC284" s="111">
        <f>IF(AQ284="1",BI284,0)</f>
      </c>
      <c r="AD284" s="111">
        <f>IF(AQ284="7",BH284,0)</f>
      </c>
      <c r="AE284" s="111">
        <f>IF(AQ284="7",BI284,0)</f>
      </c>
      <c r="AF284" s="111">
        <f>IF(AQ284="2",BH284,0)</f>
      </c>
      <c r="AG284" s="111">
        <f>IF(AQ284="2",BI284,0)</f>
      </c>
      <c r="AH284" s="111">
        <f>IF(AQ284="0",BJ284,0)</f>
      </c>
      <c r="AI284" s="132" t="s">
        <v>93</v>
      </c>
      <c r="AJ284" s="111">
        <f>IF(AN284=0,I284,0)</f>
      </c>
      <c r="AK284" s="111">
        <f>IF(AN284=12,I284,0)</f>
      </c>
      <c r="AL284" s="111">
        <f>IF(AN284=21,I284,0)</f>
      </c>
      <c r="AN284" s="111" t="n">
        <v>21</v>
      </c>
      <c r="AO284" s="111">
        <f>H284*0.164001827</f>
      </c>
      <c r="AP284" s="111">
        <f>H284*(1-0.164001827)</f>
      </c>
      <c r="AQ284" s="153" t="s">
        <v>140</v>
      </c>
      <c r="AV284" s="111">
        <f>AW284+AX284</f>
      </c>
      <c r="AW284" s="111">
        <f>G284*AO284</f>
      </c>
      <c r="AX284" s="111">
        <f>G284*AP284</f>
      </c>
      <c r="AY284" s="153" t="s">
        <v>4923</v>
      </c>
      <c r="AZ284" s="153" t="s">
        <v>4606</v>
      </c>
      <c r="BA284" s="132" t="s">
        <v>4594</v>
      </c>
      <c r="BC284" s="111">
        <f>AW284+AX284</f>
      </c>
      <c r="BD284" s="111">
        <f>H284/(100-BE284)*100</f>
      </c>
      <c r="BE284" s="111" t="n">
        <v>0</v>
      </c>
      <c r="BF284" s="111">
        <f>284</f>
      </c>
      <c r="BH284" s="111">
        <f>G284*AO284</f>
      </c>
      <c r="BI284" s="111">
        <f>G284*AP284</f>
      </c>
      <c r="BJ284" s="111">
        <f>G284*H284</f>
      </c>
      <c r="BK284" s="111"/>
      <c r="BL284" s="111"/>
      <c r="BW284" s="111" t="n">
        <v>21</v>
      </c>
      <c r="BX284" s="14" t="s">
        <v>4983</v>
      </c>
    </row>
    <row r="285" customHeight="true" ht="13.5">
      <c r="A285" s="159"/>
      <c r="C285" s="160" t="s">
        <v>146</v>
      </c>
      <c r="D285" s="161" t="s">
        <v>4984</v>
      </c>
      <c r="E285" s="156"/>
      <c r="F285" s="156"/>
      <c r="G285" s="156"/>
      <c r="H285" s="156"/>
      <c r="I285" s="156"/>
      <c r="J285" s="156"/>
      <c r="K285" s="163"/>
    </row>
    <row r="286">
      <c r="A286" s="9" t="s">
        <v>887</v>
      </c>
      <c r="B286" s="10" t="s">
        <v>93</v>
      </c>
      <c r="C286" s="10" t="s">
        <v>4986</v>
      </c>
      <c r="D286" s="14" t="s">
        <v>4983</v>
      </c>
      <c r="E286" s="10"/>
      <c r="F286" s="10" t="s">
        <v>133</v>
      </c>
      <c r="G286" s="111">
        <f>'Stavební rozpočet'!G3125</f>
      </c>
      <c r="H286" s="111">
        <f>'Stavební rozpočet'!H3125</f>
      </c>
      <c r="I286" s="111">
        <f>G286*H286</f>
      </c>
      <c r="J286" s="153" t="s">
        <v>134</v>
      </c>
      <c r="K286" s="146"/>
      <c r="Z286" s="111">
        <f>IF(AQ286="5",BJ286,0)</f>
      </c>
      <c r="AB286" s="111">
        <f>IF(AQ286="1",BH286,0)</f>
      </c>
      <c r="AC286" s="111">
        <f>IF(AQ286="1",BI286,0)</f>
      </c>
      <c r="AD286" s="111">
        <f>IF(AQ286="7",BH286,0)</f>
      </c>
      <c r="AE286" s="111">
        <f>IF(AQ286="7",BI286,0)</f>
      </c>
      <c r="AF286" s="111">
        <f>IF(AQ286="2",BH286,0)</f>
      </c>
      <c r="AG286" s="111">
        <f>IF(AQ286="2",BI286,0)</f>
      </c>
      <c r="AH286" s="111">
        <f>IF(AQ286="0",BJ286,0)</f>
      </c>
      <c r="AI286" s="132" t="s">
        <v>93</v>
      </c>
      <c r="AJ286" s="111">
        <f>IF(AN286=0,I286,0)</f>
      </c>
      <c r="AK286" s="111">
        <f>IF(AN286=12,I286,0)</f>
      </c>
      <c r="AL286" s="111">
        <f>IF(AN286=21,I286,0)</f>
      </c>
      <c r="AN286" s="111" t="n">
        <v>21</v>
      </c>
      <c r="AO286" s="111">
        <f>H286*0.098686828</f>
      </c>
      <c r="AP286" s="111">
        <f>H286*(1-0.098686828)</f>
      </c>
      <c r="AQ286" s="153" t="s">
        <v>140</v>
      </c>
      <c r="AV286" s="111">
        <f>AW286+AX286</f>
      </c>
      <c r="AW286" s="111">
        <f>G286*AO286</f>
      </c>
      <c r="AX286" s="111">
        <f>G286*AP286</f>
      </c>
      <c r="AY286" s="153" t="s">
        <v>4923</v>
      </c>
      <c r="AZ286" s="153" t="s">
        <v>4606</v>
      </c>
      <c r="BA286" s="132" t="s">
        <v>4594</v>
      </c>
      <c r="BC286" s="111">
        <f>AW286+AX286</f>
      </c>
      <c r="BD286" s="111">
        <f>H286/(100-BE286)*100</f>
      </c>
      <c r="BE286" s="111" t="n">
        <v>0</v>
      </c>
      <c r="BF286" s="111">
        <f>286</f>
      </c>
      <c r="BH286" s="111">
        <f>G286*AO286</f>
      </c>
      <c r="BI286" s="111">
        <f>G286*AP286</f>
      </c>
      <c r="BJ286" s="111">
        <f>G286*H286</f>
      </c>
      <c r="BK286" s="111"/>
      <c r="BL286" s="111"/>
      <c r="BW286" s="111" t="n">
        <v>21</v>
      </c>
      <c r="BX286" s="14" t="s">
        <v>4983</v>
      </c>
    </row>
    <row r="287" customHeight="true" ht="13.5">
      <c r="A287" s="159"/>
      <c r="C287" s="160" t="s">
        <v>146</v>
      </c>
      <c r="D287" s="161" t="s">
        <v>4987</v>
      </c>
      <c r="E287" s="156"/>
      <c r="F287" s="156"/>
      <c r="G287" s="156"/>
      <c r="H287" s="156"/>
      <c r="I287" s="156"/>
      <c r="J287" s="156"/>
      <c r="K287" s="163"/>
    </row>
    <row r="288">
      <c r="A288" s="9" t="s">
        <v>894</v>
      </c>
      <c r="B288" s="10" t="s">
        <v>93</v>
      </c>
      <c r="C288" s="10" t="s">
        <v>4989</v>
      </c>
      <c r="D288" s="14" t="s">
        <v>4983</v>
      </c>
      <c r="E288" s="10"/>
      <c r="F288" s="10" t="s">
        <v>133</v>
      </c>
      <c r="G288" s="111">
        <f>'Stavební rozpočet'!G3127</f>
      </c>
      <c r="H288" s="111">
        <f>'Stavební rozpočet'!H3127</f>
      </c>
      <c r="I288" s="111">
        <f>G288*H288</f>
      </c>
      <c r="J288" s="153" t="s">
        <v>134</v>
      </c>
      <c r="K288" s="146"/>
      <c r="Z288" s="111">
        <f>IF(AQ288="5",BJ288,0)</f>
      </c>
      <c r="AB288" s="111">
        <f>IF(AQ288="1",BH288,0)</f>
      </c>
      <c r="AC288" s="111">
        <f>IF(AQ288="1",BI288,0)</f>
      </c>
      <c r="AD288" s="111">
        <f>IF(AQ288="7",BH288,0)</f>
      </c>
      <c r="AE288" s="111">
        <f>IF(AQ288="7",BI288,0)</f>
      </c>
      <c r="AF288" s="111">
        <f>IF(AQ288="2",BH288,0)</f>
      </c>
      <c r="AG288" s="111">
        <f>IF(AQ288="2",BI288,0)</f>
      </c>
      <c r="AH288" s="111">
        <f>IF(AQ288="0",BJ288,0)</f>
      </c>
      <c r="AI288" s="132" t="s">
        <v>93</v>
      </c>
      <c r="AJ288" s="111">
        <f>IF(AN288=0,I288,0)</f>
      </c>
      <c r="AK288" s="111">
        <f>IF(AN288=12,I288,0)</f>
      </c>
      <c r="AL288" s="111">
        <f>IF(AN288=21,I288,0)</f>
      </c>
      <c r="AN288" s="111" t="n">
        <v>21</v>
      </c>
      <c r="AO288" s="111">
        <f>H288*0.248386105</f>
      </c>
      <c r="AP288" s="111">
        <f>H288*(1-0.248386105)</f>
      </c>
      <c r="AQ288" s="153" t="s">
        <v>140</v>
      </c>
      <c r="AV288" s="111">
        <f>AW288+AX288</f>
      </c>
      <c r="AW288" s="111">
        <f>G288*AO288</f>
      </c>
      <c r="AX288" s="111">
        <f>G288*AP288</f>
      </c>
      <c r="AY288" s="153" t="s">
        <v>4923</v>
      </c>
      <c r="AZ288" s="153" t="s">
        <v>4606</v>
      </c>
      <c r="BA288" s="132" t="s">
        <v>4594</v>
      </c>
      <c r="BC288" s="111">
        <f>AW288+AX288</f>
      </c>
      <c r="BD288" s="111">
        <f>H288/(100-BE288)*100</f>
      </c>
      <c r="BE288" s="111" t="n">
        <v>0</v>
      </c>
      <c r="BF288" s="111">
        <f>288</f>
      </c>
      <c r="BH288" s="111">
        <f>G288*AO288</f>
      </c>
      <c r="BI288" s="111">
        <f>G288*AP288</f>
      </c>
      <c r="BJ288" s="111">
        <f>G288*H288</f>
      </c>
      <c r="BK288" s="111"/>
      <c r="BL288" s="111"/>
      <c r="BW288" s="111" t="n">
        <v>21</v>
      </c>
      <c r="BX288" s="14" t="s">
        <v>4983</v>
      </c>
    </row>
    <row r="289" customHeight="true" ht="13.5">
      <c r="A289" s="159"/>
      <c r="C289" s="160" t="s">
        <v>146</v>
      </c>
      <c r="D289" s="161" t="s">
        <v>4990</v>
      </c>
      <c r="E289" s="156"/>
      <c r="F289" s="156"/>
      <c r="G289" s="156"/>
      <c r="H289" s="156"/>
      <c r="I289" s="156"/>
      <c r="J289" s="156"/>
      <c r="K289" s="163"/>
    </row>
    <row r="290">
      <c r="A290" s="9" t="s">
        <v>899</v>
      </c>
      <c r="B290" s="10" t="s">
        <v>93</v>
      </c>
      <c r="C290" s="10" t="s">
        <v>4992</v>
      </c>
      <c r="D290" s="14" t="s">
        <v>4983</v>
      </c>
      <c r="E290" s="10"/>
      <c r="F290" s="10" t="s">
        <v>133</v>
      </c>
      <c r="G290" s="111">
        <f>'Stavební rozpočet'!G3129</f>
      </c>
      <c r="H290" s="111">
        <f>'Stavební rozpočet'!H3129</f>
      </c>
      <c r="I290" s="111">
        <f>G290*H290</f>
      </c>
      <c r="J290" s="153" t="s">
        <v>134</v>
      </c>
      <c r="K290" s="146"/>
      <c r="Z290" s="111">
        <f>IF(AQ290="5",BJ290,0)</f>
      </c>
      <c r="AB290" s="111">
        <f>IF(AQ290="1",BH290,0)</f>
      </c>
      <c r="AC290" s="111">
        <f>IF(AQ290="1",BI290,0)</f>
      </c>
      <c r="AD290" s="111">
        <f>IF(AQ290="7",BH290,0)</f>
      </c>
      <c r="AE290" s="111">
        <f>IF(AQ290="7",BI290,0)</f>
      </c>
      <c r="AF290" s="111">
        <f>IF(AQ290="2",BH290,0)</f>
      </c>
      <c r="AG290" s="111">
        <f>IF(AQ290="2",BI290,0)</f>
      </c>
      <c r="AH290" s="111">
        <f>IF(AQ290="0",BJ290,0)</f>
      </c>
      <c r="AI290" s="132" t="s">
        <v>93</v>
      </c>
      <c r="AJ290" s="111">
        <f>IF(AN290=0,I290,0)</f>
      </c>
      <c r="AK290" s="111">
        <f>IF(AN290=12,I290,0)</f>
      </c>
      <c r="AL290" s="111">
        <f>IF(AN290=21,I290,0)</f>
      </c>
      <c r="AN290" s="111" t="n">
        <v>21</v>
      </c>
      <c r="AO290" s="111">
        <f>H290*0.154920163</f>
      </c>
      <c r="AP290" s="111">
        <f>H290*(1-0.154920163)</f>
      </c>
      <c r="AQ290" s="153" t="s">
        <v>140</v>
      </c>
      <c r="AV290" s="111">
        <f>AW290+AX290</f>
      </c>
      <c r="AW290" s="111">
        <f>G290*AO290</f>
      </c>
      <c r="AX290" s="111">
        <f>G290*AP290</f>
      </c>
      <c r="AY290" s="153" t="s">
        <v>4923</v>
      </c>
      <c r="AZ290" s="153" t="s">
        <v>4606</v>
      </c>
      <c r="BA290" s="132" t="s">
        <v>4594</v>
      </c>
      <c r="BC290" s="111">
        <f>AW290+AX290</f>
      </c>
      <c r="BD290" s="111">
        <f>H290/(100-BE290)*100</f>
      </c>
      <c r="BE290" s="111" t="n">
        <v>0</v>
      </c>
      <c r="BF290" s="111">
        <f>290</f>
      </c>
      <c r="BH290" s="111">
        <f>G290*AO290</f>
      </c>
      <c r="BI290" s="111">
        <f>G290*AP290</f>
      </c>
      <c r="BJ290" s="111">
        <f>G290*H290</f>
      </c>
      <c r="BK290" s="111"/>
      <c r="BL290" s="111"/>
      <c r="BW290" s="111" t="n">
        <v>21</v>
      </c>
      <c r="BX290" s="14" t="s">
        <v>4983</v>
      </c>
    </row>
    <row r="291" customHeight="true" ht="13.5">
      <c r="A291" s="159"/>
      <c r="C291" s="160" t="s">
        <v>146</v>
      </c>
      <c r="D291" s="161" t="s">
        <v>4993</v>
      </c>
      <c r="E291" s="156"/>
      <c r="F291" s="156"/>
      <c r="G291" s="156"/>
      <c r="H291" s="156"/>
      <c r="I291" s="156"/>
      <c r="J291" s="156"/>
      <c r="K291" s="163"/>
    </row>
    <row r="292">
      <c r="A292" s="9" t="s">
        <v>904</v>
      </c>
      <c r="B292" s="10" t="s">
        <v>93</v>
      </c>
      <c r="C292" s="10" t="s">
        <v>4995</v>
      </c>
      <c r="D292" s="14" t="s">
        <v>4983</v>
      </c>
      <c r="E292" s="10"/>
      <c r="F292" s="10" t="s">
        <v>133</v>
      </c>
      <c r="G292" s="111">
        <f>'Stavební rozpočet'!G3131</f>
      </c>
      <c r="H292" s="111">
        <f>'Stavební rozpočet'!H3131</f>
      </c>
      <c r="I292" s="111">
        <f>G292*H292</f>
      </c>
      <c r="J292" s="153" t="s">
        <v>134</v>
      </c>
      <c r="K292" s="146"/>
      <c r="Z292" s="111">
        <f>IF(AQ292="5",BJ292,0)</f>
      </c>
      <c r="AB292" s="111">
        <f>IF(AQ292="1",BH292,0)</f>
      </c>
      <c r="AC292" s="111">
        <f>IF(AQ292="1",BI292,0)</f>
      </c>
      <c r="AD292" s="111">
        <f>IF(AQ292="7",BH292,0)</f>
      </c>
      <c r="AE292" s="111">
        <f>IF(AQ292="7",BI292,0)</f>
      </c>
      <c r="AF292" s="111">
        <f>IF(AQ292="2",BH292,0)</f>
      </c>
      <c r="AG292" s="111">
        <f>IF(AQ292="2",BI292,0)</f>
      </c>
      <c r="AH292" s="111">
        <f>IF(AQ292="0",BJ292,0)</f>
      </c>
      <c r="AI292" s="132" t="s">
        <v>93</v>
      </c>
      <c r="AJ292" s="111">
        <f>IF(AN292=0,I292,0)</f>
      </c>
      <c r="AK292" s="111">
        <f>IF(AN292=12,I292,0)</f>
      </c>
      <c r="AL292" s="111">
        <f>IF(AN292=21,I292,0)</f>
      </c>
      <c r="AN292" s="111" t="n">
        <v>21</v>
      </c>
      <c r="AO292" s="111">
        <f>H292*0.152246565</f>
      </c>
      <c r="AP292" s="111">
        <f>H292*(1-0.152246565)</f>
      </c>
      <c r="AQ292" s="153" t="s">
        <v>140</v>
      </c>
      <c r="AV292" s="111">
        <f>AW292+AX292</f>
      </c>
      <c r="AW292" s="111">
        <f>G292*AO292</f>
      </c>
      <c r="AX292" s="111">
        <f>G292*AP292</f>
      </c>
      <c r="AY292" s="153" t="s">
        <v>4923</v>
      </c>
      <c r="AZ292" s="153" t="s">
        <v>4606</v>
      </c>
      <c r="BA292" s="132" t="s">
        <v>4594</v>
      </c>
      <c r="BC292" s="111">
        <f>AW292+AX292</f>
      </c>
      <c r="BD292" s="111">
        <f>H292/(100-BE292)*100</f>
      </c>
      <c r="BE292" s="111" t="n">
        <v>0</v>
      </c>
      <c r="BF292" s="111">
        <f>292</f>
      </c>
      <c r="BH292" s="111">
        <f>G292*AO292</f>
      </c>
      <c r="BI292" s="111">
        <f>G292*AP292</f>
      </c>
      <c r="BJ292" s="111">
        <f>G292*H292</f>
      </c>
      <c r="BK292" s="111"/>
      <c r="BL292" s="111"/>
      <c r="BW292" s="111" t="n">
        <v>21</v>
      </c>
      <c r="BX292" s="14" t="s">
        <v>4983</v>
      </c>
    </row>
    <row r="293" customHeight="true" ht="13.5">
      <c r="A293" s="159"/>
      <c r="C293" s="160" t="s">
        <v>146</v>
      </c>
      <c r="D293" s="161" t="s">
        <v>4996</v>
      </c>
      <c r="E293" s="156"/>
      <c r="F293" s="156"/>
      <c r="G293" s="156"/>
      <c r="H293" s="156"/>
      <c r="I293" s="156"/>
      <c r="J293" s="156"/>
      <c r="K293" s="163"/>
    </row>
    <row r="294">
      <c r="A294" s="9" t="s">
        <v>908</v>
      </c>
      <c r="B294" s="10" t="s">
        <v>93</v>
      </c>
      <c r="C294" s="10" t="s">
        <v>4998</v>
      </c>
      <c r="D294" s="14" t="s">
        <v>4999</v>
      </c>
      <c r="E294" s="10"/>
      <c r="F294" s="10" t="s">
        <v>133</v>
      </c>
      <c r="G294" s="111">
        <f>'Stavební rozpočet'!G3133</f>
      </c>
      <c r="H294" s="111">
        <f>'Stavební rozpočet'!H3133</f>
      </c>
      <c r="I294" s="111">
        <f>G294*H294</f>
      </c>
      <c r="J294" s="153" t="s">
        <v>134</v>
      </c>
      <c r="K294" s="146"/>
      <c r="Z294" s="111">
        <f>IF(AQ294="5",BJ294,0)</f>
      </c>
      <c r="AB294" s="111">
        <f>IF(AQ294="1",BH294,0)</f>
      </c>
      <c r="AC294" s="111">
        <f>IF(AQ294="1",BI294,0)</f>
      </c>
      <c r="AD294" s="111">
        <f>IF(AQ294="7",BH294,0)</f>
      </c>
      <c r="AE294" s="111">
        <f>IF(AQ294="7",BI294,0)</f>
      </c>
      <c r="AF294" s="111">
        <f>IF(AQ294="2",BH294,0)</f>
      </c>
      <c r="AG294" s="111">
        <f>IF(AQ294="2",BI294,0)</f>
      </c>
      <c r="AH294" s="111">
        <f>IF(AQ294="0",BJ294,0)</f>
      </c>
      <c r="AI294" s="132" t="s">
        <v>93</v>
      </c>
      <c r="AJ294" s="111">
        <f>IF(AN294=0,I294,0)</f>
      </c>
      <c r="AK294" s="111">
        <f>IF(AN294=12,I294,0)</f>
      </c>
      <c r="AL294" s="111">
        <f>IF(AN294=21,I294,0)</f>
      </c>
      <c r="AN294" s="111" t="n">
        <v>21</v>
      </c>
      <c r="AO294" s="111">
        <f>H294*0.147154795</f>
      </c>
      <c r="AP294" s="111">
        <f>H294*(1-0.147154795)</f>
      </c>
      <c r="AQ294" s="153" t="s">
        <v>140</v>
      </c>
      <c r="AV294" s="111">
        <f>AW294+AX294</f>
      </c>
      <c r="AW294" s="111">
        <f>G294*AO294</f>
      </c>
      <c r="AX294" s="111">
        <f>G294*AP294</f>
      </c>
      <c r="AY294" s="153" t="s">
        <v>4923</v>
      </c>
      <c r="AZ294" s="153" t="s">
        <v>4606</v>
      </c>
      <c r="BA294" s="132" t="s">
        <v>4594</v>
      </c>
      <c r="BC294" s="111">
        <f>AW294+AX294</f>
      </c>
      <c r="BD294" s="111">
        <f>H294/(100-BE294)*100</f>
      </c>
      <c r="BE294" s="111" t="n">
        <v>0</v>
      </c>
      <c r="BF294" s="111">
        <f>294</f>
      </c>
      <c r="BH294" s="111">
        <f>G294*AO294</f>
      </c>
      <c r="BI294" s="111">
        <f>G294*AP294</f>
      </c>
      <c r="BJ294" s="111">
        <f>G294*H294</f>
      </c>
      <c r="BK294" s="111"/>
      <c r="BL294" s="111"/>
      <c r="BW294" s="111" t="n">
        <v>21</v>
      </c>
      <c r="BX294" s="14" t="s">
        <v>4999</v>
      </c>
    </row>
    <row r="295" customHeight="true" ht="13.5">
      <c r="A295" s="159"/>
      <c r="C295" s="160" t="s">
        <v>146</v>
      </c>
      <c r="D295" s="161" t="s">
        <v>5000</v>
      </c>
      <c r="E295" s="156"/>
      <c r="F295" s="156"/>
      <c r="G295" s="156"/>
      <c r="H295" s="156"/>
      <c r="I295" s="156"/>
      <c r="J295" s="156"/>
      <c r="K295" s="163"/>
    </row>
    <row r="296">
      <c r="A296" s="9" t="s">
        <v>914</v>
      </c>
      <c r="B296" s="10" t="s">
        <v>93</v>
      </c>
      <c r="C296" s="10" t="s">
        <v>5002</v>
      </c>
      <c r="D296" s="14" t="s">
        <v>4999</v>
      </c>
      <c r="E296" s="10"/>
      <c r="F296" s="10" t="s">
        <v>133</v>
      </c>
      <c r="G296" s="111">
        <f>'Stavební rozpočet'!G3135</f>
      </c>
      <c r="H296" s="111">
        <f>'Stavební rozpočet'!H3135</f>
      </c>
      <c r="I296" s="111">
        <f>G296*H296</f>
      </c>
      <c r="J296" s="153" t="s">
        <v>134</v>
      </c>
      <c r="K296" s="146"/>
      <c r="Z296" s="111">
        <f>IF(AQ296="5",BJ296,0)</f>
      </c>
      <c r="AB296" s="111">
        <f>IF(AQ296="1",BH296,0)</f>
      </c>
      <c r="AC296" s="111">
        <f>IF(AQ296="1",BI296,0)</f>
      </c>
      <c r="AD296" s="111">
        <f>IF(AQ296="7",BH296,0)</f>
      </c>
      <c r="AE296" s="111">
        <f>IF(AQ296="7",BI296,0)</f>
      </c>
      <c r="AF296" s="111">
        <f>IF(AQ296="2",BH296,0)</f>
      </c>
      <c r="AG296" s="111">
        <f>IF(AQ296="2",BI296,0)</f>
      </c>
      <c r="AH296" s="111">
        <f>IF(AQ296="0",BJ296,0)</f>
      </c>
      <c r="AI296" s="132" t="s">
        <v>93</v>
      </c>
      <c r="AJ296" s="111">
        <f>IF(AN296=0,I296,0)</f>
      </c>
      <c r="AK296" s="111">
        <f>IF(AN296=12,I296,0)</f>
      </c>
      <c r="AL296" s="111">
        <f>IF(AN296=21,I296,0)</f>
      </c>
      <c r="AN296" s="111" t="n">
        <v>21</v>
      </c>
      <c r="AO296" s="111">
        <f>H296*0.287867266</f>
      </c>
      <c r="AP296" s="111">
        <f>H296*(1-0.287867266)</f>
      </c>
      <c r="AQ296" s="153" t="s">
        <v>140</v>
      </c>
      <c r="AV296" s="111">
        <f>AW296+AX296</f>
      </c>
      <c r="AW296" s="111">
        <f>G296*AO296</f>
      </c>
      <c r="AX296" s="111">
        <f>G296*AP296</f>
      </c>
      <c r="AY296" s="153" t="s">
        <v>4923</v>
      </c>
      <c r="AZ296" s="153" t="s">
        <v>4606</v>
      </c>
      <c r="BA296" s="132" t="s">
        <v>4594</v>
      </c>
      <c r="BC296" s="111">
        <f>AW296+AX296</f>
      </c>
      <c r="BD296" s="111">
        <f>H296/(100-BE296)*100</f>
      </c>
      <c r="BE296" s="111" t="n">
        <v>0</v>
      </c>
      <c r="BF296" s="111">
        <f>296</f>
      </c>
      <c r="BH296" s="111">
        <f>G296*AO296</f>
      </c>
      <c r="BI296" s="111">
        <f>G296*AP296</f>
      </c>
      <c r="BJ296" s="111">
        <f>G296*H296</f>
      </c>
      <c r="BK296" s="111"/>
      <c r="BL296" s="111"/>
      <c r="BW296" s="111" t="n">
        <v>21</v>
      </c>
      <c r="BX296" s="14" t="s">
        <v>4999</v>
      </c>
    </row>
    <row r="297" customHeight="true" ht="13.5">
      <c r="A297" s="159"/>
      <c r="C297" s="160" t="s">
        <v>146</v>
      </c>
      <c r="D297" s="161" t="s">
        <v>5003</v>
      </c>
      <c r="E297" s="156"/>
      <c r="F297" s="156"/>
      <c r="G297" s="156"/>
      <c r="H297" s="156"/>
      <c r="I297" s="156"/>
      <c r="J297" s="156"/>
      <c r="K297" s="163"/>
    </row>
    <row r="298">
      <c r="A298" s="9" t="s">
        <v>917</v>
      </c>
      <c r="B298" s="10" t="s">
        <v>93</v>
      </c>
      <c r="C298" s="10" t="s">
        <v>5005</v>
      </c>
      <c r="D298" s="14" t="s">
        <v>4999</v>
      </c>
      <c r="E298" s="10"/>
      <c r="F298" s="10" t="s">
        <v>133</v>
      </c>
      <c r="G298" s="111">
        <f>'Stavební rozpočet'!G3137</f>
      </c>
      <c r="H298" s="111">
        <f>'Stavební rozpočet'!H3137</f>
      </c>
      <c r="I298" s="111">
        <f>G298*H298</f>
      </c>
      <c r="J298" s="153" t="s">
        <v>134</v>
      </c>
      <c r="K298" s="146"/>
      <c r="Z298" s="111">
        <f>IF(AQ298="5",BJ298,0)</f>
      </c>
      <c r="AB298" s="111">
        <f>IF(AQ298="1",BH298,0)</f>
      </c>
      <c r="AC298" s="111">
        <f>IF(AQ298="1",BI298,0)</f>
      </c>
      <c r="AD298" s="111">
        <f>IF(AQ298="7",BH298,0)</f>
      </c>
      <c r="AE298" s="111">
        <f>IF(AQ298="7",BI298,0)</f>
      </c>
      <c r="AF298" s="111">
        <f>IF(AQ298="2",BH298,0)</f>
      </c>
      <c r="AG298" s="111">
        <f>IF(AQ298="2",BI298,0)</f>
      </c>
      <c r="AH298" s="111">
        <f>IF(AQ298="0",BJ298,0)</f>
      </c>
      <c r="AI298" s="132" t="s">
        <v>93</v>
      </c>
      <c r="AJ298" s="111">
        <f>IF(AN298=0,I298,0)</f>
      </c>
      <c r="AK298" s="111">
        <f>IF(AN298=12,I298,0)</f>
      </c>
      <c r="AL298" s="111">
        <f>IF(AN298=21,I298,0)</f>
      </c>
      <c r="AN298" s="111" t="n">
        <v>21</v>
      </c>
      <c r="AO298" s="111">
        <f>H298*0.26868483</f>
      </c>
      <c r="AP298" s="111">
        <f>H298*(1-0.26868483)</f>
      </c>
      <c r="AQ298" s="153" t="s">
        <v>140</v>
      </c>
      <c r="AV298" s="111">
        <f>AW298+AX298</f>
      </c>
      <c r="AW298" s="111">
        <f>G298*AO298</f>
      </c>
      <c r="AX298" s="111">
        <f>G298*AP298</f>
      </c>
      <c r="AY298" s="153" t="s">
        <v>4923</v>
      </c>
      <c r="AZ298" s="153" t="s">
        <v>4606</v>
      </c>
      <c r="BA298" s="132" t="s">
        <v>4594</v>
      </c>
      <c r="BC298" s="111">
        <f>AW298+AX298</f>
      </c>
      <c r="BD298" s="111">
        <f>H298/(100-BE298)*100</f>
      </c>
      <c r="BE298" s="111" t="n">
        <v>0</v>
      </c>
      <c r="BF298" s="111">
        <f>298</f>
      </c>
      <c r="BH298" s="111">
        <f>G298*AO298</f>
      </c>
      <c r="BI298" s="111">
        <f>G298*AP298</f>
      </c>
      <c r="BJ298" s="111">
        <f>G298*H298</f>
      </c>
      <c r="BK298" s="111"/>
      <c r="BL298" s="111"/>
      <c r="BW298" s="111" t="n">
        <v>21</v>
      </c>
      <c r="BX298" s="14" t="s">
        <v>4999</v>
      </c>
    </row>
    <row r="299" customHeight="true" ht="13.5">
      <c r="A299" s="159"/>
      <c r="C299" s="160" t="s">
        <v>146</v>
      </c>
      <c r="D299" s="161" t="s">
        <v>5006</v>
      </c>
      <c r="E299" s="156"/>
      <c r="F299" s="156"/>
      <c r="G299" s="156"/>
      <c r="H299" s="156"/>
      <c r="I299" s="156"/>
      <c r="J299" s="156"/>
      <c r="K299" s="163"/>
    </row>
    <row r="300">
      <c r="A300" s="9" t="s">
        <v>920</v>
      </c>
      <c r="B300" s="10" t="s">
        <v>93</v>
      </c>
      <c r="C300" s="10" t="s">
        <v>5008</v>
      </c>
      <c r="D300" s="14" t="s">
        <v>5009</v>
      </c>
      <c r="E300" s="10"/>
      <c r="F300" s="10" t="s">
        <v>282</v>
      </c>
      <c r="G300" s="111">
        <f>'Stavební rozpočet'!G3139</f>
      </c>
      <c r="H300" s="111">
        <f>'Stavební rozpočet'!H3139</f>
      </c>
      <c r="I300" s="111">
        <f>G300*H300</f>
      </c>
      <c r="J300" s="153" t="s">
        <v>134</v>
      </c>
      <c r="K300" s="146"/>
      <c r="Z300" s="111">
        <f>IF(AQ300="5",BJ300,0)</f>
      </c>
      <c r="AB300" s="111">
        <f>IF(AQ300="1",BH300,0)</f>
      </c>
      <c r="AC300" s="111">
        <f>IF(AQ300="1",BI300,0)</f>
      </c>
      <c r="AD300" s="111">
        <f>IF(AQ300="7",BH300,0)</f>
      </c>
      <c r="AE300" s="111">
        <f>IF(AQ300="7",BI300,0)</f>
      </c>
      <c r="AF300" s="111">
        <f>IF(AQ300="2",BH300,0)</f>
      </c>
      <c r="AG300" s="111">
        <f>IF(AQ300="2",BI300,0)</f>
      </c>
      <c r="AH300" s="111">
        <f>IF(AQ300="0",BJ300,0)</f>
      </c>
      <c r="AI300" s="132" t="s">
        <v>93</v>
      </c>
      <c r="AJ300" s="111">
        <f>IF(AN300=0,I300,0)</f>
      </c>
      <c r="AK300" s="111">
        <f>IF(AN300=12,I300,0)</f>
      </c>
      <c r="AL300" s="111">
        <f>IF(AN300=21,I300,0)</f>
      </c>
      <c r="AN300" s="111" t="n">
        <v>21</v>
      </c>
      <c r="AO300" s="111">
        <f>H300*0</f>
      </c>
      <c r="AP300" s="111">
        <f>H300*(1-0)</f>
      </c>
      <c r="AQ300" s="153" t="s">
        <v>140</v>
      </c>
      <c r="AV300" s="111">
        <f>AW300+AX300</f>
      </c>
      <c r="AW300" s="111">
        <f>G300*AO300</f>
      </c>
      <c r="AX300" s="111">
        <f>G300*AP300</f>
      </c>
      <c r="AY300" s="153" t="s">
        <v>4923</v>
      </c>
      <c r="AZ300" s="153" t="s">
        <v>4606</v>
      </c>
      <c r="BA300" s="132" t="s">
        <v>4594</v>
      </c>
      <c r="BC300" s="111">
        <f>AW300+AX300</f>
      </c>
      <c r="BD300" s="111">
        <f>H300/(100-BE300)*100</f>
      </c>
      <c r="BE300" s="111" t="n">
        <v>0</v>
      </c>
      <c r="BF300" s="111">
        <f>300</f>
      </c>
      <c r="BH300" s="111">
        <f>G300*AO300</f>
      </c>
      <c r="BI300" s="111">
        <f>G300*AP300</f>
      </c>
      <c r="BJ300" s="111">
        <f>G300*H300</f>
      </c>
      <c r="BK300" s="111"/>
      <c r="BL300" s="111"/>
      <c r="BW300" s="111" t="n">
        <v>21</v>
      </c>
      <c r="BX300" s="14" t="s">
        <v>5009</v>
      </c>
    </row>
    <row r="301" customHeight="true" ht="13.5">
      <c r="A301" s="159"/>
      <c r="C301" s="160" t="s">
        <v>146</v>
      </c>
      <c r="D301" s="161" t="s">
        <v>5010</v>
      </c>
      <c r="E301" s="156"/>
      <c r="F301" s="156"/>
      <c r="G301" s="156"/>
      <c r="H301" s="156"/>
      <c r="I301" s="156"/>
      <c r="J301" s="156"/>
      <c r="K301" s="163"/>
    </row>
    <row r="302">
      <c r="A302" s="9" t="s">
        <v>927</v>
      </c>
      <c r="B302" s="10" t="s">
        <v>93</v>
      </c>
      <c r="C302" s="10" t="s">
        <v>5012</v>
      </c>
      <c r="D302" s="14" t="s">
        <v>5013</v>
      </c>
      <c r="E302" s="10"/>
      <c r="F302" s="10" t="s">
        <v>282</v>
      </c>
      <c r="G302" s="111">
        <f>'Stavební rozpočet'!G3141</f>
      </c>
      <c r="H302" s="111">
        <f>'Stavební rozpočet'!H3141</f>
      </c>
      <c r="I302" s="111">
        <f>G302*H302</f>
      </c>
      <c r="J302" s="153" t="s">
        <v>134</v>
      </c>
      <c r="K302" s="146"/>
      <c r="Z302" s="111">
        <f>IF(AQ302="5",BJ302,0)</f>
      </c>
      <c r="AB302" s="111">
        <f>IF(AQ302="1",BH302,0)</f>
      </c>
      <c r="AC302" s="111">
        <f>IF(AQ302="1",BI302,0)</f>
      </c>
      <c r="AD302" s="111">
        <f>IF(AQ302="7",BH302,0)</f>
      </c>
      <c r="AE302" s="111">
        <f>IF(AQ302="7",BI302,0)</f>
      </c>
      <c r="AF302" s="111">
        <f>IF(AQ302="2",BH302,0)</f>
      </c>
      <c r="AG302" s="111">
        <f>IF(AQ302="2",BI302,0)</f>
      </c>
      <c r="AH302" s="111">
        <f>IF(AQ302="0",BJ302,0)</f>
      </c>
      <c r="AI302" s="132" t="s">
        <v>93</v>
      </c>
      <c r="AJ302" s="111">
        <f>IF(AN302=0,I302,0)</f>
      </c>
      <c r="AK302" s="111">
        <f>IF(AN302=12,I302,0)</f>
      </c>
      <c r="AL302" s="111">
        <f>IF(AN302=21,I302,0)</f>
      </c>
      <c r="AN302" s="111" t="n">
        <v>21</v>
      </c>
      <c r="AO302" s="111">
        <f>H302*0</f>
      </c>
      <c r="AP302" s="111">
        <f>H302*(1-0)</f>
      </c>
      <c r="AQ302" s="153" t="s">
        <v>140</v>
      </c>
      <c r="AV302" s="111">
        <f>AW302+AX302</f>
      </c>
      <c r="AW302" s="111">
        <f>G302*AO302</f>
      </c>
      <c r="AX302" s="111">
        <f>G302*AP302</f>
      </c>
      <c r="AY302" s="153" t="s">
        <v>4923</v>
      </c>
      <c r="AZ302" s="153" t="s">
        <v>4606</v>
      </c>
      <c r="BA302" s="132" t="s">
        <v>4594</v>
      </c>
      <c r="BC302" s="111">
        <f>AW302+AX302</f>
      </c>
      <c r="BD302" s="111">
        <f>H302/(100-BE302)*100</f>
      </c>
      <c r="BE302" s="111" t="n">
        <v>0</v>
      </c>
      <c r="BF302" s="111">
        <f>302</f>
      </c>
      <c r="BH302" s="111">
        <f>G302*AO302</f>
      </c>
      <c r="BI302" s="111">
        <f>G302*AP302</f>
      </c>
      <c r="BJ302" s="111">
        <f>G302*H302</f>
      </c>
      <c r="BK302" s="111"/>
      <c r="BL302" s="111"/>
      <c r="BW302" s="111" t="n">
        <v>21</v>
      </c>
      <c r="BX302" s="14" t="s">
        <v>5013</v>
      </c>
    </row>
    <row r="303" customHeight="true" ht="13.5">
      <c r="A303" s="159"/>
      <c r="C303" s="160" t="s">
        <v>146</v>
      </c>
      <c r="D303" s="161" t="s">
        <v>5014</v>
      </c>
      <c r="E303" s="156"/>
      <c r="F303" s="156"/>
      <c r="G303" s="156"/>
      <c r="H303" s="156"/>
      <c r="I303" s="156"/>
      <c r="J303" s="156"/>
      <c r="K303" s="163"/>
    </row>
    <row r="304">
      <c r="A304" s="9" t="s">
        <v>935</v>
      </c>
      <c r="B304" s="10" t="s">
        <v>93</v>
      </c>
      <c r="C304" s="10" t="s">
        <v>5016</v>
      </c>
      <c r="D304" s="14" t="s">
        <v>5017</v>
      </c>
      <c r="E304" s="10"/>
      <c r="F304" s="10" t="s">
        <v>282</v>
      </c>
      <c r="G304" s="111">
        <f>'Stavební rozpočet'!G3143</f>
      </c>
      <c r="H304" s="111">
        <f>'Stavební rozpočet'!H3143</f>
      </c>
      <c r="I304" s="111">
        <f>G304*H304</f>
      </c>
      <c r="J304" s="153" t="s">
        <v>134</v>
      </c>
      <c r="K304" s="146"/>
      <c r="Z304" s="111">
        <f>IF(AQ304="5",BJ304,0)</f>
      </c>
      <c r="AB304" s="111">
        <f>IF(AQ304="1",BH304,0)</f>
      </c>
      <c r="AC304" s="111">
        <f>IF(AQ304="1",BI304,0)</f>
      </c>
      <c r="AD304" s="111">
        <f>IF(AQ304="7",BH304,0)</f>
      </c>
      <c r="AE304" s="111">
        <f>IF(AQ304="7",BI304,0)</f>
      </c>
      <c r="AF304" s="111">
        <f>IF(AQ304="2",BH304,0)</f>
      </c>
      <c r="AG304" s="111">
        <f>IF(AQ304="2",BI304,0)</f>
      </c>
      <c r="AH304" s="111">
        <f>IF(AQ304="0",BJ304,0)</f>
      </c>
      <c r="AI304" s="132" t="s">
        <v>93</v>
      </c>
      <c r="AJ304" s="111">
        <f>IF(AN304=0,I304,0)</f>
      </c>
      <c r="AK304" s="111">
        <f>IF(AN304=12,I304,0)</f>
      </c>
      <c r="AL304" s="111">
        <f>IF(AN304=21,I304,0)</f>
      </c>
      <c r="AN304" s="111" t="n">
        <v>21</v>
      </c>
      <c r="AO304" s="111">
        <f>H304*0.071283582</f>
      </c>
      <c r="AP304" s="111">
        <f>H304*(1-0.071283582)</f>
      </c>
      <c r="AQ304" s="153" t="s">
        <v>140</v>
      </c>
      <c r="AV304" s="111">
        <f>AW304+AX304</f>
      </c>
      <c r="AW304" s="111">
        <f>G304*AO304</f>
      </c>
      <c r="AX304" s="111">
        <f>G304*AP304</f>
      </c>
      <c r="AY304" s="153" t="s">
        <v>4923</v>
      </c>
      <c r="AZ304" s="153" t="s">
        <v>4606</v>
      </c>
      <c r="BA304" s="132" t="s">
        <v>4594</v>
      </c>
      <c r="BC304" s="111">
        <f>AW304+AX304</f>
      </c>
      <c r="BD304" s="111">
        <f>H304/(100-BE304)*100</f>
      </c>
      <c r="BE304" s="111" t="n">
        <v>0</v>
      </c>
      <c r="BF304" s="111">
        <f>304</f>
      </c>
      <c r="BH304" s="111">
        <f>G304*AO304</f>
      </c>
      <c r="BI304" s="111">
        <f>G304*AP304</f>
      </c>
      <c r="BJ304" s="111">
        <f>G304*H304</f>
      </c>
      <c r="BK304" s="111"/>
      <c r="BL304" s="111"/>
      <c r="BW304" s="111" t="n">
        <v>21</v>
      </c>
      <c r="BX304" s="14" t="s">
        <v>5017</v>
      </c>
    </row>
    <row r="305" customHeight="true" ht="13.5">
      <c r="A305" s="159"/>
      <c r="C305" s="160" t="s">
        <v>146</v>
      </c>
      <c r="D305" s="161" t="s">
        <v>5018</v>
      </c>
      <c r="E305" s="156"/>
      <c r="F305" s="156"/>
      <c r="G305" s="156"/>
      <c r="H305" s="156"/>
      <c r="I305" s="156"/>
      <c r="J305" s="156"/>
      <c r="K305" s="163"/>
    </row>
    <row r="306">
      <c r="A306" s="9" t="s">
        <v>948</v>
      </c>
      <c r="B306" s="10" t="s">
        <v>93</v>
      </c>
      <c r="C306" s="10" t="s">
        <v>5020</v>
      </c>
      <c r="D306" s="14" t="s">
        <v>5021</v>
      </c>
      <c r="E306" s="10"/>
      <c r="F306" s="10" t="s">
        <v>133</v>
      </c>
      <c r="G306" s="111">
        <f>'Stavební rozpočet'!G3145</f>
      </c>
      <c r="H306" s="111">
        <f>'Stavební rozpočet'!H3145</f>
      </c>
      <c r="I306" s="111">
        <f>G306*H306</f>
      </c>
      <c r="J306" s="153" t="s">
        <v>134</v>
      </c>
      <c r="K306" s="146"/>
      <c r="Z306" s="111">
        <f>IF(AQ306="5",BJ306,0)</f>
      </c>
      <c r="AB306" s="111">
        <f>IF(AQ306="1",BH306,0)</f>
      </c>
      <c r="AC306" s="111">
        <f>IF(AQ306="1",BI306,0)</f>
      </c>
      <c r="AD306" s="111">
        <f>IF(AQ306="7",BH306,0)</f>
      </c>
      <c r="AE306" s="111">
        <f>IF(AQ306="7",BI306,0)</f>
      </c>
      <c r="AF306" s="111">
        <f>IF(AQ306="2",BH306,0)</f>
      </c>
      <c r="AG306" s="111">
        <f>IF(AQ306="2",BI306,0)</f>
      </c>
      <c r="AH306" s="111">
        <f>IF(AQ306="0",BJ306,0)</f>
      </c>
      <c r="AI306" s="132" t="s">
        <v>93</v>
      </c>
      <c r="AJ306" s="111">
        <f>IF(AN306=0,I306,0)</f>
      </c>
      <c r="AK306" s="111">
        <f>IF(AN306=12,I306,0)</f>
      </c>
      <c r="AL306" s="111">
        <f>IF(AN306=21,I306,0)</f>
      </c>
      <c r="AN306" s="111" t="n">
        <v>21</v>
      </c>
      <c r="AO306" s="111">
        <f>H306*0</f>
      </c>
      <c r="AP306" s="111">
        <f>H306*(1-0)</f>
      </c>
      <c r="AQ306" s="153" t="s">
        <v>140</v>
      </c>
      <c r="AV306" s="111">
        <f>AW306+AX306</f>
      </c>
      <c r="AW306" s="111">
        <f>G306*AO306</f>
      </c>
      <c r="AX306" s="111">
        <f>G306*AP306</f>
      </c>
      <c r="AY306" s="153" t="s">
        <v>4923</v>
      </c>
      <c r="AZ306" s="153" t="s">
        <v>4606</v>
      </c>
      <c r="BA306" s="132" t="s">
        <v>4594</v>
      </c>
      <c r="BC306" s="111">
        <f>AW306+AX306</f>
      </c>
      <c r="BD306" s="111">
        <f>H306/(100-BE306)*100</f>
      </c>
      <c r="BE306" s="111" t="n">
        <v>0</v>
      </c>
      <c r="BF306" s="111">
        <f>306</f>
      </c>
      <c r="BH306" s="111">
        <f>G306*AO306</f>
      </c>
      <c r="BI306" s="111">
        <f>G306*AP306</f>
      </c>
      <c r="BJ306" s="111">
        <f>G306*H306</f>
      </c>
      <c r="BK306" s="111"/>
      <c r="BL306" s="111"/>
      <c r="BW306" s="111" t="n">
        <v>21</v>
      </c>
      <c r="BX306" s="14" t="s">
        <v>5021</v>
      </c>
    </row>
    <row r="307" customHeight="true" ht="13.5">
      <c r="A307" s="159"/>
      <c r="C307" s="160" t="s">
        <v>146</v>
      </c>
      <c r="D307" s="161" t="s">
        <v>5022</v>
      </c>
      <c r="E307" s="156"/>
      <c r="F307" s="156"/>
      <c r="G307" s="156"/>
      <c r="H307" s="156"/>
      <c r="I307" s="156"/>
      <c r="J307" s="156"/>
      <c r="K307" s="163"/>
    </row>
    <row r="308">
      <c r="A308" s="154"/>
      <c r="B308" s="155"/>
      <c r="C308" s="155"/>
      <c r="D308" s="156" t="s">
        <v>149</v>
      </c>
      <c r="E308" s="156" t="s">
        <v>5023</v>
      </c>
      <c r="F308" s="155"/>
      <c r="G308" s="157" t="n">
        <v>4</v>
      </c>
      <c r="H308" s="155"/>
      <c r="I308" s="155"/>
      <c r="J308" s="155"/>
      <c r="K308" s="146"/>
    </row>
    <row r="309">
      <c r="A309" s="9" t="s">
        <v>951</v>
      </c>
      <c r="B309" s="10" t="s">
        <v>93</v>
      </c>
      <c r="C309" s="10" t="s">
        <v>5025</v>
      </c>
      <c r="D309" s="14" t="s">
        <v>5026</v>
      </c>
      <c r="E309" s="10"/>
      <c r="F309" s="10" t="s">
        <v>133</v>
      </c>
      <c r="G309" s="111">
        <f>'Stavební rozpočet'!G3148</f>
      </c>
      <c r="H309" s="111">
        <f>'Stavební rozpočet'!H3148</f>
      </c>
      <c r="I309" s="111">
        <f>G309*H309</f>
      </c>
      <c r="J309" s="153" t="s">
        <v>134</v>
      </c>
      <c r="K309" s="146"/>
      <c r="Z309" s="111">
        <f>IF(AQ309="5",BJ309,0)</f>
      </c>
      <c r="AB309" s="111">
        <f>IF(AQ309="1",BH309,0)</f>
      </c>
      <c r="AC309" s="111">
        <f>IF(AQ309="1",BI309,0)</f>
      </c>
      <c r="AD309" s="111">
        <f>IF(AQ309="7",BH309,0)</f>
      </c>
      <c r="AE309" s="111">
        <f>IF(AQ309="7",BI309,0)</f>
      </c>
      <c r="AF309" s="111">
        <f>IF(AQ309="2",BH309,0)</f>
      </c>
      <c r="AG309" s="111">
        <f>IF(AQ309="2",BI309,0)</f>
      </c>
      <c r="AH309" s="111">
        <f>IF(AQ309="0",BJ309,0)</f>
      </c>
      <c r="AI309" s="132" t="s">
        <v>93</v>
      </c>
      <c r="AJ309" s="111">
        <f>IF(AN309=0,I309,0)</f>
      </c>
      <c r="AK309" s="111">
        <f>IF(AN309=12,I309,0)</f>
      </c>
      <c r="AL309" s="111">
        <f>IF(AN309=21,I309,0)</f>
      </c>
      <c r="AN309" s="111" t="n">
        <v>21</v>
      </c>
      <c r="AO309" s="111">
        <f>H309*0</f>
      </c>
      <c r="AP309" s="111">
        <f>H309*(1-0)</f>
      </c>
      <c r="AQ309" s="153" t="s">
        <v>140</v>
      </c>
      <c r="AV309" s="111">
        <f>AW309+AX309</f>
      </c>
      <c r="AW309" s="111">
        <f>G309*AO309</f>
      </c>
      <c r="AX309" s="111">
        <f>G309*AP309</f>
      </c>
      <c r="AY309" s="153" t="s">
        <v>4923</v>
      </c>
      <c r="AZ309" s="153" t="s">
        <v>4606</v>
      </c>
      <c r="BA309" s="132" t="s">
        <v>4594</v>
      </c>
      <c r="BC309" s="111">
        <f>AW309+AX309</f>
      </c>
      <c r="BD309" s="111">
        <f>H309/(100-BE309)*100</f>
      </c>
      <c r="BE309" s="111" t="n">
        <v>0</v>
      </c>
      <c r="BF309" s="111">
        <f>309</f>
      </c>
      <c r="BH309" s="111">
        <f>G309*AO309</f>
      </c>
      <c r="BI309" s="111">
        <f>G309*AP309</f>
      </c>
      <c r="BJ309" s="111">
        <f>G309*H309</f>
      </c>
      <c r="BK309" s="111"/>
      <c r="BL309" s="111"/>
      <c r="BW309" s="111" t="n">
        <v>21</v>
      </c>
      <c r="BX309" s="14" t="s">
        <v>5026</v>
      </c>
    </row>
    <row r="310" customHeight="true" ht="13.5">
      <c r="A310" s="159"/>
      <c r="C310" s="160" t="s">
        <v>146</v>
      </c>
      <c r="D310" s="161" t="s">
        <v>5027</v>
      </c>
      <c r="E310" s="156"/>
      <c r="F310" s="156"/>
      <c r="G310" s="156"/>
      <c r="H310" s="156"/>
      <c r="I310" s="156"/>
      <c r="J310" s="156"/>
      <c r="K310" s="163"/>
    </row>
    <row r="311">
      <c r="A311" s="9" t="s">
        <v>957</v>
      </c>
      <c r="B311" s="10" t="s">
        <v>93</v>
      </c>
      <c r="C311" s="10" t="s">
        <v>5029</v>
      </c>
      <c r="D311" s="14" t="s">
        <v>5030</v>
      </c>
      <c r="E311" s="10"/>
      <c r="F311" s="10" t="s">
        <v>282</v>
      </c>
      <c r="G311" s="111">
        <f>'Stavební rozpočet'!G3150</f>
      </c>
      <c r="H311" s="111">
        <f>'Stavební rozpočet'!H3150</f>
      </c>
      <c r="I311" s="111">
        <f>G311*H311</f>
      </c>
      <c r="J311" s="153" t="s">
        <v>134</v>
      </c>
      <c r="K311" s="146"/>
      <c r="Z311" s="111">
        <f>IF(AQ311="5",BJ311,0)</f>
      </c>
      <c r="AB311" s="111">
        <f>IF(AQ311="1",BH311,0)</f>
      </c>
      <c r="AC311" s="111">
        <f>IF(AQ311="1",BI311,0)</f>
      </c>
      <c r="AD311" s="111">
        <f>IF(AQ311="7",BH311,0)</f>
      </c>
      <c r="AE311" s="111">
        <f>IF(AQ311="7",BI311,0)</f>
      </c>
      <c r="AF311" s="111">
        <f>IF(AQ311="2",BH311,0)</f>
      </c>
      <c r="AG311" s="111">
        <f>IF(AQ311="2",BI311,0)</f>
      </c>
      <c r="AH311" s="111">
        <f>IF(AQ311="0",BJ311,0)</f>
      </c>
      <c r="AI311" s="132" t="s">
        <v>93</v>
      </c>
      <c r="AJ311" s="111">
        <f>IF(AN311=0,I311,0)</f>
      </c>
      <c r="AK311" s="111">
        <f>IF(AN311=12,I311,0)</f>
      </c>
      <c r="AL311" s="111">
        <f>IF(AN311=21,I311,0)</f>
      </c>
      <c r="AN311" s="111" t="n">
        <v>21</v>
      </c>
      <c r="AO311" s="111">
        <f>H311*0.370713441</f>
      </c>
      <c r="AP311" s="111">
        <f>H311*(1-0.370713441)</f>
      </c>
      <c r="AQ311" s="153" t="s">
        <v>140</v>
      </c>
      <c r="AV311" s="111">
        <f>AW311+AX311</f>
      </c>
      <c r="AW311" s="111">
        <f>G311*AO311</f>
      </c>
      <c r="AX311" s="111">
        <f>G311*AP311</f>
      </c>
      <c r="AY311" s="153" t="s">
        <v>4923</v>
      </c>
      <c r="AZ311" s="153" t="s">
        <v>4606</v>
      </c>
      <c r="BA311" s="132" t="s">
        <v>4594</v>
      </c>
      <c r="BC311" s="111">
        <f>AW311+AX311</f>
      </c>
      <c r="BD311" s="111">
        <f>H311/(100-BE311)*100</f>
      </c>
      <c r="BE311" s="111" t="n">
        <v>0</v>
      </c>
      <c r="BF311" s="111">
        <f>311</f>
      </c>
      <c r="BH311" s="111">
        <f>G311*AO311</f>
      </c>
      <c r="BI311" s="111">
        <f>G311*AP311</f>
      </c>
      <c r="BJ311" s="111">
        <f>G311*H311</f>
      </c>
      <c r="BK311" s="111"/>
      <c r="BL311" s="111"/>
      <c r="BW311" s="111" t="n">
        <v>21</v>
      </c>
      <c r="BX311" s="14" t="s">
        <v>5030</v>
      </c>
    </row>
    <row r="312" customHeight="true" ht="13.5">
      <c r="A312" s="159"/>
      <c r="C312" s="160" t="s">
        <v>146</v>
      </c>
      <c r="D312" s="161" t="s">
        <v>5031</v>
      </c>
      <c r="E312" s="156"/>
      <c r="F312" s="156"/>
      <c r="G312" s="156"/>
      <c r="H312" s="156"/>
      <c r="I312" s="156"/>
      <c r="J312" s="156"/>
      <c r="K312" s="163"/>
    </row>
    <row r="313">
      <c r="A313" s="9" t="s">
        <v>962</v>
      </c>
      <c r="B313" s="10" t="s">
        <v>93</v>
      </c>
      <c r="C313" s="10" t="s">
        <v>5033</v>
      </c>
      <c r="D313" s="14" t="s">
        <v>5034</v>
      </c>
      <c r="E313" s="10"/>
      <c r="F313" s="10" t="s">
        <v>282</v>
      </c>
      <c r="G313" s="111">
        <f>'Stavební rozpočet'!G3152</f>
      </c>
      <c r="H313" s="111">
        <f>'Stavební rozpočet'!H3152</f>
      </c>
      <c r="I313" s="111">
        <f>G313*H313</f>
      </c>
      <c r="J313" s="153" t="s">
        <v>134</v>
      </c>
      <c r="K313" s="146"/>
      <c r="Z313" s="111">
        <f>IF(AQ313="5",BJ313,0)</f>
      </c>
      <c r="AB313" s="111">
        <f>IF(AQ313="1",BH313,0)</f>
      </c>
      <c r="AC313" s="111">
        <f>IF(AQ313="1",BI313,0)</f>
      </c>
      <c r="AD313" s="111">
        <f>IF(AQ313="7",BH313,0)</f>
      </c>
      <c r="AE313" s="111">
        <f>IF(AQ313="7",BI313,0)</f>
      </c>
      <c r="AF313" s="111">
        <f>IF(AQ313="2",BH313,0)</f>
      </c>
      <c r="AG313" s="111">
        <f>IF(AQ313="2",BI313,0)</f>
      </c>
      <c r="AH313" s="111">
        <f>IF(AQ313="0",BJ313,0)</f>
      </c>
      <c r="AI313" s="132" t="s">
        <v>93</v>
      </c>
      <c r="AJ313" s="111">
        <f>IF(AN313=0,I313,0)</f>
      </c>
      <c r="AK313" s="111">
        <f>IF(AN313=12,I313,0)</f>
      </c>
      <c r="AL313" s="111">
        <f>IF(AN313=21,I313,0)</f>
      </c>
      <c r="AN313" s="111" t="n">
        <v>21</v>
      </c>
      <c r="AO313" s="111">
        <f>H313*0.27097526</f>
      </c>
      <c r="AP313" s="111">
        <f>H313*(1-0.27097526)</f>
      </c>
      <c r="AQ313" s="153" t="s">
        <v>140</v>
      </c>
      <c r="AV313" s="111">
        <f>AW313+AX313</f>
      </c>
      <c r="AW313" s="111">
        <f>G313*AO313</f>
      </c>
      <c r="AX313" s="111">
        <f>G313*AP313</f>
      </c>
      <c r="AY313" s="153" t="s">
        <v>4923</v>
      </c>
      <c r="AZ313" s="153" t="s">
        <v>4606</v>
      </c>
      <c r="BA313" s="132" t="s">
        <v>4594</v>
      </c>
      <c r="BC313" s="111">
        <f>AW313+AX313</f>
      </c>
      <c r="BD313" s="111">
        <f>H313/(100-BE313)*100</f>
      </c>
      <c r="BE313" s="111" t="n">
        <v>0</v>
      </c>
      <c r="BF313" s="111">
        <f>313</f>
      </c>
      <c r="BH313" s="111">
        <f>G313*AO313</f>
      </c>
      <c r="BI313" s="111">
        <f>G313*AP313</f>
      </c>
      <c r="BJ313" s="111">
        <f>G313*H313</f>
      </c>
      <c r="BK313" s="111"/>
      <c r="BL313" s="111"/>
      <c r="BW313" s="111" t="n">
        <v>21</v>
      </c>
      <c r="BX313" s="14" t="s">
        <v>5034</v>
      </c>
    </row>
    <row r="314" customHeight="true" ht="13.5">
      <c r="A314" s="159"/>
      <c r="C314" s="160" t="s">
        <v>146</v>
      </c>
      <c r="D314" s="161" t="s">
        <v>5035</v>
      </c>
      <c r="E314" s="156"/>
      <c r="F314" s="156"/>
      <c r="G314" s="156"/>
      <c r="H314" s="156"/>
      <c r="I314" s="156"/>
      <c r="J314" s="156"/>
      <c r="K314" s="163"/>
    </row>
    <row r="315">
      <c r="A315" s="9" t="s">
        <v>967</v>
      </c>
      <c r="B315" s="10" t="s">
        <v>93</v>
      </c>
      <c r="C315" s="10" t="s">
        <v>5037</v>
      </c>
      <c r="D315" s="14" t="s">
        <v>5038</v>
      </c>
      <c r="E315" s="10"/>
      <c r="F315" s="10" t="s">
        <v>133</v>
      </c>
      <c r="G315" s="111">
        <f>'Stavební rozpočet'!G3154</f>
      </c>
      <c r="H315" s="111">
        <f>'Stavební rozpočet'!H3154</f>
      </c>
      <c r="I315" s="111">
        <f>G315*H315</f>
      </c>
      <c r="J315" s="153" t="s">
        <v>134</v>
      </c>
      <c r="K315" s="146"/>
      <c r="Z315" s="111">
        <f>IF(AQ315="5",BJ315,0)</f>
      </c>
      <c r="AB315" s="111">
        <f>IF(AQ315="1",BH315,0)</f>
      </c>
      <c r="AC315" s="111">
        <f>IF(AQ315="1",BI315,0)</f>
      </c>
      <c r="AD315" s="111">
        <f>IF(AQ315="7",BH315,0)</f>
      </c>
      <c r="AE315" s="111">
        <f>IF(AQ315="7",BI315,0)</f>
      </c>
      <c r="AF315" s="111">
        <f>IF(AQ315="2",BH315,0)</f>
      </c>
      <c r="AG315" s="111">
        <f>IF(AQ315="2",BI315,0)</f>
      </c>
      <c r="AH315" s="111">
        <f>IF(AQ315="0",BJ315,0)</f>
      </c>
      <c r="AI315" s="132" t="s">
        <v>93</v>
      </c>
      <c r="AJ315" s="111">
        <f>IF(AN315=0,I315,0)</f>
      </c>
      <c r="AK315" s="111">
        <f>IF(AN315=12,I315,0)</f>
      </c>
      <c r="AL315" s="111">
        <f>IF(AN315=21,I315,0)</f>
      </c>
      <c r="AN315" s="111" t="n">
        <v>21</v>
      </c>
      <c r="AO315" s="111">
        <f>H315*0</f>
      </c>
      <c r="AP315" s="111">
        <f>H315*(1-0)</f>
      </c>
      <c r="AQ315" s="153" t="s">
        <v>140</v>
      </c>
      <c r="AV315" s="111">
        <f>AW315+AX315</f>
      </c>
      <c r="AW315" s="111">
        <f>G315*AO315</f>
      </c>
      <c r="AX315" s="111">
        <f>G315*AP315</f>
      </c>
      <c r="AY315" s="153" t="s">
        <v>4923</v>
      </c>
      <c r="AZ315" s="153" t="s">
        <v>4606</v>
      </c>
      <c r="BA315" s="132" t="s">
        <v>4594</v>
      </c>
      <c r="BC315" s="111">
        <f>AW315+AX315</f>
      </c>
      <c r="BD315" s="111">
        <f>H315/(100-BE315)*100</f>
      </c>
      <c r="BE315" s="111" t="n">
        <v>0</v>
      </c>
      <c r="BF315" s="111">
        <f>315</f>
      </c>
      <c r="BH315" s="111">
        <f>G315*AO315</f>
      </c>
      <c r="BI315" s="111">
        <f>G315*AP315</f>
      </c>
      <c r="BJ315" s="111">
        <f>G315*H315</f>
      </c>
      <c r="BK315" s="111"/>
      <c r="BL315" s="111"/>
      <c r="BW315" s="111" t="n">
        <v>21</v>
      </c>
      <c r="BX315" s="14" t="s">
        <v>5038</v>
      </c>
    </row>
    <row r="316" customHeight="true" ht="13.5">
      <c r="A316" s="159"/>
      <c r="C316" s="160" t="s">
        <v>146</v>
      </c>
      <c r="D316" s="161" t="s">
        <v>5039</v>
      </c>
      <c r="E316" s="156"/>
      <c r="F316" s="156"/>
      <c r="G316" s="156"/>
      <c r="H316" s="156"/>
      <c r="I316" s="156"/>
      <c r="J316" s="156"/>
      <c r="K316" s="163"/>
    </row>
    <row r="317">
      <c r="A317" s="154"/>
      <c r="B317" s="155"/>
      <c r="C317" s="155"/>
      <c r="D317" s="156" t="s">
        <v>149</v>
      </c>
      <c r="E317" s="156" t="s">
        <v>4726</v>
      </c>
      <c r="F317" s="155"/>
      <c r="G317" s="157" t="n">
        <v>4</v>
      </c>
      <c r="H317" s="155"/>
      <c r="I317" s="155"/>
      <c r="J317" s="155"/>
      <c r="K317" s="146"/>
    </row>
    <row r="318">
      <c r="A318" s="9" t="s">
        <v>971</v>
      </c>
      <c r="B318" s="10" t="s">
        <v>93</v>
      </c>
      <c r="C318" s="10" t="s">
        <v>5041</v>
      </c>
      <c r="D318" s="14" t="s">
        <v>5042</v>
      </c>
      <c r="E318" s="10"/>
      <c r="F318" s="10" t="s">
        <v>133</v>
      </c>
      <c r="G318" s="111">
        <f>'Stavební rozpočet'!G3157</f>
      </c>
      <c r="H318" s="111">
        <f>'Stavební rozpočet'!H3157</f>
      </c>
      <c r="I318" s="111">
        <f>G318*H318</f>
      </c>
      <c r="J318" s="153" t="s">
        <v>134</v>
      </c>
      <c r="K318" s="146"/>
      <c r="Z318" s="111">
        <f>IF(AQ318="5",BJ318,0)</f>
      </c>
      <c r="AB318" s="111">
        <f>IF(AQ318="1",BH318,0)</f>
      </c>
      <c r="AC318" s="111">
        <f>IF(AQ318="1",BI318,0)</f>
      </c>
      <c r="AD318" s="111">
        <f>IF(AQ318="7",BH318,0)</f>
      </c>
      <c r="AE318" s="111">
        <f>IF(AQ318="7",BI318,0)</f>
      </c>
      <c r="AF318" s="111">
        <f>IF(AQ318="2",BH318,0)</f>
      </c>
      <c r="AG318" s="111">
        <f>IF(AQ318="2",BI318,0)</f>
      </c>
      <c r="AH318" s="111">
        <f>IF(AQ318="0",BJ318,0)</f>
      </c>
      <c r="AI318" s="132" t="s">
        <v>93</v>
      </c>
      <c r="AJ318" s="111">
        <f>IF(AN318=0,I318,0)</f>
      </c>
      <c r="AK318" s="111">
        <f>IF(AN318=12,I318,0)</f>
      </c>
      <c r="AL318" s="111">
        <f>IF(AN318=21,I318,0)</f>
      </c>
      <c r="AN318" s="111" t="n">
        <v>21</v>
      </c>
      <c r="AO318" s="111">
        <f>H318*0</f>
      </c>
      <c r="AP318" s="111">
        <f>H318*(1-0)</f>
      </c>
      <c r="AQ318" s="153" t="s">
        <v>140</v>
      </c>
      <c r="AV318" s="111">
        <f>AW318+AX318</f>
      </c>
      <c r="AW318" s="111">
        <f>G318*AO318</f>
      </c>
      <c r="AX318" s="111">
        <f>G318*AP318</f>
      </c>
      <c r="AY318" s="153" t="s">
        <v>4923</v>
      </c>
      <c r="AZ318" s="153" t="s">
        <v>4606</v>
      </c>
      <c r="BA318" s="132" t="s">
        <v>4594</v>
      </c>
      <c r="BC318" s="111">
        <f>AW318+AX318</f>
      </c>
      <c r="BD318" s="111">
        <f>H318/(100-BE318)*100</f>
      </c>
      <c r="BE318" s="111" t="n">
        <v>0</v>
      </c>
      <c r="BF318" s="111">
        <f>318</f>
      </c>
      <c r="BH318" s="111">
        <f>G318*AO318</f>
      </c>
      <c r="BI318" s="111">
        <f>G318*AP318</f>
      </c>
      <c r="BJ318" s="111">
        <f>G318*H318</f>
      </c>
      <c r="BK318" s="111"/>
      <c r="BL318" s="111"/>
      <c r="BW318" s="111" t="n">
        <v>21</v>
      </c>
      <c r="BX318" s="14" t="s">
        <v>5042</v>
      </c>
    </row>
    <row r="319" customHeight="true" ht="13.5">
      <c r="A319" s="159"/>
      <c r="C319" s="160" t="s">
        <v>146</v>
      </c>
      <c r="D319" s="161" t="s">
        <v>5043</v>
      </c>
      <c r="E319" s="156"/>
      <c r="F319" s="156"/>
      <c r="G319" s="156"/>
      <c r="H319" s="156"/>
      <c r="I319" s="156"/>
      <c r="J319" s="156"/>
      <c r="K319" s="163"/>
    </row>
    <row r="320">
      <c r="A320" s="154"/>
      <c r="B320" s="155"/>
      <c r="C320" s="155"/>
      <c r="D320" s="156" t="s">
        <v>186</v>
      </c>
      <c r="E320" s="156" t="s">
        <v>4726</v>
      </c>
      <c r="F320" s="155"/>
      <c r="G320" s="157" t="n">
        <v>10</v>
      </c>
      <c r="H320" s="155"/>
      <c r="I320" s="155"/>
      <c r="J320" s="155"/>
      <c r="K320" s="146"/>
    </row>
    <row r="321">
      <c r="A321" s="9" t="s">
        <v>1012</v>
      </c>
      <c r="B321" s="10" t="s">
        <v>93</v>
      </c>
      <c r="C321" s="10" t="s">
        <v>5045</v>
      </c>
      <c r="D321" s="14" t="s">
        <v>5046</v>
      </c>
      <c r="E321" s="10"/>
      <c r="F321" s="10" t="s">
        <v>133</v>
      </c>
      <c r="G321" s="111">
        <f>'Stavební rozpočet'!G3160</f>
      </c>
      <c r="H321" s="111">
        <f>'Stavební rozpočet'!H3160</f>
      </c>
      <c r="I321" s="111">
        <f>G321*H321</f>
      </c>
      <c r="J321" s="153" t="s">
        <v>134</v>
      </c>
      <c r="K321" s="146"/>
      <c r="Z321" s="111">
        <f>IF(AQ321="5",BJ321,0)</f>
      </c>
      <c r="AB321" s="111">
        <f>IF(AQ321="1",BH321,0)</f>
      </c>
      <c r="AC321" s="111">
        <f>IF(AQ321="1",BI321,0)</f>
      </c>
      <c r="AD321" s="111">
        <f>IF(AQ321="7",BH321,0)</f>
      </c>
      <c r="AE321" s="111">
        <f>IF(AQ321="7",BI321,0)</f>
      </c>
      <c r="AF321" s="111">
        <f>IF(AQ321="2",BH321,0)</f>
      </c>
      <c r="AG321" s="111">
        <f>IF(AQ321="2",BI321,0)</f>
      </c>
      <c r="AH321" s="111">
        <f>IF(AQ321="0",BJ321,0)</f>
      </c>
      <c r="AI321" s="132" t="s">
        <v>93</v>
      </c>
      <c r="AJ321" s="111">
        <f>IF(AN321=0,I321,0)</f>
      </c>
      <c r="AK321" s="111">
        <f>IF(AN321=12,I321,0)</f>
      </c>
      <c r="AL321" s="111">
        <f>IF(AN321=21,I321,0)</f>
      </c>
      <c r="AN321" s="111" t="n">
        <v>21</v>
      </c>
      <c r="AO321" s="111">
        <f>H321*0</f>
      </c>
      <c r="AP321" s="111">
        <f>H321*(1-0)</f>
      </c>
      <c r="AQ321" s="153" t="s">
        <v>140</v>
      </c>
      <c r="AV321" s="111">
        <f>AW321+AX321</f>
      </c>
      <c r="AW321" s="111">
        <f>G321*AO321</f>
      </c>
      <c r="AX321" s="111">
        <f>G321*AP321</f>
      </c>
      <c r="AY321" s="153" t="s">
        <v>4923</v>
      </c>
      <c r="AZ321" s="153" t="s">
        <v>4606</v>
      </c>
      <c r="BA321" s="132" t="s">
        <v>4594</v>
      </c>
      <c r="BC321" s="111">
        <f>AW321+AX321</f>
      </c>
      <c r="BD321" s="111">
        <f>H321/(100-BE321)*100</f>
      </c>
      <c r="BE321" s="111" t="n">
        <v>0</v>
      </c>
      <c r="BF321" s="111">
        <f>321</f>
      </c>
      <c r="BH321" s="111">
        <f>G321*AO321</f>
      </c>
      <c r="BI321" s="111">
        <f>G321*AP321</f>
      </c>
      <c r="BJ321" s="111">
        <f>G321*H321</f>
      </c>
      <c r="BK321" s="111"/>
      <c r="BL321" s="111"/>
      <c r="BW321" s="111" t="n">
        <v>21</v>
      </c>
      <c r="BX321" s="14" t="s">
        <v>5046</v>
      </c>
    </row>
    <row r="322" customHeight="true" ht="13.5">
      <c r="A322" s="159"/>
      <c r="C322" s="160" t="s">
        <v>146</v>
      </c>
      <c r="D322" s="161" t="s">
        <v>5047</v>
      </c>
      <c r="E322" s="156"/>
      <c r="F322" s="156"/>
      <c r="G322" s="156"/>
      <c r="H322" s="156"/>
      <c r="I322" s="156"/>
      <c r="J322" s="156"/>
      <c r="K322" s="163"/>
    </row>
    <row r="323">
      <c r="A323" s="154"/>
      <c r="B323" s="155"/>
      <c r="C323" s="155"/>
      <c r="D323" s="156" t="s">
        <v>149</v>
      </c>
      <c r="E323" s="156" t="s">
        <v>4726</v>
      </c>
      <c r="F323" s="155"/>
      <c r="G323" s="157" t="n">
        <v>4</v>
      </c>
      <c r="H323" s="155"/>
      <c r="I323" s="155"/>
      <c r="J323" s="155"/>
      <c r="K323" s="146"/>
    </row>
    <row r="324">
      <c r="A324" s="9" t="s">
        <v>1017</v>
      </c>
      <c r="B324" s="10" t="s">
        <v>93</v>
      </c>
      <c r="C324" s="10" t="s">
        <v>5049</v>
      </c>
      <c r="D324" s="14" t="s">
        <v>5050</v>
      </c>
      <c r="E324" s="10"/>
      <c r="F324" s="10" t="s">
        <v>133</v>
      </c>
      <c r="G324" s="111">
        <f>'Stavební rozpočet'!G3163</f>
      </c>
      <c r="H324" s="111">
        <f>'Stavební rozpočet'!H3163</f>
      </c>
      <c r="I324" s="111">
        <f>G324*H324</f>
      </c>
      <c r="J324" s="153" t="s">
        <v>134</v>
      </c>
      <c r="K324" s="146"/>
      <c r="Z324" s="111">
        <f>IF(AQ324="5",BJ324,0)</f>
      </c>
      <c r="AB324" s="111">
        <f>IF(AQ324="1",BH324,0)</f>
      </c>
      <c r="AC324" s="111">
        <f>IF(AQ324="1",BI324,0)</f>
      </c>
      <c r="AD324" s="111">
        <f>IF(AQ324="7",BH324,0)</f>
      </c>
      <c r="AE324" s="111">
        <f>IF(AQ324="7",BI324,0)</f>
      </c>
      <c r="AF324" s="111">
        <f>IF(AQ324="2",BH324,0)</f>
      </c>
      <c r="AG324" s="111">
        <f>IF(AQ324="2",BI324,0)</f>
      </c>
      <c r="AH324" s="111">
        <f>IF(AQ324="0",BJ324,0)</f>
      </c>
      <c r="AI324" s="132" t="s">
        <v>93</v>
      </c>
      <c r="AJ324" s="111">
        <f>IF(AN324=0,I324,0)</f>
      </c>
      <c r="AK324" s="111">
        <f>IF(AN324=12,I324,0)</f>
      </c>
      <c r="AL324" s="111">
        <f>IF(AN324=21,I324,0)</f>
      </c>
      <c r="AN324" s="111" t="n">
        <v>21</v>
      </c>
      <c r="AO324" s="111">
        <f>H324*0</f>
      </c>
      <c r="AP324" s="111">
        <f>H324*(1-0)</f>
      </c>
      <c r="AQ324" s="153" t="s">
        <v>140</v>
      </c>
      <c r="AV324" s="111">
        <f>AW324+AX324</f>
      </c>
      <c r="AW324" s="111">
        <f>G324*AO324</f>
      </c>
      <c r="AX324" s="111">
        <f>G324*AP324</f>
      </c>
      <c r="AY324" s="153" t="s">
        <v>4923</v>
      </c>
      <c r="AZ324" s="153" t="s">
        <v>4606</v>
      </c>
      <c r="BA324" s="132" t="s">
        <v>4594</v>
      </c>
      <c r="BC324" s="111">
        <f>AW324+AX324</f>
      </c>
      <c r="BD324" s="111">
        <f>H324/(100-BE324)*100</f>
      </c>
      <c r="BE324" s="111" t="n">
        <v>0</v>
      </c>
      <c r="BF324" s="111">
        <f>324</f>
      </c>
      <c r="BH324" s="111">
        <f>G324*AO324</f>
      </c>
      <c r="BI324" s="111">
        <f>G324*AP324</f>
      </c>
      <c r="BJ324" s="111">
        <f>G324*H324</f>
      </c>
      <c r="BK324" s="111"/>
      <c r="BL324" s="111"/>
      <c r="BW324" s="111" t="n">
        <v>21</v>
      </c>
      <c r="BX324" s="14" t="s">
        <v>5050</v>
      </c>
    </row>
    <row r="325" customHeight="true" ht="13.5">
      <c r="A325" s="159"/>
      <c r="C325" s="160" t="s">
        <v>146</v>
      </c>
      <c r="D325" s="161" t="s">
        <v>5051</v>
      </c>
      <c r="E325" s="156"/>
      <c r="F325" s="156"/>
      <c r="G325" s="156"/>
      <c r="H325" s="156"/>
      <c r="I325" s="156"/>
      <c r="J325" s="156"/>
      <c r="K325" s="163"/>
    </row>
    <row r="326">
      <c r="A326" s="154"/>
      <c r="B326" s="155"/>
      <c r="C326" s="155"/>
      <c r="D326" s="156" t="s">
        <v>163</v>
      </c>
      <c r="E326" s="156" t="s">
        <v>4726</v>
      </c>
      <c r="F326" s="155"/>
      <c r="G326" s="157" t="n">
        <v>13</v>
      </c>
      <c r="H326" s="155"/>
      <c r="I326" s="155"/>
      <c r="J326" s="155"/>
      <c r="K326" s="146"/>
    </row>
    <row r="327">
      <c r="A327" s="9" t="s">
        <v>1022</v>
      </c>
      <c r="B327" s="10" t="s">
        <v>93</v>
      </c>
      <c r="C327" s="10" t="s">
        <v>5053</v>
      </c>
      <c r="D327" s="14" t="s">
        <v>5054</v>
      </c>
      <c r="E327" s="10"/>
      <c r="F327" s="10" t="s">
        <v>133</v>
      </c>
      <c r="G327" s="111">
        <f>'Stavební rozpočet'!G3166</f>
      </c>
      <c r="H327" s="111">
        <f>'Stavební rozpočet'!H3166</f>
      </c>
      <c r="I327" s="111">
        <f>G327*H327</f>
      </c>
      <c r="J327" s="153" t="s">
        <v>134</v>
      </c>
      <c r="K327" s="146"/>
      <c r="Z327" s="111">
        <f>IF(AQ327="5",BJ327,0)</f>
      </c>
      <c r="AB327" s="111">
        <f>IF(AQ327="1",BH327,0)</f>
      </c>
      <c r="AC327" s="111">
        <f>IF(AQ327="1",BI327,0)</f>
      </c>
      <c r="AD327" s="111">
        <f>IF(AQ327="7",BH327,0)</f>
      </c>
      <c r="AE327" s="111">
        <f>IF(AQ327="7",BI327,0)</f>
      </c>
      <c r="AF327" s="111">
        <f>IF(AQ327="2",BH327,0)</f>
      </c>
      <c r="AG327" s="111">
        <f>IF(AQ327="2",BI327,0)</f>
      </c>
      <c r="AH327" s="111">
        <f>IF(AQ327="0",BJ327,0)</f>
      </c>
      <c r="AI327" s="132" t="s">
        <v>93</v>
      </c>
      <c r="AJ327" s="111">
        <f>IF(AN327=0,I327,0)</f>
      </c>
      <c r="AK327" s="111">
        <f>IF(AN327=12,I327,0)</f>
      </c>
      <c r="AL327" s="111">
        <f>IF(AN327=21,I327,0)</f>
      </c>
      <c r="AN327" s="111" t="n">
        <v>21</v>
      </c>
      <c r="AO327" s="111">
        <f>H327*0</f>
      </c>
      <c r="AP327" s="111">
        <f>H327*(1-0)</f>
      </c>
      <c r="AQ327" s="153" t="s">
        <v>140</v>
      </c>
      <c r="AV327" s="111">
        <f>AW327+AX327</f>
      </c>
      <c r="AW327" s="111">
        <f>G327*AO327</f>
      </c>
      <c r="AX327" s="111">
        <f>G327*AP327</f>
      </c>
      <c r="AY327" s="153" t="s">
        <v>4923</v>
      </c>
      <c r="AZ327" s="153" t="s">
        <v>4606</v>
      </c>
      <c r="BA327" s="132" t="s">
        <v>4594</v>
      </c>
      <c r="BC327" s="111">
        <f>AW327+AX327</f>
      </c>
      <c r="BD327" s="111">
        <f>H327/(100-BE327)*100</f>
      </c>
      <c r="BE327" s="111" t="n">
        <v>0</v>
      </c>
      <c r="BF327" s="111">
        <f>327</f>
      </c>
      <c r="BH327" s="111">
        <f>G327*AO327</f>
      </c>
      <c r="BI327" s="111">
        <f>G327*AP327</f>
      </c>
      <c r="BJ327" s="111">
        <f>G327*H327</f>
      </c>
      <c r="BK327" s="111"/>
      <c r="BL327" s="111"/>
      <c r="BW327" s="111" t="n">
        <v>21</v>
      </c>
      <c r="BX327" s="14" t="s">
        <v>5054</v>
      </c>
    </row>
    <row r="328" customHeight="true" ht="13.5">
      <c r="A328" s="159"/>
      <c r="C328" s="160" t="s">
        <v>146</v>
      </c>
      <c r="D328" s="161" t="s">
        <v>5055</v>
      </c>
      <c r="E328" s="156"/>
      <c r="F328" s="156"/>
      <c r="G328" s="156"/>
      <c r="H328" s="156"/>
      <c r="I328" s="156"/>
      <c r="J328" s="156"/>
      <c r="K328" s="163"/>
    </row>
    <row r="329">
      <c r="A329" s="9" t="s">
        <v>1037</v>
      </c>
      <c r="B329" s="10" t="s">
        <v>93</v>
      </c>
      <c r="C329" s="10" t="s">
        <v>5057</v>
      </c>
      <c r="D329" s="14" t="s">
        <v>5058</v>
      </c>
      <c r="E329" s="10"/>
      <c r="F329" s="10" t="s">
        <v>133</v>
      </c>
      <c r="G329" s="111">
        <f>'Stavební rozpočet'!G3168</f>
      </c>
      <c r="H329" s="111">
        <f>'Stavební rozpočet'!H3168</f>
      </c>
      <c r="I329" s="111">
        <f>G329*H329</f>
      </c>
      <c r="J329" s="153" t="s">
        <v>134</v>
      </c>
      <c r="K329" s="146"/>
      <c r="Z329" s="111">
        <f>IF(AQ329="5",BJ329,0)</f>
      </c>
      <c r="AB329" s="111">
        <f>IF(AQ329="1",BH329,0)</f>
      </c>
      <c r="AC329" s="111">
        <f>IF(AQ329="1",BI329,0)</f>
      </c>
      <c r="AD329" s="111">
        <f>IF(AQ329="7",BH329,0)</f>
      </c>
      <c r="AE329" s="111">
        <f>IF(AQ329="7",BI329,0)</f>
      </c>
      <c r="AF329" s="111">
        <f>IF(AQ329="2",BH329,0)</f>
      </c>
      <c r="AG329" s="111">
        <f>IF(AQ329="2",BI329,0)</f>
      </c>
      <c r="AH329" s="111">
        <f>IF(AQ329="0",BJ329,0)</f>
      </c>
      <c r="AI329" s="132" t="s">
        <v>93</v>
      </c>
      <c r="AJ329" s="111">
        <f>IF(AN329=0,I329,0)</f>
      </c>
      <c r="AK329" s="111">
        <f>IF(AN329=12,I329,0)</f>
      </c>
      <c r="AL329" s="111">
        <f>IF(AN329=21,I329,0)</f>
      </c>
      <c r="AN329" s="111" t="n">
        <v>21</v>
      </c>
      <c r="AO329" s="111">
        <f>H329*0</f>
      </c>
      <c r="AP329" s="111">
        <f>H329*(1-0)</f>
      </c>
      <c r="AQ329" s="153" t="s">
        <v>140</v>
      </c>
      <c r="AV329" s="111">
        <f>AW329+AX329</f>
      </c>
      <c r="AW329" s="111">
        <f>G329*AO329</f>
      </c>
      <c r="AX329" s="111">
        <f>G329*AP329</f>
      </c>
      <c r="AY329" s="153" t="s">
        <v>4923</v>
      </c>
      <c r="AZ329" s="153" t="s">
        <v>4606</v>
      </c>
      <c r="BA329" s="132" t="s">
        <v>4594</v>
      </c>
      <c r="BC329" s="111">
        <f>AW329+AX329</f>
      </c>
      <c r="BD329" s="111">
        <f>H329/(100-BE329)*100</f>
      </c>
      <c r="BE329" s="111" t="n">
        <v>0</v>
      </c>
      <c r="BF329" s="111">
        <f>329</f>
      </c>
      <c r="BH329" s="111">
        <f>G329*AO329</f>
      </c>
      <c r="BI329" s="111">
        <f>G329*AP329</f>
      </c>
      <c r="BJ329" s="111">
        <f>G329*H329</f>
      </c>
      <c r="BK329" s="111"/>
      <c r="BL329" s="111"/>
      <c r="BW329" s="111" t="n">
        <v>21</v>
      </c>
      <c r="BX329" s="14" t="s">
        <v>5058</v>
      </c>
    </row>
    <row r="330" customHeight="true" ht="13.5">
      <c r="A330" s="159"/>
      <c r="C330" s="160" t="s">
        <v>146</v>
      </c>
      <c r="D330" s="161" t="s">
        <v>5059</v>
      </c>
      <c r="E330" s="156"/>
      <c r="F330" s="156"/>
      <c r="G330" s="156"/>
      <c r="H330" s="156"/>
      <c r="I330" s="156"/>
      <c r="J330" s="156"/>
      <c r="K330" s="163"/>
    </row>
    <row r="331">
      <c r="A331" s="9" t="s">
        <v>1042</v>
      </c>
      <c r="B331" s="10" t="s">
        <v>93</v>
      </c>
      <c r="C331" s="10" t="s">
        <v>5061</v>
      </c>
      <c r="D331" s="14" t="s">
        <v>5062</v>
      </c>
      <c r="E331" s="10"/>
      <c r="F331" s="10" t="s">
        <v>133</v>
      </c>
      <c r="G331" s="111">
        <f>'Stavební rozpočet'!G3170</f>
      </c>
      <c r="H331" s="111">
        <f>'Stavební rozpočet'!H3170</f>
      </c>
      <c r="I331" s="111">
        <f>G331*H331</f>
      </c>
      <c r="J331" s="153" t="s">
        <v>134</v>
      </c>
      <c r="K331" s="146"/>
      <c r="Z331" s="111">
        <f>IF(AQ331="5",BJ331,0)</f>
      </c>
      <c r="AB331" s="111">
        <f>IF(AQ331="1",BH331,0)</f>
      </c>
      <c r="AC331" s="111">
        <f>IF(AQ331="1",BI331,0)</f>
      </c>
      <c r="AD331" s="111">
        <f>IF(AQ331="7",BH331,0)</f>
      </c>
      <c r="AE331" s="111">
        <f>IF(AQ331="7",BI331,0)</f>
      </c>
      <c r="AF331" s="111">
        <f>IF(AQ331="2",BH331,0)</f>
      </c>
      <c r="AG331" s="111">
        <f>IF(AQ331="2",BI331,0)</f>
      </c>
      <c r="AH331" s="111">
        <f>IF(AQ331="0",BJ331,0)</f>
      </c>
      <c r="AI331" s="132" t="s">
        <v>93</v>
      </c>
      <c r="AJ331" s="111">
        <f>IF(AN331=0,I331,0)</f>
      </c>
      <c r="AK331" s="111">
        <f>IF(AN331=12,I331,0)</f>
      </c>
      <c r="AL331" s="111">
        <f>IF(AN331=21,I331,0)</f>
      </c>
      <c r="AN331" s="111" t="n">
        <v>21</v>
      </c>
      <c r="AO331" s="111">
        <f>H331*0</f>
      </c>
      <c r="AP331" s="111">
        <f>H331*(1-0)</f>
      </c>
      <c r="AQ331" s="153" t="s">
        <v>140</v>
      </c>
      <c r="AV331" s="111">
        <f>AW331+AX331</f>
      </c>
      <c r="AW331" s="111">
        <f>G331*AO331</f>
      </c>
      <c r="AX331" s="111">
        <f>G331*AP331</f>
      </c>
      <c r="AY331" s="153" t="s">
        <v>4923</v>
      </c>
      <c r="AZ331" s="153" t="s">
        <v>4606</v>
      </c>
      <c r="BA331" s="132" t="s">
        <v>4594</v>
      </c>
      <c r="BC331" s="111">
        <f>AW331+AX331</f>
      </c>
      <c r="BD331" s="111">
        <f>H331/(100-BE331)*100</f>
      </c>
      <c r="BE331" s="111" t="n">
        <v>0</v>
      </c>
      <c r="BF331" s="111">
        <f>331</f>
      </c>
      <c r="BH331" s="111">
        <f>G331*AO331</f>
      </c>
      <c r="BI331" s="111">
        <f>G331*AP331</f>
      </c>
      <c r="BJ331" s="111">
        <f>G331*H331</f>
      </c>
      <c r="BK331" s="111"/>
      <c r="BL331" s="111"/>
      <c r="BW331" s="111" t="n">
        <v>21</v>
      </c>
      <c r="BX331" s="14" t="s">
        <v>5062</v>
      </c>
    </row>
    <row r="332" customHeight="true" ht="13.5">
      <c r="A332" s="159"/>
      <c r="C332" s="160" t="s">
        <v>146</v>
      </c>
      <c r="D332" s="161" t="s">
        <v>5063</v>
      </c>
      <c r="E332" s="156"/>
      <c r="F332" s="156"/>
      <c r="G332" s="156"/>
      <c r="H332" s="156"/>
      <c r="I332" s="156"/>
      <c r="J332" s="156"/>
      <c r="K332" s="163"/>
    </row>
    <row r="333">
      <c r="A333" s="9" t="s">
        <v>1059</v>
      </c>
      <c r="B333" s="10" t="s">
        <v>93</v>
      </c>
      <c r="C333" s="10" t="s">
        <v>5065</v>
      </c>
      <c r="D333" s="14" t="s">
        <v>5066</v>
      </c>
      <c r="E333" s="10"/>
      <c r="F333" s="10" t="s">
        <v>145</v>
      </c>
      <c r="G333" s="111">
        <f>'Stavební rozpočet'!G3172</f>
      </c>
      <c r="H333" s="111">
        <f>'Stavební rozpočet'!H3172</f>
      </c>
      <c r="I333" s="111">
        <f>G333*H333</f>
      </c>
      <c r="J333" s="153" t="s">
        <v>134</v>
      </c>
      <c r="K333" s="146"/>
      <c r="Z333" s="111">
        <f>IF(AQ333="5",BJ333,0)</f>
      </c>
      <c r="AB333" s="111">
        <f>IF(AQ333="1",BH333,0)</f>
      </c>
      <c r="AC333" s="111">
        <f>IF(AQ333="1",BI333,0)</f>
      </c>
      <c r="AD333" s="111">
        <f>IF(AQ333="7",BH333,0)</f>
      </c>
      <c r="AE333" s="111">
        <f>IF(AQ333="7",BI333,0)</f>
      </c>
      <c r="AF333" s="111">
        <f>IF(AQ333="2",BH333,0)</f>
      </c>
      <c r="AG333" s="111">
        <f>IF(AQ333="2",BI333,0)</f>
      </c>
      <c r="AH333" s="111">
        <f>IF(AQ333="0",BJ333,0)</f>
      </c>
      <c r="AI333" s="132" t="s">
        <v>93</v>
      </c>
      <c r="AJ333" s="111">
        <f>IF(AN333=0,I333,0)</f>
      </c>
      <c r="AK333" s="111">
        <f>IF(AN333=12,I333,0)</f>
      </c>
      <c r="AL333" s="111">
        <f>IF(AN333=21,I333,0)</f>
      </c>
      <c r="AN333" s="111" t="n">
        <v>21</v>
      </c>
      <c r="AO333" s="111">
        <f>H333*0</f>
      </c>
      <c r="AP333" s="111">
        <f>H333*(1-0)</f>
      </c>
      <c r="AQ333" s="153" t="s">
        <v>140</v>
      </c>
      <c r="AV333" s="111">
        <f>AW333+AX333</f>
      </c>
      <c r="AW333" s="111">
        <f>G333*AO333</f>
      </c>
      <c r="AX333" s="111">
        <f>G333*AP333</f>
      </c>
      <c r="AY333" s="153" t="s">
        <v>4923</v>
      </c>
      <c r="AZ333" s="153" t="s">
        <v>4606</v>
      </c>
      <c r="BA333" s="132" t="s">
        <v>4594</v>
      </c>
      <c r="BC333" s="111">
        <f>AW333+AX333</f>
      </c>
      <c r="BD333" s="111">
        <f>H333/(100-BE333)*100</f>
      </c>
      <c r="BE333" s="111" t="n">
        <v>0</v>
      </c>
      <c r="BF333" s="111">
        <f>333</f>
      </c>
      <c r="BH333" s="111">
        <f>G333*AO333</f>
      </c>
      <c r="BI333" s="111">
        <f>G333*AP333</f>
      </c>
      <c r="BJ333" s="111">
        <f>G333*H333</f>
      </c>
      <c r="BK333" s="111"/>
      <c r="BL333" s="111"/>
      <c r="BW333" s="111" t="n">
        <v>21</v>
      </c>
      <c r="BX333" s="14" t="s">
        <v>5066</v>
      </c>
    </row>
    <row r="334" customHeight="true" ht="13.5">
      <c r="A334" s="159"/>
      <c r="C334" s="160" t="s">
        <v>146</v>
      </c>
      <c r="D334" s="161" t="s">
        <v>5067</v>
      </c>
      <c r="E334" s="156"/>
      <c r="F334" s="156"/>
      <c r="G334" s="156"/>
      <c r="H334" s="156"/>
      <c r="I334" s="156"/>
      <c r="J334" s="156"/>
      <c r="K334" s="163"/>
    </row>
    <row r="335">
      <c r="A335" s="9" t="s">
        <v>1065</v>
      </c>
      <c r="B335" s="10" t="s">
        <v>93</v>
      </c>
      <c r="C335" s="10" t="s">
        <v>5069</v>
      </c>
      <c r="D335" s="14" t="s">
        <v>5070</v>
      </c>
      <c r="E335" s="10"/>
      <c r="F335" s="10" t="s">
        <v>133</v>
      </c>
      <c r="G335" s="111">
        <f>'Stavební rozpočet'!G3174</f>
      </c>
      <c r="H335" s="111">
        <f>'Stavební rozpočet'!H3174</f>
      </c>
      <c r="I335" s="111">
        <f>G335*H335</f>
      </c>
      <c r="J335" s="153" t="s">
        <v>134</v>
      </c>
      <c r="K335" s="146"/>
      <c r="Z335" s="111">
        <f>IF(AQ335="5",BJ335,0)</f>
      </c>
      <c r="AB335" s="111">
        <f>IF(AQ335="1",BH335,0)</f>
      </c>
      <c r="AC335" s="111">
        <f>IF(AQ335="1",BI335,0)</f>
      </c>
      <c r="AD335" s="111">
        <f>IF(AQ335="7",BH335,0)</f>
      </c>
      <c r="AE335" s="111">
        <f>IF(AQ335="7",BI335,0)</f>
      </c>
      <c r="AF335" s="111">
        <f>IF(AQ335="2",BH335,0)</f>
      </c>
      <c r="AG335" s="111">
        <f>IF(AQ335="2",BI335,0)</f>
      </c>
      <c r="AH335" s="111">
        <f>IF(AQ335="0",BJ335,0)</f>
      </c>
      <c r="AI335" s="132" t="s">
        <v>93</v>
      </c>
      <c r="AJ335" s="111">
        <f>IF(AN335=0,I335,0)</f>
      </c>
      <c r="AK335" s="111">
        <f>IF(AN335=12,I335,0)</f>
      </c>
      <c r="AL335" s="111">
        <f>IF(AN335=21,I335,0)</f>
      </c>
      <c r="AN335" s="111" t="n">
        <v>21</v>
      </c>
      <c r="AO335" s="111">
        <f>H335*0</f>
      </c>
      <c r="AP335" s="111">
        <f>H335*(1-0)</f>
      </c>
      <c r="AQ335" s="153" t="s">
        <v>140</v>
      </c>
      <c r="AV335" s="111">
        <f>AW335+AX335</f>
      </c>
      <c r="AW335" s="111">
        <f>G335*AO335</f>
      </c>
      <c r="AX335" s="111">
        <f>G335*AP335</f>
      </c>
      <c r="AY335" s="153" t="s">
        <v>4923</v>
      </c>
      <c r="AZ335" s="153" t="s">
        <v>4606</v>
      </c>
      <c r="BA335" s="132" t="s">
        <v>4594</v>
      </c>
      <c r="BC335" s="111">
        <f>AW335+AX335</f>
      </c>
      <c r="BD335" s="111">
        <f>H335/(100-BE335)*100</f>
      </c>
      <c r="BE335" s="111" t="n">
        <v>0</v>
      </c>
      <c r="BF335" s="111">
        <f>335</f>
      </c>
      <c r="BH335" s="111">
        <f>G335*AO335</f>
      </c>
      <c r="BI335" s="111">
        <f>G335*AP335</f>
      </c>
      <c r="BJ335" s="111">
        <f>G335*H335</f>
      </c>
      <c r="BK335" s="111"/>
      <c r="BL335" s="111"/>
      <c r="BW335" s="111" t="n">
        <v>21</v>
      </c>
      <c r="BX335" s="14" t="s">
        <v>5070</v>
      </c>
    </row>
    <row r="336" customHeight="true" ht="13.5">
      <c r="A336" s="159"/>
      <c r="C336" s="160" t="s">
        <v>146</v>
      </c>
      <c r="D336" s="161" t="s">
        <v>5071</v>
      </c>
      <c r="E336" s="156"/>
      <c r="F336" s="156"/>
      <c r="G336" s="156"/>
      <c r="H336" s="156"/>
      <c r="I336" s="156"/>
      <c r="J336" s="156"/>
      <c r="K336" s="163"/>
    </row>
    <row r="337">
      <c r="A337" s="9" t="s">
        <v>1078</v>
      </c>
      <c r="B337" s="10" t="s">
        <v>93</v>
      </c>
      <c r="C337" s="10" t="s">
        <v>5069</v>
      </c>
      <c r="D337" s="14" t="s">
        <v>5070</v>
      </c>
      <c r="E337" s="10"/>
      <c r="F337" s="10" t="s">
        <v>133</v>
      </c>
      <c r="G337" s="111">
        <f>'Stavební rozpočet'!G3176</f>
      </c>
      <c r="H337" s="111">
        <f>'Stavební rozpočet'!H3176</f>
      </c>
      <c r="I337" s="111">
        <f>G337*H337</f>
      </c>
      <c r="J337" s="153" t="s">
        <v>134</v>
      </c>
      <c r="K337" s="146"/>
      <c r="Z337" s="111">
        <f>IF(AQ337="5",BJ337,0)</f>
      </c>
      <c r="AB337" s="111">
        <f>IF(AQ337="1",BH337,0)</f>
      </c>
      <c r="AC337" s="111">
        <f>IF(AQ337="1",BI337,0)</f>
      </c>
      <c r="AD337" s="111">
        <f>IF(AQ337="7",BH337,0)</f>
      </c>
      <c r="AE337" s="111">
        <f>IF(AQ337="7",BI337,0)</f>
      </c>
      <c r="AF337" s="111">
        <f>IF(AQ337="2",BH337,0)</f>
      </c>
      <c r="AG337" s="111">
        <f>IF(AQ337="2",BI337,0)</f>
      </c>
      <c r="AH337" s="111">
        <f>IF(AQ337="0",BJ337,0)</f>
      </c>
      <c r="AI337" s="132" t="s">
        <v>93</v>
      </c>
      <c r="AJ337" s="111">
        <f>IF(AN337=0,I337,0)</f>
      </c>
      <c r="AK337" s="111">
        <f>IF(AN337=12,I337,0)</f>
      </c>
      <c r="AL337" s="111">
        <f>IF(AN337=21,I337,0)</f>
      </c>
      <c r="AN337" s="111" t="n">
        <v>21</v>
      </c>
      <c r="AO337" s="111">
        <f>H337*0</f>
      </c>
      <c r="AP337" s="111">
        <f>H337*(1-0)</f>
      </c>
      <c r="AQ337" s="153" t="s">
        <v>140</v>
      </c>
      <c r="AV337" s="111">
        <f>AW337+AX337</f>
      </c>
      <c r="AW337" s="111">
        <f>G337*AO337</f>
      </c>
      <c r="AX337" s="111">
        <f>G337*AP337</f>
      </c>
      <c r="AY337" s="153" t="s">
        <v>4923</v>
      </c>
      <c r="AZ337" s="153" t="s">
        <v>4606</v>
      </c>
      <c r="BA337" s="132" t="s">
        <v>4594</v>
      </c>
      <c r="BC337" s="111">
        <f>AW337+AX337</f>
      </c>
      <c r="BD337" s="111">
        <f>H337/(100-BE337)*100</f>
      </c>
      <c r="BE337" s="111" t="n">
        <v>0</v>
      </c>
      <c r="BF337" s="111">
        <f>337</f>
      </c>
      <c r="BH337" s="111">
        <f>G337*AO337</f>
      </c>
      <c r="BI337" s="111">
        <f>G337*AP337</f>
      </c>
      <c r="BJ337" s="111">
        <f>G337*H337</f>
      </c>
      <c r="BK337" s="111"/>
      <c r="BL337" s="111"/>
      <c r="BW337" s="111" t="n">
        <v>21</v>
      </c>
      <c r="BX337" s="14" t="s">
        <v>5070</v>
      </c>
    </row>
    <row r="338" customHeight="true" ht="13.5">
      <c r="A338" s="159"/>
      <c r="C338" s="160" t="s">
        <v>146</v>
      </c>
      <c r="D338" s="161" t="s">
        <v>5073</v>
      </c>
      <c r="E338" s="156"/>
      <c r="F338" s="156"/>
      <c r="G338" s="156"/>
      <c r="H338" s="156"/>
      <c r="I338" s="156"/>
      <c r="J338" s="156"/>
      <c r="K338" s="163"/>
    </row>
    <row r="339">
      <c r="A339" s="9" t="s">
        <v>1095</v>
      </c>
      <c r="B339" s="10" t="s">
        <v>93</v>
      </c>
      <c r="C339" s="10" t="s">
        <v>5075</v>
      </c>
      <c r="D339" s="14" t="s">
        <v>5076</v>
      </c>
      <c r="E339" s="10"/>
      <c r="F339" s="10" t="s">
        <v>133</v>
      </c>
      <c r="G339" s="111">
        <f>'Stavební rozpočet'!G3178</f>
      </c>
      <c r="H339" s="111">
        <f>'Stavební rozpočet'!H3178</f>
      </c>
      <c r="I339" s="111">
        <f>G339*H339</f>
      </c>
      <c r="J339" s="153" t="s">
        <v>134</v>
      </c>
      <c r="K339" s="146"/>
      <c r="Z339" s="111">
        <f>IF(AQ339="5",BJ339,0)</f>
      </c>
      <c r="AB339" s="111">
        <f>IF(AQ339="1",BH339,0)</f>
      </c>
      <c r="AC339" s="111">
        <f>IF(AQ339="1",BI339,0)</f>
      </c>
      <c r="AD339" s="111">
        <f>IF(AQ339="7",BH339,0)</f>
      </c>
      <c r="AE339" s="111">
        <f>IF(AQ339="7",BI339,0)</f>
      </c>
      <c r="AF339" s="111">
        <f>IF(AQ339="2",BH339,0)</f>
      </c>
      <c r="AG339" s="111">
        <f>IF(AQ339="2",BI339,0)</f>
      </c>
      <c r="AH339" s="111">
        <f>IF(AQ339="0",BJ339,0)</f>
      </c>
      <c r="AI339" s="132" t="s">
        <v>93</v>
      </c>
      <c r="AJ339" s="111">
        <f>IF(AN339=0,I339,0)</f>
      </c>
      <c r="AK339" s="111">
        <f>IF(AN339=12,I339,0)</f>
      </c>
      <c r="AL339" s="111">
        <f>IF(AN339=21,I339,0)</f>
      </c>
      <c r="AN339" s="111" t="n">
        <v>21</v>
      </c>
      <c r="AO339" s="111">
        <f>H339*0</f>
      </c>
      <c r="AP339" s="111">
        <f>H339*(1-0)</f>
      </c>
      <c r="AQ339" s="153" t="s">
        <v>140</v>
      </c>
      <c r="AV339" s="111">
        <f>AW339+AX339</f>
      </c>
      <c r="AW339" s="111">
        <f>G339*AO339</f>
      </c>
      <c r="AX339" s="111">
        <f>G339*AP339</f>
      </c>
      <c r="AY339" s="153" t="s">
        <v>4923</v>
      </c>
      <c r="AZ339" s="153" t="s">
        <v>4606</v>
      </c>
      <c r="BA339" s="132" t="s">
        <v>4594</v>
      </c>
      <c r="BC339" s="111">
        <f>AW339+AX339</f>
      </c>
      <c r="BD339" s="111">
        <f>H339/(100-BE339)*100</f>
      </c>
      <c r="BE339" s="111" t="n">
        <v>0</v>
      </c>
      <c r="BF339" s="111">
        <f>339</f>
      </c>
      <c r="BH339" s="111">
        <f>G339*AO339</f>
      </c>
      <c r="BI339" s="111">
        <f>G339*AP339</f>
      </c>
      <c r="BJ339" s="111">
        <f>G339*H339</f>
      </c>
      <c r="BK339" s="111"/>
      <c r="BL339" s="111"/>
      <c r="BW339" s="111" t="n">
        <v>21</v>
      </c>
      <c r="BX339" s="14" t="s">
        <v>5076</v>
      </c>
    </row>
    <row r="340" customHeight="true" ht="13.5">
      <c r="A340" s="159"/>
      <c r="C340" s="160" t="s">
        <v>146</v>
      </c>
      <c r="D340" s="161" t="s">
        <v>5077</v>
      </c>
      <c r="E340" s="156"/>
      <c r="F340" s="156"/>
      <c r="G340" s="156"/>
      <c r="H340" s="156"/>
      <c r="I340" s="156"/>
      <c r="J340" s="156"/>
      <c r="K340" s="163"/>
    </row>
    <row r="341">
      <c r="A341" s="9" t="s">
        <v>1101</v>
      </c>
      <c r="B341" s="10" t="s">
        <v>93</v>
      </c>
      <c r="C341" s="10" t="s">
        <v>5079</v>
      </c>
      <c r="D341" s="14" t="s">
        <v>5080</v>
      </c>
      <c r="E341" s="10"/>
      <c r="F341" s="10" t="s">
        <v>133</v>
      </c>
      <c r="G341" s="111">
        <f>'Stavební rozpočet'!G3180</f>
      </c>
      <c r="H341" s="111">
        <f>'Stavební rozpočet'!H3180</f>
      </c>
      <c r="I341" s="111">
        <f>G341*H341</f>
      </c>
      <c r="J341" s="153" t="s">
        <v>134</v>
      </c>
      <c r="K341" s="146"/>
      <c r="Z341" s="111">
        <f>IF(AQ341="5",BJ341,0)</f>
      </c>
      <c r="AB341" s="111">
        <f>IF(AQ341="1",BH341,0)</f>
      </c>
      <c r="AC341" s="111">
        <f>IF(AQ341="1",BI341,0)</f>
      </c>
      <c r="AD341" s="111">
        <f>IF(AQ341="7",BH341,0)</f>
      </c>
      <c r="AE341" s="111">
        <f>IF(AQ341="7",BI341,0)</f>
      </c>
      <c r="AF341" s="111">
        <f>IF(AQ341="2",BH341,0)</f>
      </c>
      <c r="AG341" s="111">
        <f>IF(AQ341="2",BI341,0)</f>
      </c>
      <c r="AH341" s="111">
        <f>IF(AQ341="0",BJ341,0)</f>
      </c>
      <c r="AI341" s="132" t="s">
        <v>93</v>
      </c>
      <c r="AJ341" s="111">
        <f>IF(AN341=0,I341,0)</f>
      </c>
      <c r="AK341" s="111">
        <f>IF(AN341=12,I341,0)</f>
      </c>
      <c r="AL341" s="111">
        <f>IF(AN341=21,I341,0)</f>
      </c>
      <c r="AN341" s="111" t="n">
        <v>21</v>
      </c>
      <c r="AO341" s="111">
        <f>H341*0</f>
      </c>
      <c r="AP341" s="111">
        <f>H341*(1-0)</f>
      </c>
      <c r="AQ341" s="153" t="s">
        <v>140</v>
      </c>
      <c r="AV341" s="111">
        <f>AW341+AX341</f>
      </c>
      <c r="AW341" s="111">
        <f>G341*AO341</f>
      </c>
      <c r="AX341" s="111">
        <f>G341*AP341</f>
      </c>
      <c r="AY341" s="153" t="s">
        <v>4923</v>
      </c>
      <c r="AZ341" s="153" t="s">
        <v>4606</v>
      </c>
      <c r="BA341" s="132" t="s">
        <v>4594</v>
      </c>
      <c r="BC341" s="111">
        <f>AW341+AX341</f>
      </c>
      <c r="BD341" s="111">
        <f>H341/(100-BE341)*100</f>
      </c>
      <c r="BE341" s="111" t="n">
        <v>0</v>
      </c>
      <c r="BF341" s="111">
        <f>341</f>
      </c>
      <c r="BH341" s="111">
        <f>G341*AO341</f>
      </c>
      <c r="BI341" s="111">
        <f>G341*AP341</f>
      </c>
      <c r="BJ341" s="111">
        <f>G341*H341</f>
      </c>
      <c r="BK341" s="111"/>
      <c r="BL341" s="111"/>
      <c r="BW341" s="111" t="n">
        <v>21</v>
      </c>
      <c r="BX341" s="14" t="s">
        <v>5080</v>
      </c>
    </row>
    <row r="342" customHeight="true" ht="13.5">
      <c r="A342" s="159"/>
      <c r="C342" s="160" t="s">
        <v>146</v>
      </c>
      <c r="D342" s="161" t="s">
        <v>5081</v>
      </c>
      <c r="E342" s="156"/>
      <c r="F342" s="156"/>
      <c r="G342" s="156"/>
      <c r="H342" s="156"/>
      <c r="I342" s="156"/>
      <c r="J342" s="156"/>
      <c r="K342" s="163"/>
    </row>
    <row r="343">
      <c r="A343" s="9" t="s">
        <v>1112</v>
      </c>
      <c r="B343" s="10" t="s">
        <v>93</v>
      </c>
      <c r="C343" s="10" t="s">
        <v>5083</v>
      </c>
      <c r="D343" s="14" t="s">
        <v>5084</v>
      </c>
      <c r="E343" s="10"/>
      <c r="F343" s="10" t="s">
        <v>2277</v>
      </c>
      <c r="G343" s="111">
        <f>'Stavební rozpočet'!G3182</f>
      </c>
      <c r="H343" s="111">
        <f>'Stavební rozpočet'!H3182</f>
      </c>
      <c r="I343" s="111">
        <f>G343*H343</f>
      </c>
      <c r="J343" s="153" t="s">
        <v>2936</v>
      </c>
      <c r="K343" s="146"/>
      <c r="Z343" s="111">
        <f>IF(AQ343="5",BJ343,0)</f>
      </c>
      <c r="AB343" s="111">
        <f>IF(AQ343="1",BH343,0)</f>
      </c>
      <c r="AC343" s="111">
        <f>IF(AQ343="1",BI343,0)</f>
      </c>
      <c r="AD343" s="111">
        <f>IF(AQ343="7",BH343,0)</f>
      </c>
      <c r="AE343" s="111">
        <f>IF(AQ343="7",BI343,0)</f>
      </c>
      <c r="AF343" s="111">
        <f>IF(AQ343="2",BH343,0)</f>
      </c>
      <c r="AG343" s="111">
        <f>IF(AQ343="2",BI343,0)</f>
      </c>
      <c r="AH343" s="111">
        <f>IF(AQ343="0",BJ343,0)</f>
      </c>
      <c r="AI343" s="132" t="s">
        <v>93</v>
      </c>
      <c r="AJ343" s="111">
        <f>IF(AN343=0,I343,0)</f>
      </c>
      <c r="AK343" s="111">
        <f>IF(AN343=12,I343,0)</f>
      </c>
      <c r="AL343" s="111">
        <f>IF(AN343=21,I343,0)</f>
      </c>
      <c r="AN343" s="111" t="n">
        <v>21</v>
      </c>
      <c r="AO343" s="111">
        <f>H343*0</f>
      </c>
      <c r="AP343" s="111">
        <f>H343*(1-0)</f>
      </c>
      <c r="AQ343" s="153" t="s">
        <v>130</v>
      </c>
      <c r="AV343" s="111">
        <f>AW343+AX343</f>
      </c>
      <c r="AW343" s="111">
        <f>G343*AO343</f>
      </c>
      <c r="AX343" s="111">
        <f>G343*AP343</f>
      </c>
      <c r="AY343" s="153" t="s">
        <v>4923</v>
      </c>
      <c r="AZ343" s="153" t="s">
        <v>4606</v>
      </c>
      <c r="BA343" s="132" t="s">
        <v>4594</v>
      </c>
      <c r="BC343" s="111">
        <f>AW343+AX343</f>
      </c>
      <c r="BD343" s="111">
        <f>H343/(100-BE343)*100</f>
      </c>
      <c r="BE343" s="111" t="n">
        <v>0</v>
      </c>
      <c r="BF343" s="111">
        <f>343</f>
      </c>
      <c r="BH343" s="111">
        <f>G343*AO343</f>
      </c>
      <c r="BI343" s="111">
        <f>G343*AP343</f>
      </c>
      <c r="BJ343" s="111">
        <f>G343*H343</f>
      </c>
      <c r="BK343" s="111"/>
      <c r="BL343" s="111"/>
      <c r="BW343" s="111" t="n">
        <v>21</v>
      </c>
      <c r="BX343" s="14" t="s">
        <v>5084</v>
      </c>
    </row>
    <row r="344" customHeight="true" ht="13.5">
      <c r="A344" s="159"/>
      <c r="C344" s="160" t="s">
        <v>146</v>
      </c>
      <c r="D344" s="161" t="s">
        <v>4700</v>
      </c>
      <c r="E344" s="156"/>
      <c r="F344" s="156"/>
      <c r="G344" s="156"/>
      <c r="H344" s="156"/>
      <c r="I344" s="156"/>
      <c r="J344" s="156"/>
      <c r="K344" s="163"/>
    </row>
    <row r="345">
      <c r="A345" s="17" t="s">
        <v>1124</v>
      </c>
      <c r="B345" s="18" t="s">
        <v>93</v>
      </c>
      <c r="C345" s="18" t="s">
        <v>5086</v>
      </c>
      <c r="D345" s="164" t="s">
        <v>5087</v>
      </c>
      <c r="E345" s="18"/>
      <c r="F345" s="18" t="s">
        <v>2277</v>
      </c>
      <c r="G345" s="165">
        <f>'Stavební rozpočet'!G3184</f>
      </c>
      <c r="H345" s="165">
        <f>'Stavební rozpočet'!H3184</f>
      </c>
      <c r="I345" s="165">
        <f>G345*H345</f>
      </c>
      <c r="J345" s="167" t="s">
        <v>134</v>
      </c>
      <c r="K345" s="168"/>
      <c r="Z345" s="111">
        <f>IF(AQ345="5",BJ345,0)</f>
      </c>
      <c r="AB345" s="111">
        <f>IF(AQ345="1",BH345,0)</f>
      </c>
      <c r="AC345" s="111">
        <f>IF(AQ345="1",BI345,0)</f>
      </c>
      <c r="AD345" s="111">
        <f>IF(AQ345="7",BH345,0)</f>
      </c>
      <c r="AE345" s="111">
        <f>IF(AQ345="7",BI345,0)</f>
      </c>
      <c r="AF345" s="111">
        <f>IF(AQ345="2",BH345,0)</f>
      </c>
      <c r="AG345" s="111">
        <f>IF(AQ345="2",BI345,0)</f>
      </c>
      <c r="AH345" s="111">
        <f>IF(AQ345="0",BJ345,0)</f>
      </c>
      <c r="AI345" s="132" t="s">
        <v>93</v>
      </c>
      <c r="AJ345" s="111">
        <f>IF(AN345=0,I345,0)</f>
      </c>
      <c r="AK345" s="111">
        <f>IF(AN345=12,I345,0)</f>
      </c>
      <c r="AL345" s="111">
        <f>IF(AN345=21,I345,0)</f>
      </c>
      <c r="AN345" s="111" t="n">
        <v>21</v>
      </c>
      <c r="AO345" s="111">
        <f>H345*1</f>
      </c>
      <c r="AP345" s="111">
        <f>H345*(1-1)</f>
      </c>
      <c r="AQ345" s="153" t="s">
        <v>130</v>
      </c>
      <c r="AV345" s="111">
        <f>AW345+AX345</f>
      </c>
      <c r="AW345" s="111">
        <f>G345*AO345</f>
      </c>
      <c r="AX345" s="111">
        <f>G345*AP345</f>
      </c>
      <c r="AY345" s="153" t="s">
        <v>4923</v>
      </c>
      <c r="AZ345" s="153" t="s">
        <v>4606</v>
      </c>
      <c r="BA345" s="132" t="s">
        <v>4594</v>
      </c>
      <c r="BC345" s="111">
        <f>AW345+AX345</f>
      </c>
      <c r="BD345" s="111">
        <f>H345/(100-BE345)*100</f>
      </c>
      <c r="BE345" s="111" t="n">
        <v>0</v>
      </c>
      <c r="BF345" s="111">
        <f>345</f>
      </c>
      <c r="BH345" s="111">
        <f>G345*AO345</f>
      </c>
      <c r="BI345" s="111">
        <f>G345*AP345</f>
      </c>
      <c r="BJ345" s="111">
        <f>G345*H345</f>
      </c>
      <c r="BK345" s="111"/>
      <c r="BL345" s="111"/>
      <c r="BW345" s="111" t="n">
        <v>21</v>
      </c>
      <c r="BX345" s="14" t="s">
        <v>5087</v>
      </c>
    </row>
    <row r="346">
      <c r="I346" s="115">
        <f>I13+I21+I59+I62+I78+I82+I112+I115+I236+I253</f>
      </c>
    </row>
    <row r="347">
      <c r="A347" s="116" t="s">
        <v>56</v>
      </c>
    </row>
    <row r="348" customHeight="true" ht="12.75">
      <c r="A348" s="14" t="s">
        <v>4</v>
      </c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H8:H9"/>
    <mergeCell ref="J2:K3"/>
    <mergeCell ref="J4:K5"/>
    <mergeCell ref="J6:K7"/>
    <mergeCell ref="J8:K9"/>
    <mergeCell ref="D10:E10"/>
    <mergeCell ref="D11:E11"/>
    <mergeCell ref="D12:E12"/>
    <mergeCell ref="D13:E13"/>
    <mergeCell ref="D14:E14"/>
    <mergeCell ref="D15:K15"/>
    <mergeCell ref="D18:E18"/>
    <mergeCell ref="D21:E21"/>
    <mergeCell ref="D22:E22"/>
    <mergeCell ref="D23:K23"/>
    <mergeCell ref="D24:E24"/>
    <mergeCell ref="D25:K25"/>
    <mergeCell ref="D26:E26"/>
    <mergeCell ref="D27:K27"/>
    <mergeCell ref="D29:E29"/>
    <mergeCell ref="D30:K30"/>
    <mergeCell ref="D32:E32"/>
    <mergeCell ref="D34:E34"/>
    <mergeCell ref="D35:E35"/>
    <mergeCell ref="D36:E36"/>
    <mergeCell ref="D37:E37"/>
    <mergeCell ref="D38:E38"/>
    <mergeCell ref="D39:K39"/>
    <mergeCell ref="D41:E41"/>
    <mergeCell ref="D42:K42"/>
    <mergeCell ref="D44:E44"/>
    <mergeCell ref="D45:K45"/>
    <mergeCell ref="D47:E47"/>
    <mergeCell ref="D48:K48"/>
    <mergeCell ref="D50:E50"/>
    <mergeCell ref="D51:E51"/>
    <mergeCell ref="D52:E52"/>
    <mergeCell ref="D53:E53"/>
    <mergeCell ref="D54:E54"/>
    <mergeCell ref="D55:E55"/>
    <mergeCell ref="D56:K56"/>
    <mergeCell ref="D57:E57"/>
    <mergeCell ref="D58:K58"/>
    <mergeCell ref="D59:E59"/>
    <mergeCell ref="D60:E60"/>
    <mergeCell ref="D61:E61"/>
    <mergeCell ref="D62:E62"/>
    <mergeCell ref="D63:E63"/>
    <mergeCell ref="D66:E66"/>
    <mergeCell ref="D69:E69"/>
    <mergeCell ref="D72:E72"/>
    <mergeCell ref="D73:K73"/>
    <mergeCell ref="D74:E74"/>
    <mergeCell ref="D75:K75"/>
    <mergeCell ref="D78:E78"/>
    <mergeCell ref="D79:E79"/>
    <mergeCell ref="D80:K80"/>
    <mergeCell ref="D81:E81"/>
    <mergeCell ref="D82:E82"/>
    <mergeCell ref="D83:E83"/>
    <mergeCell ref="D84:K84"/>
    <mergeCell ref="D86:E86"/>
    <mergeCell ref="D87:K87"/>
    <mergeCell ref="D88:E88"/>
    <mergeCell ref="D89:K89"/>
    <mergeCell ref="D91:E91"/>
    <mergeCell ref="D92:K92"/>
    <mergeCell ref="D93:E93"/>
    <mergeCell ref="D94:K94"/>
    <mergeCell ref="D95:E95"/>
    <mergeCell ref="D96:K96"/>
    <mergeCell ref="D97:E97"/>
    <mergeCell ref="D98:K98"/>
    <mergeCell ref="D99:E99"/>
    <mergeCell ref="D100:K100"/>
    <mergeCell ref="D101:E101"/>
    <mergeCell ref="D102:K102"/>
    <mergeCell ref="D103:E103"/>
    <mergeCell ref="D104:K104"/>
    <mergeCell ref="D106:E106"/>
    <mergeCell ref="D107:K107"/>
    <mergeCell ref="D109:E109"/>
    <mergeCell ref="D110:K110"/>
    <mergeCell ref="D112:E112"/>
    <mergeCell ref="D113:E113"/>
    <mergeCell ref="D114:E114"/>
    <mergeCell ref="D115:E115"/>
    <mergeCell ref="D116:E116"/>
    <mergeCell ref="D117:K117"/>
    <mergeCell ref="D119:E119"/>
    <mergeCell ref="D120:K120"/>
    <mergeCell ref="D122:E122"/>
    <mergeCell ref="D123:K123"/>
    <mergeCell ref="D125:E125"/>
    <mergeCell ref="D126:K126"/>
    <mergeCell ref="D128:E128"/>
    <mergeCell ref="D129:K129"/>
    <mergeCell ref="D131:E131"/>
    <mergeCell ref="D132:K132"/>
    <mergeCell ref="D134:E134"/>
    <mergeCell ref="D135:K135"/>
    <mergeCell ref="D136:E136"/>
    <mergeCell ref="D137:K137"/>
    <mergeCell ref="D139:E139"/>
    <mergeCell ref="D140:K140"/>
    <mergeCell ref="D142:E142"/>
    <mergeCell ref="D143:K143"/>
    <mergeCell ref="D145:E145"/>
    <mergeCell ref="D146:K146"/>
    <mergeCell ref="D148:E148"/>
    <mergeCell ref="D149:K149"/>
    <mergeCell ref="D151:E151"/>
    <mergeCell ref="D152:K152"/>
    <mergeCell ref="D154:E154"/>
    <mergeCell ref="D155:K155"/>
    <mergeCell ref="D157:E157"/>
    <mergeCell ref="D158:K158"/>
    <mergeCell ref="D160:E160"/>
    <mergeCell ref="D161:K161"/>
    <mergeCell ref="D163:E163"/>
    <mergeCell ref="D164:K164"/>
    <mergeCell ref="D166:E166"/>
    <mergeCell ref="D167:K167"/>
    <mergeCell ref="D169:E169"/>
    <mergeCell ref="D170:K170"/>
    <mergeCell ref="D171:E171"/>
    <mergeCell ref="D172:K172"/>
    <mergeCell ref="D173:E173"/>
    <mergeCell ref="D174:K174"/>
    <mergeCell ref="D175:E175"/>
    <mergeCell ref="D176:K176"/>
    <mergeCell ref="D177:E177"/>
    <mergeCell ref="D178:K178"/>
    <mergeCell ref="D179:E179"/>
    <mergeCell ref="D180:K180"/>
    <mergeCell ref="D181:E181"/>
    <mergeCell ref="D182:E182"/>
    <mergeCell ref="D183:E183"/>
    <mergeCell ref="D184:K184"/>
    <mergeCell ref="D186:E186"/>
    <mergeCell ref="D187:K187"/>
    <mergeCell ref="D189:E189"/>
    <mergeCell ref="D190:K190"/>
    <mergeCell ref="D191:E191"/>
    <mergeCell ref="D192:K192"/>
    <mergeCell ref="D193:E193"/>
    <mergeCell ref="D194:K194"/>
    <mergeCell ref="D195:E195"/>
    <mergeCell ref="D196:K196"/>
    <mergeCell ref="D197:E197"/>
    <mergeCell ref="D198:K198"/>
    <mergeCell ref="D199:E199"/>
    <mergeCell ref="D200:K200"/>
    <mergeCell ref="D201:E201"/>
    <mergeCell ref="D202:K202"/>
    <mergeCell ref="D203:E203"/>
    <mergeCell ref="D204:K204"/>
    <mergeCell ref="D205:E205"/>
    <mergeCell ref="D206:K206"/>
    <mergeCell ref="D209:E209"/>
    <mergeCell ref="D210:K210"/>
    <mergeCell ref="D213:E213"/>
    <mergeCell ref="D214:K214"/>
    <mergeCell ref="D217:E217"/>
    <mergeCell ref="D218:K218"/>
    <mergeCell ref="D221:E221"/>
    <mergeCell ref="D223:E223"/>
    <mergeCell ref="D226:E226"/>
    <mergeCell ref="D228:E228"/>
    <mergeCell ref="D230:E230"/>
    <mergeCell ref="D232:E232"/>
    <mergeCell ref="D234:E234"/>
    <mergeCell ref="D236:E236"/>
    <mergeCell ref="D237:E237"/>
    <mergeCell ref="D238:K238"/>
    <mergeCell ref="D240:E240"/>
    <mergeCell ref="D241:K241"/>
    <mergeCell ref="D243:E243"/>
    <mergeCell ref="D244:K244"/>
    <mergeCell ref="D246:E246"/>
    <mergeCell ref="D248:E248"/>
    <mergeCell ref="D249:K249"/>
    <mergeCell ref="D251:E251"/>
    <mergeCell ref="D253:E253"/>
    <mergeCell ref="D254:E254"/>
    <mergeCell ref="D255:K255"/>
    <mergeCell ref="D256:E256"/>
    <mergeCell ref="D257:K257"/>
    <mergeCell ref="D258:E258"/>
    <mergeCell ref="D259:K259"/>
    <mergeCell ref="D260:E260"/>
    <mergeCell ref="D261:K261"/>
    <mergeCell ref="D262:E262"/>
    <mergeCell ref="D263:K263"/>
    <mergeCell ref="D264:E264"/>
    <mergeCell ref="D265:K265"/>
    <mergeCell ref="D266:E266"/>
    <mergeCell ref="D267:K267"/>
    <mergeCell ref="D268:E268"/>
    <mergeCell ref="D269:K269"/>
    <mergeCell ref="D270:E270"/>
    <mergeCell ref="D271:K271"/>
    <mergeCell ref="D272:E272"/>
    <mergeCell ref="D273:K273"/>
    <mergeCell ref="D274:E274"/>
    <mergeCell ref="D275:K275"/>
    <mergeCell ref="D276:E276"/>
    <mergeCell ref="D278:E278"/>
    <mergeCell ref="D279:K279"/>
    <mergeCell ref="D280:E280"/>
    <mergeCell ref="D281:K281"/>
    <mergeCell ref="D282:E282"/>
    <mergeCell ref="D283:K283"/>
    <mergeCell ref="D284:E284"/>
    <mergeCell ref="D285:K285"/>
    <mergeCell ref="D286:E286"/>
    <mergeCell ref="D287:K287"/>
    <mergeCell ref="D288:E288"/>
    <mergeCell ref="D289:K289"/>
    <mergeCell ref="D290:E290"/>
    <mergeCell ref="D291:K291"/>
    <mergeCell ref="D292:E292"/>
    <mergeCell ref="D293:K293"/>
    <mergeCell ref="D294:E294"/>
    <mergeCell ref="D295:K295"/>
    <mergeCell ref="D296:E296"/>
    <mergeCell ref="D297:K297"/>
    <mergeCell ref="D298:E298"/>
    <mergeCell ref="D299:K299"/>
    <mergeCell ref="D300:E300"/>
    <mergeCell ref="D301:K301"/>
    <mergeCell ref="D302:E302"/>
    <mergeCell ref="D303:K303"/>
    <mergeCell ref="D304:E304"/>
    <mergeCell ref="D305:K305"/>
    <mergeCell ref="D306:E306"/>
    <mergeCell ref="D307:K307"/>
    <mergeCell ref="D309:E309"/>
    <mergeCell ref="D310:K310"/>
    <mergeCell ref="D311:E311"/>
    <mergeCell ref="D312:K312"/>
    <mergeCell ref="D313:E313"/>
    <mergeCell ref="D314:K314"/>
    <mergeCell ref="D315:E315"/>
    <mergeCell ref="D316:K316"/>
    <mergeCell ref="D318:E318"/>
    <mergeCell ref="D319:K319"/>
    <mergeCell ref="D321:E321"/>
    <mergeCell ref="D322:K322"/>
    <mergeCell ref="D324:E324"/>
    <mergeCell ref="D325:K325"/>
    <mergeCell ref="D327:E327"/>
    <mergeCell ref="D328:K328"/>
    <mergeCell ref="D329:E329"/>
    <mergeCell ref="D330:K330"/>
    <mergeCell ref="D331:E331"/>
    <mergeCell ref="D332:K332"/>
    <mergeCell ref="D333:E333"/>
    <mergeCell ref="D334:K334"/>
    <mergeCell ref="D335:E335"/>
    <mergeCell ref="D336:K336"/>
    <mergeCell ref="D337:E337"/>
    <mergeCell ref="D338:K338"/>
    <mergeCell ref="D339:E339"/>
    <mergeCell ref="D340:K340"/>
    <mergeCell ref="D341:E341"/>
    <mergeCell ref="D342:K342"/>
    <mergeCell ref="D343:E343"/>
    <mergeCell ref="D344:K344"/>
    <mergeCell ref="D345:E345"/>
    <mergeCell ref="A348:K348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>HP</dc:creator>
  <cp:lastModifiedBy>HP</cp:lastModifiedBy>
  <dcterms:created xsi:type="dcterms:W3CDTF">2021-06-10T20:06:38.031Z</dcterms:created>
  <dcterms:modified xsi:type="dcterms:W3CDTF">2021-06-10T20:06:38.351Z</dcterms:modified>
</cp:coreProperties>
</file>