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bonline-my.sharepoint.com/personal/mala_pavla_brno_cz/Documents/Plocha/Stadion Srbská/VZ osvětlení 2026/"/>
    </mc:Choice>
  </mc:AlternateContent>
  <xr:revisionPtr revIDLastSave="2" documentId="13_ncr:1_{E02BBD67-470D-4BB5-A66B-3D78230B77A1}" xr6:coauthVersionLast="47" xr6:coauthVersionMax="47" xr10:uidLastSave="{72B10439-609C-49A2-BC98-C3F13FE27022}"/>
  <bookViews>
    <workbookView xWindow="-120" yWindow="-120" windowWidth="29040" windowHeight="15720" activeTab="4" xr2:uid="{00000000-000D-0000-FFFF-FFFF00000000}"/>
  </bookViews>
  <sheets>
    <sheet name="Krycí list soupisu" sheetId="4" r:id="rId1"/>
    <sheet name="Stavební rozpočet - součet" sheetId="2" r:id="rId2"/>
    <sheet name="Položkový soupis-k ocenění" sheetId="1" r:id="rId3"/>
    <sheet name="Výkaz výměr" sheetId="3" r:id="rId4"/>
    <sheet name="VORN" sheetId="5" r:id="rId5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5" l="1"/>
  <c r="I36" i="5" s="1"/>
  <c r="I24" i="4" s="1"/>
  <c r="I26" i="5"/>
  <c r="I25" i="5"/>
  <c r="I24" i="5"/>
  <c r="I23" i="5"/>
  <c r="I22" i="5"/>
  <c r="I21" i="5"/>
  <c r="I18" i="5"/>
  <c r="I17" i="5"/>
  <c r="I16" i="5"/>
  <c r="I15" i="5"/>
  <c r="I10" i="5"/>
  <c r="F10" i="5"/>
  <c r="C10" i="5"/>
  <c r="F8" i="5"/>
  <c r="C8" i="5"/>
  <c r="F6" i="5"/>
  <c r="C6" i="5"/>
  <c r="F4" i="5"/>
  <c r="C4" i="5"/>
  <c r="F2" i="5"/>
  <c r="C2" i="5"/>
  <c r="I19" i="4"/>
  <c r="I18" i="4"/>
  <c r="I17" i="4"/>
  <c r="I16" i="4"/>
  <c r="F16" i="4"/>
  <c r="I15" i="4"/>
  <c r="F15" i="4"/>
  <c r="I14" i="4"/>
  <c r="F14" i="4"/>
  <c r="F22" i="4" s="1"/>
  <c r="I10" i="4"/>
  <c r="F10" i="4"/>
  <c r="C10" i="4"/>
  <c r="F8" i="4"/>
  <c r="C8" i="4"/>
  <c r="F6" i="4"/>
  <c r="C6" i="4"/>
  <c r="F4" i="4"/>
  <c r="C4" i="4"/>
  <c r="F2" i="4"/>
  <c r="C2" i="4"/>
  <c r="F8" i="3"/>
  <c r="C8" i="3"/>
  <c r="F6" i="3"/>
  <c r="C6" i="3"/>
  <c r="F4" i="3"/>
  <c r="C4" i="3"/>
  <c r="F2" i="3"/>
  <c r="C2" i="3"/>
  <c r="I13" i="2"/>
  <c r="I11" i="2"/>
  <c r="G8" i="2"/>
  <c r="C8" i="2"/>
  <c r="G6" i="2"/>
  <c r="C6" i="2"/>
  <c r="G4" i="2"/>
  <c r="C4" i="2"/>
  <c r="G2" i="2"/>
  <c r="C2" i="2"/>
  <c r="BJ56" i="1"/>
  <c r="BF56" i="1"/>
  <c r="BD56" i="1"/>
  <c r="AW56" i="1"/>
  <c r="BC56" i="1" s="1"/>
  <c r="AP56" i="1"/>
  <c r="AX56" i="1" s="1"/>
  <c r="AO56" i="1"/>
  <c r="BH56" i="1" s="1"/>
  <c r="AF56" i="1" s="1"/>
  <c r="AK56" i="1"/>
  <c r="AJ56" i="1"/>
  <c r="AH56" i="1"/>
  <c r="AE56" i="1"/>
  <c r="AD56" i="1"/>
  <c r="AC56" i="1"/>
  <c r="AB56" i="1"/>
  <c r="Z56" i="1"/>
  <c r="J56" i="1"/>
  <c r="AL56" i="1" s="1"/>
  <c r="BJ55" i="1"/>
  <c r="BF55" i="1"/>
  <c r="BD55" i="1"/>
  <c r="AP55" i="1"/>
  <c r="AX55" i="1" s="1"/>
  <c r="AO55" i="1"/>
  <c r="BH55" i="1" s="1"/>
  <c r="AB55" i="1" s="1"/>
  <c r="AK55" i="1"/>
  <c r="AJ55" i="1"/>
  <c r="AH55" i="1"/>
  <c r="AG55" i="1"/>
  <c r="AF55" i="1"/>
  <c r="AE55" i="1"/>
  <c r="AD55" i="1"/>
  <c r="Z55" i="1"/>
  <c r="J55" i="1"/>
  <c r="AL55" i="1" s="1"/>
  <c r="BJ54" i="1"/>
  <c r="BF54" i="1"/>
  <c r="BD54" i="1"/>
  <c r="AX54" i="1"/>
  <c r="AW54" i="1"/>
  <c r="BC54" i="1" s="1"/>
  <c r="AP54" i="1"/>
  <c r="BI54" i="1" s="1"/>
  <c r="AC54" i="1" s="1"/>
  <c r="AO54" i="1"/>
  <c r="BH54" i="1" s="1"/>
  <c r="AB54" i="1" s="1"/>
  <c r="AK54" i="1"/>
  <c r="AJ54" i="1"/>
  <c r="AH54" i="1"/>
  <c r="AG54" i="1"/>
  <c r="AF54" i="1"/>
  <c r="AE54" i="1"/>
  <c r="AD54" i="1"/>
  <c r="Z54" i="1"/>
  <c r="J54" i="1"/>
  <c r="AL54" i="1" s="1"/>
  <c r="H54" i="1"/>
  <c r="BJ53" i="1"/>
  <c r="BF53" i="1"/>
  <c r="BD53" i="1"/>
  <c r="AX53" i="1"/>
  <c r="AW53" i="1"/>
  <c r="BC53" i="1" s="1"/>
  <c r="AP53" i="1"/>
  <c r="BI53" i="1" s="1"/>
  <c r="AC53" i="1" s="1"/>
  <c r="AO53" i="1"/>
  <c r="BH53" i="1" s="1"/>
  <c r="AB53" i="1" s="1"/>
  <c r="AK53" i="1"/>
  <c r="AJ53" i="1"/>
  <c r="AH53" i="1"/>
  <c r="AG53" i="1"/>
  <c r="AF53" i="1"/>
  <c r="AE53" i="1"/>
  <c r="AD53" i="1"/>
  <c r="Z53" i="1"/>
  <c r="J53" i="1"/>
  <c r="AL53" i="1" s="1"/>
  <c r="I53" i="1"/>
  <c r="H53" i="1"/>
  <c r="BJ52" i="1"/>
  <c r="BF52" i="1"/>
  <c r="BD52" i="1"/>
  <c r="AP52" i="1"/>
  <c r="BI52" i="1" s="1"/>
  <c r="AC52" i="1" s="1"/>
  <c r="AO52" i="1"/>
  <c r="BH52" i="1" s="1"/>
  <c r="AB52" i="1" s="1"/>
  <c r="AK52" i="1"/>
  <c r="AJ52" i="1"/>
  <c r="AH52" i="1"/>
  <c r="AG52" i="1"/>
  <c r="AF52" i="1"/>
  <c r="AE52" i="1"/>
  <c r="AD52" i="1"/>
  <c r="Z52" i="1"/>
  <c r="J52" i="1"/>
  <c r="AL52" i="1" s="1"/>
  <c r="BJ51" i="1"/>
  <c r="BF51" i="1"/>
  <c r="BD51" i="1"/>
  <c r="AP51" i="1"/>
  <c r="BI51" i="1" s="1"/>
  <c r="AC51" i="1" s="1"/>
  <c r="AO51" i="1"/>
  <c r="BH51" i="1" s="1"/>
  <c r="AB51" i="1" s="1"/>
  <c r="AK51" i="1"/>
  <c r="AJ51" i="1"/>
  <c r="AH51" i="1"/>
  <c r="AG51" i="1"/>
  <c r="AF51" i="1"/>
  <c r="AE51" i="1"/>
  <c r="AD51" i="1"/>
  <c r="Z51" i="1"/>
  <c r="J51" i="1"/>
  <c r="AL51" i="1" s="1"/>
  <c r="H51" i="1"/>
  <c r="BJ50" i="1"/>
  <c r="BF50" i="1"/>
  <c r="BD50" i="1"/>
  <c r="AP50" i="1"/>
  <c r="BI50" i="1" s="1"/>
  <c r="AC50" i="1" s="1"/>
  <c r="AO50" i="1"/>
  <c r="AW50" i="1" s="1"/>
  <c r="AK50" i="1"/>
  <c r="AJ50" i="1"/>
  <c r="AH50" i="1"/>
  <c r="AG50" i="1"/>
  <c r="AF50" i="1"/>
  <c r="AE50" i="1"/>
  <c r="AD50" i="1"/>
  <c r="Z50" i="1"/>
  <c r="J50" i="1"/>
  <c r="AL50" i="1" s="1"/>
  <c r="I50" i="1"/>
  <c r="BJ49" i="1"/>
  <c r="BF49" i="1"/>
  <c r="BD49" i="1"/>
  <c r="AP49" i="1"/>
  <c r="AX49" i="1" s="1"/>
  <c r="AO49" i="1"/>
  <c r="BH49" i="1" s="1"/>
  <c r="AB49" i="1" s="1"/>
  <c r="AK49" i="1"/>
  <c r="AJ49" i="1"/>
  <c r="AH49" i="1"/>
  <c r="AG49" i="1"/>
  <c r="AF49" i="1"/>
  <c r="AE49" i="1"/>
  <c r="AD49" i="1"/>
  <c r="Z49" i="1"/>
  <c r="J49" i="1"/>
  <c r="AL49" i="1" s="1"/>
  <c r="BJ48" i="1"/>
  <c r="BF48" i="1"/>
  <c r="BD48" i="1"/>
  <c r="AP48" i="1"/>
  <c r="BI48" i="1" s="1"/>
  <c r="AC48" i="1" s="1"/>
  <c r="AO48" i="1"/>
  <c r="H48" i="1" s="1"/>
  <c r="AK48" i="1"/>
  <c r="AJ48" i="1"/>
  <c r="AH48" i="1"/>
  <c r="AG48" i="1"/>
  <c r="AF48" i="1"/>
  <c r="AE48" i="1"/>
  <c r="AD48" i="1"/>
  <c r="Z48" i="1"/>
  <c r="J48" i="1"/>
  <c r="AL48" i="1" s="1"/>
  <c r="BJ47" i="1"/>
  <c r="BF47" i="1"/>
  <c r="BD47" i="1"/>
  <c r="AP47" i="1"/>
  <c r="I47" i="1" s="1"/>
  <c r="AO47" i="1"/>
  <c r="BH47" i="1" s="1"/>
  <c r="AB47" i="1" s="1"/>
  <c r="AK47" i="1"/>
  <c r="AJ47" i="1"/>
  <c r="AH47" i="1"/>
  <c r="AG47" i="1"/>
  <c r="AF47" i="1"/>
  <c r="AE47" i="1"/>
  <c r="AD47" i="1"/>
  <c r="Z47" i="1"/>
  <c r="J47" i="1"/>
  <c r="AL47" i="1" s="1"/>
  <c r="H47" i="1"/>
  <c r="BJ46" i="1"/>
  <c r="BF46" i="1"/>
  <c r="BD46" i="1"/>
  <c r="AP46" i="1"/>
  <c r="BI46" i="1" s="1"/>
  <c r="AC46" i="1" s="1"/>
  <c r="AO46" i="1"/>
  <c r="BH46" i="1" s="1"/>
  <c r="AB46" i="1" s="1"/>
  <c r="AK46" i="1"/>
  <c r="AJ46" i="1"/>
  <c r="AH46" i="1"/>
  <c r="AG46" i="1"/>
  <c r="AF46" i="1"/>
  <c r="AE46" i="1"/>
  <c r="AD46" i="1"/>
  <c r="Z46" i="1"/>
  <c r="J46" i="1"/>
  <c r="AL46" i="1" s="1"/>
  <c r="I46" i="1"/>
  <c r="H46" i="1"/>
  <c r="BJ44" i="1"/>
  <c r="BF44" i="1"/>
  <c r="BD44" i="1"/>
  <c r="AP44" i="1"/>
  <c r="BI44" i="1" s="1"/>
  <c r="AG44" i="1" s="1"/>
  <c r="AO44" i="1"/>
  <c r="BH44" i="1" s="1"/>
  <c r="AF44" i="1" s="1"/>
  <c r="AK44" i="1"/>
  <c r="AT43" i="1" s="1"/>
  <c r="AJ44" i="1"/>
  <c r="AS43" i="1" s="1"/>
  <c r="AH44" i="1"/>
  <c r="AE44" i="1"/>
  <c r="AD44" i="1"/>
  <c r="AC44" i="1"/>
  <c r="AB44" i="1"/>
  <c r="Z44" i="1"/>
  <c r="J44" i="1"/>
  <c r="J43" i="1" s="1"/>
  <c r="G16" i="2" s="1"/>
  <c r="I16" i="2" s="1"/>
  <c r="BJ41" i="1"/>
  <c r="BF41" i="1"/>
  <c r="BD41" i="1"/>
  <c r="AP41" i="1"/>
  <c r="BI41" i="1" s="1"/>
  <c r="AC41" i="1" s="1"/>
  <c r="AO41" i="1"/>
  <c r="BH41" i="1" s="1"/>
  <c r="AB41" i="1" s="1"/>
  <c r="AK41" i="1"/>
  <c r="AJ41" i="1"/>
  <c r="AH41" i="1"/>
  <c r="AG41" i="1"/>
  <c r="AF41" i="1"/>
  <c r="AE41" i="1"/>
  <c r="AD41" i="1"/>
  <c r="Z41" i="1"/>
  <c r="J41" i="1"/>
  <c r="AL41" i="1" s="1"/>
  <c r="I41" i="1"/>
  <c r="BJ39" i="1"/>
  <c r="BF39" i="1"/>
  <c r="BD39" i="1"/>
  <c r="AX39" i="1"/>
  <c r="AP39" i="1"/>
  <c r="BI39" i="1" s="1"/>
  <c r="AC39" i="1" s="1"/>
  <c r="AO39" i="1"/>
  <c r="BH39" i="1" s="1"/>
  <c r="AB39" i="1" s="1"/>
  <c r="AK39" i="1"/>
  <c r="AJ39" i="1"/>
  <c r="AH39" i="1"/>
  <c r="AG39" i="1"/>
  <c r="AF39" i="1"/>
  <c r="AE39" i="1"/>
  <c r="AD39" i="1"/>
  <c r="Z39" i="1"/>
  <c r="J39" i="1"/>
  <c r="AL39" i="1" s="1"/>
  <c r="BJ37" i="1"/>
  <c r="BF37" i="1"/>
  <c r="BD37" i="1"/>
  <c r="AP37" i="1"/>
  <c r="BI37" i="1" s="1"/>
  <c r="AC37" i="1" s="1"/>
  <c r="AO37" i="1"/>
  <c r="BH37" i="1" s="1"/>
  <c r="AB37" i="1" s="1"/>
  <c r="AK37" i="1"/>
  <c r="AJ37" i="1"/>
  <c r="AH37" i="1"/>
  <c r="AG37" i="1"/>
  <c r="AF37" i="1"/>
  <c r="AE37" i="1"/>
  <c r="AD37" i="1"/>
  <c r="Z37" i="1"/>
  <c r="J37" i="1"/>
  <c r="AL37" i="1" s="1"/>
  <c r="BJ35" i="1"/>
  <c r="BF35" i="1"/>
  <c r="BD35" i="1"/>
  <c r="AP35" i="1"/>
  <c r="BI35" i="1" s="1"/>
  <c r="AC35" i="1" s="1"/>
  <c r="AO35" i="1"/>
  <c r="AW35" i="1" s="1"/>
  <c r="AL35" i="1"/>
  <c r="AK35" i="1"/>
  <c r="AJ35" i="1"/>
  <c r="AH35" i="1"/>
  <c r="AG35" i="1"/>
  <c r="AF35" i="1"/>
  <c r="AE35" i="1"/>
  <c r="AD35" i="1"/>
  <c r="Z35" i="1"/>
  <c r="J35" i="1"/>
  <c r="I35" i="1"/>
  <c r="BJ33" i="1"/>
  <c r="BF33" i="1"/>
  <c r="BD33" i="1"/>
  <c r="AP33" i="1"/>
  <c r="AX33" i="1" s="1"/>
  <c r="AO33" i="1"/>
  <c r="AW33" i="1" s="1"/>
  <c r="AL33" i="1"/>
  <c r="AK33" i="1"/>
  <c r="AJ33" i="1"/>
  <c r="AS32" i="1" s="1"/>
  <c r="AH33" i="1"/>
  <c r="AG33" i="1"/>
  <c r="AF33" i="1"/>
  <c r="AE33" i="1"/>
  <c r="AD33" i="1"/>
  <c r="Z33" i="1"/>
  <c r="J33" i="1"/>
  <c r="BJ30" i="1"/>
  <c r="BF30" i="1"/>
  <c r="BD30" i="1"/>
  <c r="AP30" i="1"/>
  <c r="BI30" i="1" s="1"/>
  <c r="AG30" i="1" s="1"/>
  <c r="AO30" i="1"/>
  <c r="AW30" i="1" s="1"/>
  <c r="AL30" i="1"/>
  <c r="AK30" i="1"/>
  <c r="AJ30" i="1"/>
  <c r="AH30" i="1"/>
  <c r="AE30" i="1"/>
  <c r="AD30" i="1"/>
  <c r="AC30" i="1"/>
  <c r="AB30" i="1"/>
  <c r="Z30" i="1"/>
  <c r="J30" i="1"/>
  <c r="I30" i="1"/>
  <c r="BJ28" i="1"/>
  <c r="BF28" i="1"/>
  <c r="BD28" i="1"/>
  <c r="AP28" i="1"/>
  <c r="AX28" i="1" s="1"/>
  <c r="AO28" i="1"/>
  <c r="AW28" i="1" s="1"/>
  <c r="AL28" i="1"/>
  <c r="AK28" i="1"/>
  <c r="AJ28" i="1"/>
  <c r="AH28" i="1"/>
  <c r="AG28" i="1"/>
  <c r="AF28" i="1"/>
  <c r="AE28" i="1"/>
  <c r="AD28" i="1"/>
  <c r="Z28" i="1"/>
  <c r="J28" i="1"/>
  <c r="BJ26" i="1"/>
  <c r="BF26" i="1"/>
  <c r="BD26" i="1"/>
  <c r="AP26" i="1"/>
  <c r="BI26" i="1" s="1"/>
  <c r="AC26" i="1" s="1"/>
  <c r="AO26" i="1"/>
  <c r="AW26" i="1" s="1"/>
  <c r="AK26" i="1"/>
  <c r="AJ26" i="1"/>
  <c r="AH26" i="1"/>
  <c r="AG26" i="1"/>
  <c r="AF26" i="1"/>
  <c r="AE26" i="1"/>
  <c r="AD26" i="1"/>
  <c r="Z26" i="1"/>
  <c r="J26" i="1"/>
  <c r="AL26" i="1" s="1"/>
  <c r="BJ24" i="1"/>
  <c r="BF24" i="1"/>
  <c r="BD24" i="1"/>
  <c r="AP24" i="1"/>
  <c r="BI24" i="1" s="1"/>
  <c r="AC24" i="1" s="1"/>
  <c r="AO24" i="1"/>
  <c r="BH24" i="1" s="1"/>
  <c r="AB24" i="1" s="1"/>
  <c r="AK24" i="1"/>
  <c r="AJ24" i="1"/>
  <c r="AH24" i="1"/>
  <c r="AG24" i="1"/>
  <c r="AF24" i="1"/>
  <c r="AE24" i="1"/>
  <c r="AD24" i="1"/>
  <c r="Z24" i="1"/>
  <c r="J24" i="1"/>
  <c r="AL24" i="1" s="1"/>
  <c r="BJ21" i="1"/>
  <c r="BF21" i="1"/>
  <c r="BD21" i="1"/>
  <c r="AP21" i="1"/>
  <c r="BI21" i="1" s="1"/>
  <c r="AO21" i="1"/>
  <c r="BH21" i="1" s="1"/>
  <c r="AK21" i="1"/>
  <c r="AJ21" i="1"/>
  <c r="AH21" i="1"/>
  <c r="AG21" i="1"/>
  <c r="AF21" i="1"/>
  <c r="AE21" i="1"/>
  <c r="AD21" i="1"/>
  <c r="AC21" i="1"/>
  <c r="AB21" i="1"/>
  <c r="Z21" i="1"/>
  <c r="J21" i="1"/>
  <c r="AL21" i="1" s="1"/>
  <c r="I21" i="1"/>
  <c r="BJ19" i="1"/>
  <c r="BF19" i="1"/>
  <c r="BD19" i="1"/>
  <c r="AX19" i="1"/>
  <c r="AP19" i="1"/>
  <c r="BI19" i="1" s="1"/>
  <c r="AO19" i="1"/>
  <c r="BH19" i="1" s="1"/>
  <c r="AK19" i="1"/>
  <c r="AJ19" i="1"/>
  <c r="AH19" i="1"/>
  <c r="AG19" i="1"/>
  <c r="AF19" i="1"/>
  <c r="AE19" i="1"/>
  <c r="AD19" i="1"/>
  <c r="AC19" i="1"/>
  <c r="AB19" i="1"/>
  <c r="Z19" i="1"/>
  <c r="J19" i="1"/>
  <c r="AL19" i="1" s="1"/>
  <c r="I19" i="1"/>
  <c r="BJ17" i="1"/>
  <c r="BF17" i="1"/>
  <c r="BD17" i="1"/>
  <c r="AX17" i="1"/>
  <c r="AP17" i="1"/>
  <c r="BI17" i="1" s="1"/>
  <c r="AO17" i="1"/>
  <c r="BH17" i="1" s="1"/>
  <c r="AK17" i="1"/>
  <c r="AJ17" i="1"/>
  <c r="AS13" i="1" s="1"/>
  <c r="AH17" i="1"/>
  <c r="AG17" i="1"/>
  <c r="AF17" i="1"/>
  <c r="AE17" i="1"/>
  <c r="AD17" i="1"/>
  <c r="AC17" i="1"/>
  <c r="AB17" i="1"/>
  <c r="Z17" i="1"/>
  <c r="J17" i="1"/>
  <c r="AL17" i="1" s="1"/>
  <c r="H17" i="1"/>
  <c r="BJ16" i="1"/>
  <c r="Z16" i="1" s="1"/>
  <c r="BF16" i="1"/>
  <c r="BD16" i="1"/>
  <c r="AP16" i="1"/>
  <c r="BI16" i="1" s="1"/>
  <c r="AO16" i="1"/>
  <c r="AW16" i="1" s="1"/>
  <c r="AK16" i="1"/>
  <c r="AJ16" i="1"/>
  <c r="AH16" i="1"/>
  <c r="AG16" i="1"/>
  <c r="AF16" i="1"/>
  <c r="AE16" i="1"/>
  <c r="AD16" i="1"/>
  <c r="AC16" i="1"/>
  <c r="AB16" i="1"/>
  <c r="J16" i="1"/>
  <c r="AL16" i="1" s="1"/>
  <c r="BJ15" i="1"/>
  <c r="BF15" i="1"/>
  <c r="BD15" i="1"/>
  <c r="AP15" i="1"/>
  <c r="AX15" i="1" s="1"/>
  <c r="AO15" i="1"/>
  <c r="AW15" i="1" s="1"/>
  <c r="AL15" i="1"/>
  <c r="AK15" i="1"/>
  <c r="AT13" i="1" s="1"/>
  <c r="AJ15" i="1"/>
  <c r="AH15" i="1"/>
  <c r="AG15" i="1"/>
  <c r="AF15" i="1"/>
  <c r="AE15" i="1"/>
  <c r="AD15" i="1"/>
  <c r="AC15" i="1"/>
  <c r="AB15" i="1"/>
  <c r="Z15" i="1"/>
  <c r="J15" i="1"/>
  <c r="BJ14" i="1"/>
  <c r="Z14" i="1" s="1"/>
  <c r="BF14" i="1"/>
  <c r="BD14" i="1"/>
  <c r="AP14" i="1"/>
  <c r="AX14" i="1" s="1"/>
  <c r="AO14" i="1"/>
  <c r="AW14" i="1" s="1"/>
  <c r="AL14" i="1"/>
  <c r="AK14" i="1"/>
  <c r="AJ14" i="1"/>
  <c r="AH14" i="1"/>
  <c r="AG14" i="1"/>
  <c r="AF14" i="1"/>
  <c r="AE14" i="1"/>
  <c r="AD14" i="1"/>
  <c r="AC14" i="1"/>
  <c r="AB14" i="1"/>
  <c r="J14" i="1"/>
  <c r="AU1" i="1"/>
  <c r="AT1" i="1"/>
  <c r="AS1" i="1"/>
  <c r="AU23" i="1" l="1"/>
  <c r="AT32" i="1"/>
  <c r="AX51" i="1"/>
  <c r="AW52" i="1"/>
  <c r="AV52" i="1" s="1"/>
  <c r="I54" i="1"/>
  <c r="AW19" i="1"/>
  <c r="AV19" i="1" s="1"/>
  <c r="AS23" i="1"/>
  <c r="AW39" i="1"/>
  <c r="AV39" i="1" s="1"/>
  <c r="AX52" i="1"/>
  <c r="BC39" i="1"/>
  <c r="H55" i="1"/>
  <c r="H56" i="1"/>
  <c r="AW41" i="1"/>
  <c r="BC41" i="1" s="1"/>
  <c r="I56" i="1"/>
  <c r="BC19" i="1"/>
  <c r="AX41" i="1"/>
  <c r="AW46" i="1"/>
  <c r="I52" i="1"/>
  <c r="AV54" i="1"/>
  <c r="J13" i="1"/>
  <c r="J12" i="1" s="1"/>
  <c r="G11" i="2" s="1"/>
  <c r="AW21" i="1"/>
  <c r="AV21" i="1" s="1"/>
  <c r="AW24" i="1"/>
  <c r="I39" i="1"/>
  <c r="AX46" i="1"/>
  <c r="AW47" i="1"/>
  <c r="AV55" i="1"/>
  <c r="I16" i="1"/>
  <c r="H21" i="1"/>
  <c r="AX21" i="1"/>
  <c r="H41" i="1"/>
  <c r="AW55" i="1"/>
  <c r="AT45" i="1"/>
  <c r="C27" i="4"/>
  <c r="C28" i="4"/>
  <c r="F28" i="4" s="1"/>
  <c r="C21" i="4"/>
  <c r="AS45" i="1"/>
  <c r="C20" i="4"/>
  <c r="I44" i="1"/>
  <c r="I43" i="1" s="1"/>
  <c r="F16" i="2" s="1"/>
  <c r="AW44" i="1"/>
  <c r="AX44" i="1"/>
  <c r="AX37" i="1"/>
  <c r="H37" i="1"/>
  <c r="C16" i="4"/>
  <c r="C17" i="4"/>
  <c r="J23" i="1"/>
  <c r="G14" i="2" s="1"/>
  <c r="I14" i="2" s="1"/>
  <c r="AT23" i="1"/>
  <c r="H24" i="1"/>
  <c r="AV28" i="1"/>
  <c r="BC28" i="1"/>
  <c r="BC14" i="1"/>
  <c r="AV14" i="1"/>
  <c r="AU13" i="1"/>
  <c r="AV15" i="1"/>
  <c r="BC15" i="1"/>
  <c r="AU45" i="1"/>
  <c r="AV33" i="1"/>
  <c r="BC33" i="1"/>
  <c r="C18" i="4"/>
  <c r="AV16" i="1"/>
  <c r="BC16" i="1"/>
  <c r="AU32" i="1"/>
  <c r="BC55" i="1"/>
  <c r="BH26" i="1"/>
  <c r="AB26" i="1" s="1"/>
  <c r="BH33" i="1"/>
  <c r="AB33" i="1" s="1"/>
  <c r="I55" i="1"/>
  <c r="AX16" i="1"/>
  <c r="I17" i="1"/>
  <c r="AW17" i="1"/>
  <c r="H19" i="1"/>
  <c r="AX30" i="1"/>
  <c r="BC30" i="1" s="1"/>
  <c r="AX35" i="1"/>
  <c r="AV35" i="1" s="1"/>
  <c r="I37" i="1"/>
  <c r="AW37" i="1"/>
  <c r="H39" i="1"/>
  <c r="H44" i="1"/>
  <c r="H43" i="1" s="1"/>
  <c r="E16" i="2" s="1"/>
  <c r="AX50" i="1"/>
  <c r="AV50" i="1" s="1"/>
  <c r="I51" i="1"/>
  <c r="AW51" i="1"/>
  <c r="H52" i="1"/>
  <c r="BH28" i="1"/>
  <c r="AB28" i="1" s="1"/>
  <c r="J32" i="1"/>
  <c r="AV53" i="1"/>
  <c r="BH14" i="1"/>
  <c r="BI55" i="1"/>
  <c r="AC55" i="1" s="1"/>
  <c r="BI56" i="1"/>
  <c r="AG56" i="1" s="1"/>
  <c r="C19" i="4" s="1"/>
  <c r="AV56" i="1"/>
  <c r="BI14" i="1"/>
  <c r="H14" i="1"/>
  <c r="I24" i="1"/>
  <c r="H26" i="1"/>
  <c r="I14" i="1"/>
  <c r="H15" i="1"/>
  <c r="AX24" i="1"/>
  <c r="AV24" i="1" s="1"/>
  <c r="I26" i="1"/>
  <c r="H28" i="1"/>
  <c r="H33" i="1"/>
  <c r="AL44" i="1"/>
  <c r="AU43" i="1" s="1"/>
  <c r="AX47" i="1"/>
  <c r="AV47" i="1" s="1"/>
  <c r="I48" i="1"/>
  <c r="AW48" i="1"/>
  <c r="H49" i="1"/>
  <c r="BH48" i="1"/>
  <c r="AB48" i="1" s="1"/>
  <c r="BH15" i="1"/>
  <c r="BH16" i="1"/>
  <c r="BI28" i="1"/>
  <c r="AC28" i="1" s="1"/>
  <c r="BH30" i="1"/>
  <c r="AF30" i="1" s="1"/>
  <c r="BI33" i="1"/>
  <c r="AC33" i="1" s="1"/>
  <c r="BH35" i="1"/>
  <c r="AB35" i="1" s="1"/>
  <c r="BH50" i="1"/>
  <c r="AB50" i="1" s="1"/>
  <c r="I15" i="1"/>
  <c r="H16" i="1"/>
  <c r="AX26" i="1"/>
  <c r="AV26" i="1" s="1"/>
  <c r="I28" i="1"/>
  <c r="H30" i="1"/>
  <c r="I33" i="1"/>
  <c r="H35" i="1"/>
  <c r="J45" i="1"/>
  <c r="AX48" i="1"/>
  <c r="I49" i="1"/>
  <c r="AW49" i="1"/>
  <c r="H50" i="1"/>
  <c r="BI47" i="1"/>
  <c r="AC47" i="1" s="1"/>
  <c r="BI15" i="1"/>
  <c r="BI49" i="1"/>
  <c r="AC49" i="1" s="1"/>
  <c r="BC26" i="1" l="1"/>
  <c r="G12" i="2"/>
  <c r="I12" i="2" s="1"/>
  <c r="BC52" i="1"/>
  <c r="AV41" i="1"/>
  <c r="BC46" i="1"/>
  <c r="AV46" i="1"/>
  <c r="BC35" i="1"/>
  <c r="AV30" i="1"/>
  <c r="BC21" i="1"/>
  <c r="H45" i="1"/>
  <c r="E17" i="2" s="1"/>
  <c r="C14" i="4"/>
  <c r="C15" i="4"/>
  <c r="I45" i="1"/>
  <c r="F17" i="2" s="1"/>
  <c r="BC47" i="1"/>
  <c r="BC44" i="1"/>
  <c r="AV44" i="1"/>
  <c r="H23" i="1"/>
  <c r="BC24" i="1"/>
  <c r="E14" i="2"/>
  <c r="BC48" i="1"/>
  <c r="AV48" i="1"/>
  <c r="G17" i="2"/>
  <c r="I17" i="2" s="1"/>
  <c r="I32" i="1"/>
  <c r="F15" i="2" s="1"/>
  <c r="I13" i="1"/>
  <c r="BC50" i="1"/>
  <c r="AV17" i="1"/>
  <c r="BC17" i="1"/>
  <c r="I23" i="1"/>
  <c r="AV49" i="1"/>
  <c r="BC49" i="1"/>
  <c r="H32" i="1"/>
  <c r="E15" i="2" s="1"/>
  <c r="H13" i="1"/>
  <c r="J22" i="1"/>
  <c r="G13" i="2" s="1"/>
  <c r="G15" i="2"/>
  <c r="I15" i="2" s="1"/>
  <c r="J57" i="1"/>
  <c r="AV51" i="1"/>
  <c r="BC51" i="1"/>
  <c r="AV37" i="1"/>
  <c r="BC37" i="1"/>
  <c r="C22" i="4" l="1"/>
  <c r="I22" i="4" s="1"/>
  <c r="C29" i="4" s="1"/>
  <c r="F29" i="4" s="1"/>
  <c r="H22" i="1"/>
  <c r="E13" i="2" s="1"/>
  <c r="G18" i="2"/>
  <c r="I12" i="1"/>
  <c r="F11" i="2" s="1"/>
  <c r="F12" i="2"/>
  <c r="H12" i="1"/>
  <c r="E11" i="2" s="1"/>
  <c r="E12" i="2"/>
  <c r="I22" i="1"/>
  <c r="F13" i="2" s="1"/>
  <c r="F14" i="2"/>
  <c r="I28" i="4" l="1"/>
  <c r="I29" i="4" s="1"/>
  <c r="H27" i="5"/>
  <c r="I27" i="5" s="1"/>
  <c r="F29" i="5" s="1"/>
</calcChain>
</file>

<file path=xl/sharedStrings.xml><?xml version="1.0" encoding="utf-8"?>
<sst xmlns="http://schemas.openxmlformats.org/spreadsheetml/2006/main" count="915" uniqueCount="263">
  <si>
    <t>Soupis prací s výkazem výměr</t>
  </si>
  <si>
    <t>Název stavby:</t>
  </si>
  <si>
    <t>VÝMĚNA OSVĚTLENÍ NA STADIONU SRBSKÁ - BRNO</t>
  </si>
  <si>
    <t>Doba výstavby:</t>
  </si>
  <si>
    <t>55 dní</t>
  </si>
  <si>
    <t>Objednatel:</t>
  </si>
  <si>
    <t>STAREZ - SPORT, a.s.</t>
  </si>
  <si>
    <t>Druh stavby:</t>
  </si>
  <si>
    <t>Stavba technické sportovní infrastruktury</t>
  </si>
  <si>
    <t>Začátek výstavby:</t>
  </si>
  <si>
    <t>22.06.2026</t>
  </si>
  <si>
    <t>Projektant</t>
  </si>
  <si>
    <t>MV PROJEKTA s.r.o.</t>
  </si>
  <si>
    <t>Lokalita:</t>
  </si>
  <si>
    <t>Brno - Srbská ulice</t>
  </si>
  <si>
    <t>Konec výstavby:</t>
  </si>
  <si>
    <t>15.08.2026</t>
  </si>
  <si>
    <t>Zhotovitel:</t>
  </si>
  <si>
    <t> </t>
  </si>
  <si>
    <t>JKSO:</t>
  </si>
  <si>
    <t>813397</t>
  </si>
  <si>
    <t>Zpracováno dne:</t>
  </si>
  <si>
    <t>19.11.2025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</si>
  <si>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</si>
  <si>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</si>
  <si>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</si>
  <si>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</si>
  <si>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</si>
  <si>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</si>
  <si>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</si>
  <si>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</si>
  <si>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</si>
  <si>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</si>
  <si>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</si>
  <si>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</si>
  <si>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 xml:space="preserve"> 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</si>
  <si>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</si>
  <si>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</si>
  <si>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</si>
  <si>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</si>
  <si>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</si>
  <si>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</si>
  <si>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</si>
  <si>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</si>
  <si>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</si>
  <si>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</si>
  <si>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</si>
  <si>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</si>
  <si>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</si>
  <si>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</si>
  <si>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</si>
  <si>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</si>
  <si>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</si>
  <si>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</si>
  <si>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</si>
  <si>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HSV</t>
  </si>
  <si>
    <t>S</t>
  </si>
  <si>
    <t>Přesuny sutí</t>
  </si>
  <si>
    <t>1</t>
  </si>
  <si>
    <t>979951132R00</t>
  </si>
  <si>
    <t>Výkup kovů - hliník, profily</t>
  </si>
  <si>
    <t>t</t>
  </si>
  <si>
    <t>RTS II / 2025</t>
  </si>
  <si>
    <t>5</t>
  </si>
  <si>
    <t>10_S_</t>
  </si>
  <si>
    <t>10_9_</t>
  </si>
  <si>
    <t>_</t>
  </si>
  <si>
    <t>P</t>
  </si>
  <si>
    <t>2</t>
  </si>
  <si>
    <t>979981101R00</t>
  </si>
  <si>
    <t>Kontejner, přistavení na 24 h, odvoz a likvidace, suť bez příměsí, kapacita 3 t</t>
  </si>
  <si>
    <t>3</t>
  </si>
  <si>
    <t>979086213R00</t>
  </si>
  <si>
    <t>Nakládání vybouraných hmot na dopravní prostředek</t>
  </si>
  <si>
    <t>4</t>
  </si>
  <si>
    <t>979081111RT2</t>
  </si>
  <si>
    <t>Odvoz suti a vybour. hmot na skládku do 1 km</t>
  </si>
  <si>
    <t>Varianta:</t>
  </si>
  <si>
    <t>kontejnerem 4 t</t>
  </si>
  <si>
    <t>979081121RT3</t>
  </si>
  <si>
    <t>Příplatek k odvozu za každý další 1 km</t>
  </si>
  <si>
    <t>kontejnerem 7 t</t>
  </si>
  <si>
    <t>6</t>
  </si>
  <si>
    <t>979990163R00</t>
  </si>
  <si>
    <t>Poplatek za uložení suti - plast + sklo, skupina odpadu 170904</t>
  </si>
  <si>
    <t>Montáže</t>
  </si>
  <si>
    <t>M21-m</t>
  </si>
  <si>
    <t>Dodávka rozváděčů a ostatních zařízení</t>
  </si>
  <si>
    <t>7</t>
  </si>
  <si>
    <t>316821001IM</t>
  </si>
  <si>
    <t>Úprava rozvaděče RO (ovládání v rozhlasovně) - cena za dodávku i montáž potřebnou k provedení úpravy dle PD</t>
  </si>
  <si>
    <t>ks</t>
  </si>
  <si>
    <t>M21</t>
  </si>
  <si>
    <t>M1_M21-m_</t>
  </si>
  <si>
    <t>M1_9_</t>
  </si>
  <si>
    <t>M21_</t>
  </si>
  <si>
    <t>kompletní cena za dodávku a montáž</t>
  </si>
  <si>
    <t>8</t>
  </si>
  <si>
    <t>Dodávka nových rozvaděčů pod stožáry, nerezový pilíř, IP54, jištění spínání osvětlení, zásuvky, napojení ostatních zařízení</t>
  </si>
  <si>
    <t>9</t>
  </si>
  <si>
    <t>Krabice plastová na výložníky  stožárů s přívodem (2x AYKYz 4x25) a vývody pro svítidla, náplň svorkovnice dle přívodního kabelu s vývody</t>
  </si>
  <si>
    <t>10</t>
  </si>
  <si>
    <t>316821004VD</t>
  </si>
  <si>
    <t>Řídící jednotka LED svítidel do rozvaděče - systém řízení nižších světelných hladin pomocí stmívání (min. 5 scén) a světelné show (min 3. show scény)</t>
  </si>
  <si>
    <t>kpl.</t>
  </si>
  <si>
    <t>2025/II</t>
  </si>
  <si>
    <t>M21-nmat</t>
  </si>
  <si>
    <t>Nosný materiál</t>
  </si>
  <si>
    <t>11</t>
  </si>
  <si>
    <t>284211402IM</t>
  </si>
  <si>
    <t>Kabel s PVC izolací, částečně v kabelových chráničkách, roštu, žlabech, trubkách, kompletní dodávka včetně montáže a zapojení</t>
  </si>
  <si>
    <t>m</t>
  </si>
  <si>
    <t>M1_M21-nmat_</t>
  </si>
  <si>
    <t>CYKY J 4x2,5</t>
  </si>
  <si>
    <t>12</t>
  </si>
  <si>
    <t>Kabel s PVC izolací, částečně v kabelových chráničkách, roštu, žlabech, kompletní dodávka včetně montáže a zapojení</t>
  </si>
  <si>
    <t>AYKYz J 4x25</t>
  </si>
  <si>
    <t>13</t>
  </si>
  <si>
    <t>Příchytky na kabelový rošt na stávající kabelovou lávku na stožárech</t>
  </si>
  <si>
    <t>sonap</t>
  </si>
  <si>
    <t>14</t>
  </si>
  <si>
    <t>Plastová lišta vkládací na zdi bílá, dodávka včetně montáže a podružného materiálu (hmoždinky …)</t>
  </si>
  <si>
    <t>25x20</t>
  </si>
  <si>
    <t>15</t>
  </si>
  <si>
    <t>Plechový žlab pozinkovaný na podpěrách, na výložnících stožárů, dodávka včetně spojek, propojek, podpěr a montáže pro cyky 4x2,5mm2</t>
  </si>
  <si>
    <t>50x62</t>
  </si>
  <si>
    <t>M21-s</t>
  </si>
  <si>
    <t>Svítidla a materiál pro osvětlení</t>
  </si>
  <si>
    <t>16</t>
  </si>
  <si>
    <t>3152400001VD</t>
  </si>
  <si>
    <t>LED svítidla včetně kompletního příslušenství a montážních prvků_(dle přesné specifikace v PD)</t>
  </si>
  <si>
    <t>M1_M21-s_</t>
  </si>
  <si>
    <t>HZS</t>
  </si>
  <si>
    <t>17</t>
  </si>
  <si>
    <t>509000004IM</t>
  </si>
  <si>
    <t>Použití mechanizace (plošina)</t>
  </si>
  <si>
    <t>M5_HZS_</t>
  </si>
  <si>
    <t>M5_9_</t>
  </si>
  <si>
    <t>18</t>
  </si>
  <si>
    <t>Demontáže stávajících tlumivek v rozvaděčích RS1- RS 4</t>
  </si>
  <si>
    <t>19</t>
  </si>
  <si>
    <t>Demontáže rozvaděčových skříní RS1 až RS4</t>
  </si>
  <si>
    <t>20</t>
  </si>
  <si>
    <t>Demontáže stávajících svítidel na stožárech, výškové práce</t>
  </si>
  <si>
    <t>21</t>
  </si>
  <si>
    <t>Montáže nových svítidel na stožárech, výškové práce</t>
  </si>
  <si>
    <t>22</t>
  </si>
  <si>
    <t>Demontáže kabelů na stožárech a v trase</t>
  </si>
  <si>
    <t>23</t>
  </si>
  <si>
    <t>Odladění systému a nastavení svítidel</t>
  </si>
  <si>
    <t>24</t>
  </si>
  <si>
    <t>Dokumentace skutečného provedení (DSPS), spolupráce s projektantem</t>
  </si>
  <si>
    <t>25</t>
  </si>
  <si>
    <t>Spolupráce s revizním technikem a investorem</t>
  </si>
  <si>
    <t>26</t>
  </si>
  <si>
    <t>Výchozí revize</t>
  </si>
  <si>
    <t>27</t>
  </si>
  <si>
    <t>509000011VD</t>
  </si>
  <si>
    <t>Závěrečné měření intenzity osvětlení s doložením protokolu laboratorního měření</t>
  </si>
  <si>
    <t>Celkem:</t>
  </si>
  <si>
    <t>Poznámka:</t>
  </si>
  <si>
    <t>Rozpočet je zpracován podle ceníků platných v době zhotovení projektu.				
Je orientační, konkrétní cena bude určena dodavatelskou firmou.				
Trubky jsou uváděny s vnitřním průměrem.				
V případě ojedinělého použití obchodních názvů ve specifikacích se jedná pouze o příklady 				
kvalitativního (technického) standartu provedení (výrobku, materiálu) nikterak neznemožňující 				
(neomezující) použití i jiných kvalitativně i technicky obdobných (srovnatelných) řešení.				
V demontovaném materiálu je zahrnuta i cena za jeho ekologickou likvidaci.</t>
  </si>
  <si>
    <t>Soupis prací s výkazem výměr - rekapitulace</t>
  </si>
  <si>
    <t>Objekt</t>
  </si>
  <si>
    <t>Zkrácený popis</t>
  </si>
  <si>
    <t>Náklady (Kč) - dodávka</t>
  </si>
  <si>
    <t>Náklady (Kč) - Montáž</t>
  </si>
  <si>
    <t>Náklady (Kč) - celkem</t>
  </si>
  <si>
    <t>F</t>
  </si>
  <si>
    <t>T</t>
  </si>
  <si>
    <t>Výkaz výměr</t>
  </si>
  <si>
    <t>Potřebné množství</t>
  </si>
  <si>
    <t>(1,184+0,592)</t>
  </si>
  <si>
    <t>výpočet tonáže - viz. tabulka odpadů B. STZ</t>
  </si>
  <si>
    <t>(0,018+0,126+1,184+0,592+0,296)</t>
  </si>
  <si>
    <t>(0,018+0,126+1,184+0,592+0,296)*9</t>
  </si>
  <si>
    <t>(0,018+0,126+0,296)</t>
  </si>
  <si>
    <t>(1)</t>
  </si>
  <si>
    <t>počet kpl.</t>
  </si>
  <si>
    <t>(4)</t>
  </si>
  <si>
    <t>počet ks</t>
  </si>
  <si>
    <t>počet kpl</t>
  </si>
  <si>
    <t>(320,0)</t>
  </si>
  <si>
    <t>délka vm</t>
  </si>
  <si>
    <t>délka v m</t>
  </si>
  <si>
    <t>(1024)</t>
  </si>
  <si>
    <t>(25,0)</t>
  </si>
  <si>
    <t>(50,0)</t>
  </si>
  <si>
    <t>počet kompletů</t>
  </si>
  <si>
    <t>počet polí</t>
  </si>
  <si>
    <t>počet hod.</t>
  </si>
  <si>
    <t>IČO/DIČ:</t>
  </si>
  <si>
    <t>26932211/CZ26932211</t>
  </si>
  <si>
    <t>22147365/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</si>
  <si>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</si>
  <si>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</si>
  <si>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</si>
  <si>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</si>
  <si>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</si>
  <si>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</si>
  <si>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</si>
  <si>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</si>
  <si>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</si>
  <si>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</si>
  <si>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</si>
  <si>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</si>
  <si>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</si>
  <si>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</si>
  <si>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</si>
  <si>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</si>
  <si>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</si>
  <si>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</si>
  <si>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</si>
  <si>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</si>
  <si>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</si>
  <si>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</si>
  <si>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</si>
  <si>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</si>
  <si>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</si>
  <si>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</si>
  <si>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</si>
  <si>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</si>
  <si>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</si>
  <si>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</si>
  <si>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</si>
  <si>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</si>
  <si>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</si>
  <si>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</si>
  <si>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</si>
  <si>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</si>
  <si>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</si>
  <si>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Objednatel</t>
  </si>
  <si>
    <t>Zhotovitel</t>
  </si>
  <si>
    <t>Datum, razítko a podpis</t>
  </si>
  <si>
    <t xml:space="preserve">Rozpočet je zpracován podle ceníků platných v době zhotovení projektu.				
Je orientační, konkrétní cena bude určena dodavatelskou firmou.				
Trubky jsou uváděny s vnitřním průměrem.				
V případě ojedinělého použití obchodních názvů ve specifikacích se jedná pouze o příklady 				
kvalitativního (technického) standartu provedení (výrobku, materiálu) nikterak neznemožňující 				
(neomezující) použití i jiných kvalitativně i technicky obdobných (srovnatelných) řešení.				
V demontovaném materiálu je zahrnuta i cena za jeho ekologickou likvidaci.				
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</si>
  <si>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</si>
  <si>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</si>
  <si>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</si>
  <si>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</si>
  <si>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</si>
  <si>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</si>
  <si>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</si>
  <si>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</si>
  <si>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</si>
  <si>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</si>
  <si>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</si>
  <si>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</si>
  <si>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316821002IM</t>
  </si>
  <si>
    <t>316821003IM</t>
  </si>
  <si>
    <t>284211401IM</t>
  </si>
  <si>
    <t>284211403IM</t>
  </si>
  <si>
    <t>284200004IM</t>
  </si>
  <si>
    <t>284200005IM</t>
  </si>
  <si>
    <t>509000001IM</t>
  </si>
  <si>
    <t>509000002IM</t>
  </si>
  <si>
    <t>509000003IM</t>
  </si>
  <si>
    <t>509000005IM</t>
  </si>
  <si>
    <t>509000006IM</t>
  </si>
  <si>
    <t>509000007IM</t>
  </si>
  <si>
    <t>509000008IM</t>
  </si>
  <si>
    <t>509000009IM</t>
  </si>
  <si>
    <t>509000010IM</t>
  </si>
  <si>
    <t>Soupis prací s výkazem výměr - k ocenění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</si>
</sst>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charset val="1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DBDBDB"/>
        <bgColor rgb="FFDBDBDB"/>
      </patternFill>
    </fill>
    <fill>
      <patternFill patternType="solid">
        <fgColor rgb="FFCCFFFF"/>
        <bgColor rgb="FFCCFFFF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4" fontId="1" fillId="2" borderId="0" xfId="0" applyNumberFormat="1" applyFont="1" applyFill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5" borderId="29" xfId="0" applyFont="1" applyFill="1" applyBorder="1" applyAlignment="1" applyProtection="1">
      <alignment horizontal="left" vertical="center"/>
      <protection locked="0"/>
    </xf>
    <xf numFmtId="4" fontId="1" fillId="4" borderId="29" xfId="0" applyNumberFormat="1" applyFont="1" applyFill="1" applyBorder="1" applyAlignment="1">
      <alignment horizontal="right" vertical="center"/>
    </xf>
    <xf numFmtId="0" fontId="1" fillId="4" borderId="30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5" xfId="0" applyBorder="1"/>
    <xf numFmtId="0" fontId="3" fillId="0" borderId="0" xfId="0" applyFont="1" applyAlignment="1">
      <alignment horizontal="right" vertical="center"/>
    </xf>
    <xf numFmtId="0" fontId="2" fillId="4" borderId="5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" fontId="1" fillId="4" borderId="0" xfId="0" applyNumberFormat="1" applyFont="1" applyFill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4" fontId="2" fillId="0" borderId="32" xfId="0" applyNumberFormat="1" applyFont="1" applyBorder="1" applyAlignment="1">
      <alignment horizontal="right" vertical="center"/>
    </xf>
    <xf numFmtId="4" fontId="2" fillId="3" borderId="32" xfId="0" applyNumberFormat="1" applyFont="1" applyFill="1" applyBorder="1" applyAlignment="1" applyProtection="1">
      <alignment horizontal="right" vertical="center"/>
      <protection locked="0"/>
    </xf>
    <xf numFmtId="0" fontId="2" fillId="0" borderId="33" xfId="0" applyFont="1" applyBorder="1" applyAlignment="1">
      <alignment horizontal="right" vertical="center"/>
    </xf>
    <xf numFmtId="4" fontId="1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4" fontId="2" fillId="0" borderId="29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38" xfId="0" applyFont="1" applyBorder="1" applyAlignment="1">
      <alignment horizontal="lef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0" fillId="0" borderId="6" xfId="0" applyBorder="1"/>
    <xf numFmtId="0" fontId="1" fillId="2" borderId="5" xfId="0" applyFont="1" applyFill="1" applyBorder="1" applyAlignment="1">
      <alignment horizontal="left" vertical="center"/>
    </xf>
    <xf numFmtId="0" fontId="0" fillId="0" borderId="31" xfId="0" applyBorder="1"/>
    <xf numFmtId="0" fontId="0" fillId="0" borderId="32" xfId="0" applyBorder="1"/>
    <xf numFmtId="0" fontId="5" fillId="0" borderId="32" xfId="0" applyFont="1" applyBorder="1" applyAlignment="1">
      <alignment horizontal="left" vertical="center"/>
    </xf>
    <xf numFmtId="4" fontId="5" fillId="0" borderId="32" xfId="0" applyNumberFormat="1" applyFont="1" applyBorder="1" applyAlignment="1">
      <alignment horizontal="right" vertical="center"/>
    </xf>
    <xf numFmtId="0" fontId="0" fillId="0" borderId="33" xfId="0" applyBorder="1"/>
    <xf numFmtId="0" fontId="7" fillId="2" borderId="4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4" fontId="10" fillId="0" borderId="49" xfId="0" applyNumberFormat="1" applyFont="1" applyBorder="1" applyAlignment="1">
      <alignment horizontal="right" vertical="center"/>
    </xf>
    <xf numFmtId="0" fontId="10" fillId="0" borderId="49" xfId="0" applyFont="1" applyBorder="1" applyAlignment="1">
      <alignment horizontal="right" vertical="center"/>
    </xf>
    <xf numFmtId="0" fontId="9" fillId="0" borderId="52" xfId="0" applyFont="1" applyBorder="1" applyAlignment="1">
      <alignment horizontal="left" vertical="center"/>
    </xf>
    <xf numFmtId="4" fontId="10" fillId="0" borderId="56" xfId="0" applyNumberFormat="1" applyFont="1" applyBorder="1" applyAlignment="1">
      <alignment horizontal="right" vertical="center"/>
    </xf>
    <xf numFmtId="0" fontId="10" fillId="0" borderId="56" xfId="0" applyFont="1" applyBorder="1" applyAlignment="1">
      <alignment horizontal="right" vertical="center"/>
    </xf>
    <xf numFmtId="4" fontId="10" fillId="0" borderId="47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9" fillId="2" borderId="46" xfId="0" applyNumberFormat="1" applyFont="1" applyFill="1" applyBorder="1" applyAlignment="1">
      <alignment horizontal="right" vertical="center"/>
    </xf>
    <xf numFmtId="4" fontId="9" fillId="2" borderId="51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1" fillId="0" borderId="72" xfId="0" applyFont="1" applyBorder="1" applyAlignment="1">
      <alignment horizontal="righ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4" fontId="2" fillId="0" borderId="76" xfId="0" applyNumberFormat="1" applyFont="1" applyBorder="1" applyAlignment="1">
      <alignment horizontal="right" vertical="center"/>
    </xf>
    <xf numFmtId="0" fontId="2" fillId="0" borderId="76" xfId="0" applyFont="1" applyBorder="1" applyAlignment="1">
      <alignment horizontal="left" vertical="center"/>
    </xf>
    <xf numFmtId="0" fontId="1" fillId="0" borderId="80" xfId="0" applyFont="1" applyBorder="1" applyAlignment="1">
      <alignment horizontal="left" vertical="center"/>
    </xf>
    <xf numFmtId="0" fontId="1" fillId="0" borderId="80" xfId="0" applyFont="1" applyBorder="1" applyAlignment="1">
      <alignment horizontal="right" vertical="center"/>
    </xf>
    <xf numFmtId="4" fontId="1" fillId="0" borderId="80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59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2" borderId="60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0" fontId="1" fillId="0" borderId="78" xfId="0" applyFont="1" applyBorder="1" applyAlignment="1">
      <alignment horizontal="left" vertical="center"/>
    </xf>
    <xf numFmtId="0" fontId="1" fillId="0" borderId="79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/>
    </xf>
    <xf numFmtId="0" fontId="9" fillId="0" borderId="79" xfId="0" applyFont="1" applyBorder="1" applyAlignment="1">
      <alignment horizontal="left" vertical="center"/>
    </xf>
    <xf numFmtId="4" fontId="9" fillId="0" borderId="81" xfId="0" applyNumberFormat="1" applyFont="1" applyBorder="1" applyAlignment="1">
      <alignment horizontal="right" vertical="center"/>
    </xf>
    <xf numFmtId="0" fontId="9" fillId="0" borderId="78" xfId="0" applyFont="1" applyBorder="1" applyAlignment="1">
      <alignment horizontal="right" vertical="center"/>
    </xf>
    <xf numFmtId="0" fontId="9" fillId="0" borderId="79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workbookViewId="0">
      <selection sqref="A1:I1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1</v>
      </c>
      <c r="B2" s="100"/>
      <c r="C2" s="109" t="str">
        <f>'Položkový soupis-k ocenění'!C2</f>
        <v>VÝMĚNA OSVĚTLENÍ NA STADIONU SRBSKÁ - BRNO</v>
      </c>
      <c r="D2" s="110"/>
      <c r="E2" s="104" t="s">
        <v>5</v>
      </c>
      <c r="F2" s="104" t="str">
        <f>'Položkový soupis-k ocenění'!I2</f>
        <v>STAREZ - SPORT, a.s.</v>
      </c>
      <c r="G2" s="100"/>
      <c r="H2" s="104" t="s">
        <v>191</v>
      </c>
      <c r="I2" s="106" t="s">
        <v>192</v>
      </c>
    </row>
    <row r="3" spans="1:9" ht="15" customHeight="1" x14ac:dyDescent="0.25">
      <c r="A3" s="101"/>
      <c r="B3" s="102"/>
      <c r="C3" s="111"/>
      <c r="D3" s="111"/>
      <c r="E3" s="102"/>
      <c r="F3" s="102"/>
      <c r="G3" s="102"/>
      <c r="H3" s="102"/>
      <c r="I3" s="107"/>
    </row>
    <row r="4" spans="1:9" x14ac:dyDescent="0.25">
      <c r="A4" s="103" t="s">
        <v>7</v>
      </c>
      <c r="B4" s="102"/>
      <c r="C4" s="105" t="str">
        <f>'Položkový soupis-k ocenění'!C4</f>
        <v>Stavba technické sportovní infrastruktury</v>
      </c>
      <c r="D4" s="102"/>
      <c r="E4" s="105" t="s">
        <v>11</v>
      </c>
      <c r="F4" s="105" t="str">
        <f>'Položkový soupis-k ocenění'!I4</f>
        <v>MV PROJEKTA s.r.o.</v>
      </c>
      <c r="G4" s="102"/>
      <c r="H4" s="105" t="s">
        <v>191</v>
      </c>
      <c r="I4" s="107" t="s">
        <v>193</v>
      </c>
    </row>
    <row r="5" spans="1:9" ht="15" customHeight="1" x14ac:dyDescent="0.25">
      <c r="A5" s="101"/>
      <c r="B5" s="102"/>
      <c r="C5" s="102"/>
      <c r="D5" s="102"/>
      <c r="E5" s="102"/>
      <c r="F5" s="102"/>
      <c r="G5" s="102"/>
      <c r="H5" s="102"/>
      <c r="I5" s="107"/>
    </row>
    <row r="6" spans="1:9" x14ac:dyDescent="0.25">
      <c r="A6" s="103" t="s">
        <v>13</v>
      </c>
      <c r="B6" s="102"/>
      <c r="C6" s="105" t="str">
        <f>'Položkový soupis-k ocenění'!C6</f>
        <v>Brno - Srbská ulice</v>
      </c>
      <c r="D6" s="102"/>
      <c r="E6" s="105" t="s">
        <v>17</v>
      </c>
      <c r="F6" s="105" t="str">
        <f>'Položkový soupis-k ocenění'!I6</f>
        <v> </v>
      </c>
      <c r="G6" s="102"/>
      <c r="H6" s="105" t="s">
        <v>191</v>
      </c>
      <c r="I6" s="107" t="s">
        <v>54</v>
      </c>
    </row>
    <row r="7" spans="1:9" ht="15" customHeight="1" x14ac:dyDescent="0.25">
      <c r="A7" s="101"/>
      <c r="B7" s="102"/>
      <c r="C7" s="102"/>
      <c r="D7" s="102"/>
      <c r="E7" s="102"/>
      <c r="F7" s="102"/>
      <c r="G7" s="102"/>
      <c r="H7" s="102"/>
      <c r="I7" s="107"/>
    </row>
    <row r="8" spans="1:9" x14ac:dyDescent="0.25">
      <c r="A8" s="103" t="s">
        <v>9</v>
      </c>
      <c r="B8" s="102"/>
      <c r="C8" s="105" t="str">
        <f>'Položkový soupis-k ocenění'!G4</f>
        <v>22.06.2026</v>
      </c>
      <c r="D8" s="102"/>
      <c r="E8" s="105" t="s">
        <v>15</v>
      </c>
      <c r="F8" s="105" t="str">
        <f>'Položkový soupis-k ocenění'!G6</f>
        <v>15.08.2026</v>
      </c>
      <c r="G8" s="102"/>
      <c r="H8" s="102" t="s">
        <v>194</v>
      </c>
      <c r="I8" s="108">
        <v>27</v>
      </c>
    </row>
    <row r="9" spans="1:9" x14ac:dyDescent="0.25">
      <c r="A9" s="101"/>
      <c r="B9" s="102"/>
      <c r="C9" s="102"/>
      <c r="D9" s="102"/>
      <c r="E9" s="102"/>
      <c r="F9" s="102"/>
      <c r="G9" s="102"/>
      <c r="H9" s="102"/>
      <c r="I9" s="107"/>
    </row>
    <row r="10" spans="1:9" x14ac:dyDescent="0.25">
      <c r="A10" s="103" t="s">
        <v>19</v>
      </c>
      <c r="B10" s="102"/>
      <c r="C10" s="105" t="str">
        <f>'Položkový soupis-k ocenění'!C8</f>
        <v>813397</v>
      </c>
      <c r="D10" s="102"/>
      <c r="E10" s="105" t="s">
        <v>23</v>
      </c>
      <c r="F10" s="105" t="str">
        <f>'Položkový soupis-k ocenění'!I8</f>
        <v>MV PROJEKTA s.r.o.</v>
      </c>
      <c r="G10" s="102"/>
      <c r="H10" s="102" t="s">
        <v>195</v>
      </c>
      <c r="I10" s="113" t="str">
        <f>'Položkový soupis-k ocenění'!G8</f>
        <v>19.11.2025</v>
      </c>
    </row>
    <row r="11" spans="1:9" x14ac:dyDescent="0.25">
      <c r="A11" s="118"/>
      <c r="B11" s="112"/>
      <c r="C11" s="112"/>
      <c r="D11" s="112"/>
      <c r="E11" s="112"/>
      <c r="F11" s="112"/>
      <c r="G11" s="112"/>
      <c r="H11" s="112"/>
      <c r="I11" s="114"/>
    </row>
    <row r="12" spans="1:9" ht="23.25" x14ac:dyDescent="0.25">
      <c r="A12" s="115" t="s">
        <v>196</v>
      </c>
      <c r="B12" s="115"/>
      <c r="C12" s="115"/>
      <c r="D12" s="115"/>
      <c r="E12" s="115"/>
      <c r="F12" s="115"/>
      <c r="G12" s="115"/>
      <c r="H12" s="115"/>
      <c r="I12" s="115"/>
    </row>
    <row r="13" spans="1:9" ht="26.25" customHeight="1" x14ac:dyDescent="0.25">
      <c r="A13" s="74" t="s">
        <v>197</v>
      </c>
      <c r="B13" s="116" t="s">
        <v>198</v>
      </c>
      <c r="C13" s="117"/>
      <c r="D13" s="75" t="s">
        <v>199</v>
      </c>
      <c r="E13" s="116" t="s">
        <v>200</v>
      </c>
      <c r="F13" s="117"/>
      <c r="G13" s="75" t="s">
        <v>201</v>
      </c>
      <c r="H13" s="116" t="s">
        <v>202</v>
      </c>
      <c r="I13" s="117"/>
    </row>
    <row r="14" spans="1:9" ht="15.75" x14ac:dyDescent="0.25">
      <c r="A14" s="76" t="s">
        <v>55</v>
      </c>
      <c r="B14" s="77" t="s">
        <v>203</v>
      </c>
      <c r="C14" s="78">
        <f>SUM('Položkový soupis-k ocenění'!AB12:AB113)</f>
        <v>0</v>
      </c>
      <c r="D14" s="125" t="s">
        <v>204</v>
      </c>
      <c r="E14" s="126"/>
      <c r="F14" s="78">
        <f>VORN!I15</f>
        <v>0</v>
      </c>
      <c r="G14" s="125" t="s">
        <v>205</v>
      </c>
      <c r="H14" s="126"/>
      <c r="I14" s="79">
        <f>VORN!I21</f>
        <v>0</v>
      </c>
    </row>
    <row r="15" spans="1:9" ht="15.75" x14ac:dyDescent="0.25">
      <c r="A15" s="80" t="s">
        <v>54</v>
      </c>
      <c r="B15" s="77" t="s">
        <v>39</v>
      </c>
      <c r="C15" s="78">
        <f>SUM('Položkový soupis-k ocenění'!AC12:AC113)</f>
        <v>0</v>
      </c>
      <c r="D15" s="125" t="s">
        <v>206</v>
      </c>
      <c r="E15" s="126"/>
      <c r="F15" s="78">
        <f>VORN!I16</f>
        <v>0</v>
      </c>
      <c r="G15" s="125" t="s">
        <v>207</v>
      </c>
      <c r="H15" s="126"/>
      <c r="I15" s="79">
        <f>VORN!I22</f>
        <v>0</v>
      </c>
    </row>
    <row r="16" spans="1:9" ht="15.75" x14ac:dyDescent="0.25">
      <c r="A16" s="76" t="s">
        <v>208</v>
      </c>
      <c r="B16" s="77" t="s">
        <v>203</v>
      </c>
      <c r="C16" s="78">
        <f>SUM('Položkový soupis-k ocenění'!AD12:AD113)</f>
        <v>0</v>
      </c>
      <c r="D16" s="125" t="s">
        <v>209</v>
      </c>
      <c r="E16" s="126"/>
      <c r="F16" s="78">
        <f>VORN!I17</f>
        <v>0</v>
      </c>
      <c r="G16" s="125" t="s">
        <v>210</v>
      </c>
      <c r="H16" s="126"/>
      <c r="I16" s="79">
        <f>VORN!I23</f>
        <v>0</v>
      </c>
    </row>
    <row r="17" spans="1:9" ht="15.75" x14ac:dyDescent="0.25">
      <c r="A17" s="80" t="s">
        <v>54</v>
      </c>
      <c r="B17" s="77" t="s">
        <v>39</v>
      </c>
      <c r="C17" s="78">
        <f>SUM('Položkový soupis-k ocenění'!AE12:AE113)</f>
        <v>0</v>
      </c>
      <c r="D17" s="125" t="s">
        <v>54</v>
      </c>
      <c r="E17" s="126"/>
      <c r="F17" s="79" t="s">
        <v>54</v>
      </c>
      <c r="G17" s="125" t="s">
        <v>211</v>
      </c>
      <c r="H17" s="126"/>
      <c r="I17" s="79">
        <f>VORN!I24</f>
        <v>0</v>
      </c>
    </row>
    <row r="18" spans="1:9" ht="15.75" x14ac:dyDescent="0.25">
      <c r="A18" s="76" t="s">
        <v>212</v>
      </c>
      <c r="B18" s="77" t="s">
        <v>203</v>
      </c>
      <c r="C18" s="78">
        <f>SUM('Položkový soupis-k ocenění'!AF12:AF113)</f>
        <v>0</v>
      </c>
      <c r="D18" s="125" t="s">
        <v>54</v>
      </c>
      <c r="E18" s="126"/>
      <c r="F18" s="79" t="s">
        <v>54</v>
      </c>
      <c r="G18" s="125" t="s">
        <v>213</v>
      </c>
      <c r="H18" s="126"/>
      <c r="I18" s="79">
        <f>VORN!I25</f>
        <v>0</v>
      </c>
    </row>
    <row r="19" spans="1:9" ht="15.75" x14ac:dyDescent="0.25">
      <c r="A19" s="80" t="s">
        <v>54</v>
      </c>
      <c r="B19" s="77" t="s">
        <v>39</v>
      </c>
      <c r="C19" s="78">
        <f>SUM('Položkový soupis-k ocenění'!AG12:AG113)</f>
        <v>0</v>
      </c>
      <c r="D19" s="125" t="s">
        <v>54</v>
      </c>
      <c r="E19" s="126"/>
      <c r="F19" s="79" t="s">
        <v>54</v>
      </c>
      <c r="G19" s="125" t="s">
        <v>214</v>
      </c>
      <c r="H19" s="126"/>
      <c r="I19" s="79">
        <f>VORN!I26</f>
        <v>0</v>
      </c>
    </row>
    <row r="20" spans="1:9" ht="15.75" x14ac:dyDescent="0.25">
      <c r="A20" s="119" t="s">
        <v>215</v>
      </c>
      <c r="B20" s="120"/>
      <c r="C20" s="78">
        <f>SUM('Položkový soupis-k ocenění'!AH12:AH113)</f>
        <v>0</v>
      </c>
      <c r="D20" s="125" t="s">
        <v>54</v>
      </c>
      <c r="E20" s="126"/>
      <c r="F20" s="79" t="s">
        <v>54</v>
      </c>
      <c r="G20" s="125" t="s">
        <v>54</v>
      </c>
      <c r="H20" s="126"/>
      <c r="I20" s="79" t="s">
        <v>54</v>
      </c>
    </row>
    <row r="21" spans="1:9" ht="15.75" x14ac:dyDescent="0.25">
      <c r="A21" s="121" t="s">
        <v>216</v>
      </c>
      <c r="B21" s="122"/>
      <c r="C21" s="81">
        <f>SUM('Položkový soupis-k ocenění'!Z12:Z113)</f>
        <v>0</v>
      </c>
      <c r="D21" s="127" t="s">
        <v>54</v>
      </c>
      <c r="E21" s="128"/>
      <c r="F21" s="82" t="s">
        <v>54</v>
      </c>
      <c r="G21" s="127" t="s">
        <v>54</v>
      </c>
      <c r="H21" s="128"/>
      <c r="I21" s="82" t="s">
        <v>54</v>
      </c>
    </row>
    <row r="22" spans="1:9" ht="16.5" customHeight="1" x14ac:dyDescent="0.25">
      <c r="A22" s="123" t="s">
        <v>217</v>
      </c>
      <c r="B22" s="124"/>
      <c r="C22" s="83">
        <f>ROUND(SUM(C14:C21),0)</f>
        <v>0</v>
      </c>
      <c r="D22" s="129" t="s">
        <v>218</v>
      </c>
      <c r="E22" s="124"/>
      <c r="F22" s="83">
        <f>SUM(F14:F21)</f>
        <v>0</v>
      </c>
      <c r="G22" s="129" t="s">
        <v>219</v>
      </c>
      <c r="H22" s="124"/>
      <c r="I22" s="83">
        <f>ROUND(C22*(4.35/100),2)</f>
        <v>0</v>
      </c>
    </row>
    <row r="23" spans="1:9" ht="15.75" x14ac:dyDescent="0.25">
      <c r="D23" s="119" t="s">
        <v>220</v>
      </c>
      <c r="E23" s="120"/>
      <c r="F23" s="84">
        <v>0</v>
      </c>
      <c r="G23" s="130" t="s">
        <v>221</v>
      </c>
      <c r="H23" s="120"/>
      <c r="I23" s="78">
        <v>0</v>
      </c>
    </row>
    <row r="24" spans="1:9" ht="15.75" x14ac:dyDescent="0.25">
      <c r="G24" s="119" t="s">
        <v>222</v>
      </c>
      <c r="H24" s="120"/>
      <c r="I24" s="81">
        <f>vorn_sum</f>
        <v>0</v>
      </c>
    </row>
    <row r="25" spans="1:9" ht="15.75" x14ac:dyDescent="0.25">
      <c r="G25" s="119" t="s">
        <v>223</v>
      </c>
      <c r="H25" s="120"/>
      <c r="I25" s="83">
        <v>0</v>
      </c>
    </row>
    <row r="27" spans="1:9" ht="15.75" x14ac:dyDescent="0.25">
      <c r="A27" s="131" t="s">
        <v>224</v>
      </c>
      <c r="B27" s="132"/>
      <c r="C27" s="85">
        <f>ROUND(SUM('Položkový soupis-k ocenění'!AJ12:AJ113),0)</f>
        <v>0</v>
      </c>
    </row>
    <row r="28" spans="1:9" ht="15.75" x14ac:dyDescent="0.25">
      <c r="A28" s="133" t="s">
        <v>225</v>
      </c>
      <c r="B28" s="134"/>
      <c r="C28" s="86">
        <f>ROUND(SUM('Položkový soupis-k ocenění'!AK12:AK113),0)</f>
        <v>0</v>
      </c>
      <c r="D28" s="135" t="s">
        <v>226</v>
      </c>
      <c r="E28" s="132"/>
      <c r="F28" s="85">
        <f>ROUND(C28*(12/100),2)</f>
        <v>0</v>
      </c>
      <c r="G28" s="135" t="s">
        <v>227</v>
      </c>
      <c r="H28" s="132"/>
      <c r="I28" s="85">
        <f>ROUND(SUM(C27:C29),0)</f>
        <v>0</v>
      </c>
    </row>
    <row r="29" spans="1:9" ht="15.75" x14ac:dyDescent="0.25">
      <c r="A29" s="133" t="s">
        <v>228</v>
      </c>
      <c r="B29" s="134"/>
      <c r="C29" s="86">
        <f>ROUND(SUM('Položkový soupis-k ocenění'!AL12:AL113)+(F22+I22+F23+I23+I24+I25),0)</f>
        <v>0</v>
      </c>
      <c r="D29" s="136" t="s">
        <v>229</v>
      </c>
      <c r="E29" s="134"/>
      <c r="F29" s="86">
        <f>ROUND(C29*(21/100),2)</f>
        <v>0</v>
      </c>
      <c r="G29" s="136" t="s">
        <v>230</v>
      </c>
      <c r="H29" s="134"/>
      <c r="I29" s="86">
        <f>ROUND(SUM(F28:F29)+I28,0)</f>
        <v>0</v>
      </c>
    </row>
    <row r="31" spans="1:9" x14ac:dyDescent="0.25">
      <c r="A31" s="146" t="s">
        <v>11</v>
      </c>
      <c r="B31" s="138"/>
      <c r="C31" s="139"/>
      <c r="D31" s="137" t="s">
        <v>231</v>
      </c>
      <c r="E31" s="138"/>
      <c r="F31" s="139"/>
      <c r="G31" s="137" t="s">
        <v>232</v>
      </c>
      <c r="H31" s="138"/>
      <c r="I31" s="139"/>
    </row>
    <row r="32" spans="1:9" x14ac:dyDescent="0.25">
      <c r="A32" s="147" t="s">
        <v>54</v>
      </c>
      <c r="B32" s="141"/>
      <c r="C32" s="142"/>
      <c r="D32" s="140" t="s">
        <v>54</v>
      </c>
      <c r="E32" s="141"/>
      <c r="F32" s="142"/>
      <c r="G32" s="140" t="s">
        <v>54</v>
      </c>
      <c r="H32" s="141"/>
      <c r="I32" s="142"/>
    </row>
    <row r="33" spans="1:9" x14ac:dyDescent="0.25">
      <c r="A33" s="147" t="s">
        <v>54</v>
      </c>
      <c r="B33" s="141"/>
      <c r="C33" s="142"/>
      <c r="D33" s="140" t="s">
        <v>54</v>
      </c>
      <c r="E33" s="141"/>
      <c r="F33" s="142"/>
      <c r="G33" s="140" t="s">
        <v>54</v>
      </c>
      <c r="H33" s="141"/>
      <c r="I33" s="142"/>
    </row>
    <row r="34" spans="1:9" x14ac:dyDescent="0.25">
      <c r="A34" s="147" t="s">
        <v>54</v>
      </c>
      <c r="B34" s="141"/>
      <c r="C34" s="142"/>
      <c r="D34" s="140" t="s">
        <v>54</v>
      </c>
      <c r="E34" s="141"/>
      <c r="F34" s="142"/>
      <c r="G34" s="140" t="s">
        <v>54</v>
      </c>
      <c r="H34" s="141"/>
      <c r="I34" s="142"/>
    </row>
    <row r="35" spans="1:9" x14ac:dyDescent="0.25">
      <c r="A35" s="148" t="s">
        <v>233</v>
      </c>
      <c r="B35" s="144"/>
      <c r="C35" s="145"/>
      <c r="D35" s="143" t="s">
        <v>233</v>
      </c>
      <c r="E35" s="144"/>
      <c r="F35" s="145"/>
      <c r="G35" s="143" t="s">
        <v>233</v>
      </c>
      <c r="H35" s="144"/>
      <c r="I35" s="145"/>
    </row>
    <row r="36" spans="1:9" x14ac:dyDescent="0.25">
      <c r="A36" s="87" t="s">
        <v>160</v>
      </c>
    </row>
    <row r="37" spans="1:9" ht="94.5" customHeight="1" x14ac:dyDescent="0.25">
      <c r="A37" s="105" t="s">
        <v>234</v>
      </c>
      <c r="B37" s="102"/>
      <c r="C37" s="102"/>
      <c r="D37" s="102"/>
      <c r="E37" s="102"/>
      <c r="F37" s="102"/>
      <c r="G37" s="102"/>
      <c r="H37" s="102"/>
      <c r="I37" s="102"/>
    </row>
  </sheetData>
  <sheetProtection algorithmName="SHA-512" hashValue="Bat7rio6LQkjFGNVzhp0N74s7pAejf3+o900nchLlxzNxoRYRcFn7zmkyPXu1KdoqYe9kKKkV/1RQKXcagVvfg==" saltValue="o4m9sR4FZgYKl9X4sq/LHQ==" spinCount="100000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scale="7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workbookViewId="0">
      <pane ySplit="11" topLeftCell="A12" activePane="bottomLeft" state="frozen"/>
      <selection pane="bottomLeft" sqref="A1:G1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98" t="s">
        <v>162</v>
      </c>
      <c r="B1" s="98"/>
      <c r="C1" s="98"/>
      <c r="D1" s="98"/>
      <c r="E1" s="98"/>
      <c r="F1" s="98"/>
      <c r="G1" s="98"/>
    </row>
    <row r="2" spans="1:9" x14ac:dyDescent="0.25">
      <c r="A2" s="99" t="s">
        <v>1</v>
      </c>
      <c r="B2" s="100"/>
      <c r="C2" s="109" t="str">
        <f>'Položkový soupis-k ocenění'!C2</f>
        <v>VÝMĚNA OSVĚTLENÍ NA STADIONU SRBSKÁ - BRNO</v>
      </c>
      <c r="D2" s="100" t="s">
        <v>3</v>
      </c>
      <c r="E2" s="100" t="s">
        <v>4</v>
      </c>
      <c r="F2" s="104" t="s">
        <v>5</v>
      </c>
      <c r="G2" s="151" t="str">
        <f>'Položkový soupis-k ocenění'!I2</f>
        <v>STAREZ - SPORT, a.s.</v>
      </c>
    </row>
    <row r="3" spans="1:9" ht="15" customHeight="1" x14ac:dyDescent="0.25">
      <c r="A3" s="101"/>
      <c r="B3" s="102"/>
      <c r="C3" s="111"/>
      <c r="D3" s="102"/>
      <c r="E3" s="102"/>
      <c r="F3" s="102"/>
      <c r="G3" s="107"/>
    </row>
    <row r="4" spans="1:9" x14ac:dyDescent="0.25">
      <c r="A4" s="103" t="s">
        <v>7</v>
      </c>
      <c r="B4" s="102"/>
      <c r="C4" s="105" t="str">
        <f>'Položkový soupis-k ocenění'!C4</f>
        <v>Stavba technické sportovní infrastruktury</v>
      </c>
      <c r="D4" s="102" t="s">
        <v>9</v>
      </c>
      <c r="E4" s="102" t="s">
        <v>10</v>
      </c>
      <c r="F4" s="105" t="s">
        <v>11</v>
      </c>
      <c r="G4" s="113" t="str">
        <f>'Položkový soupis-k ocenění'!I4</f>
        <v>MV PROJEKTA s.r.o.</v>
      </c>
    </row>
    <row r="5" spans="1:9" ht="15" customHeight="1" x14ac:dyDescent="0.25">
      <c r="A5" s="101"/>
      <c r="B5" s="102"/>
      <c r="C5" s="102"/>
      <c r="D5" s="102"/>
      <c r="E5" s="102"/>
      <c r="F5" s="102"/>
      <c r="G5" s="107"/>
    </row>
    <row r="6" spans="1:9" x14ac:dyDescent="0.25">
      <c r="A6" s="103" t="s">
        <v>13</v>
      </c>
      <c r="B6" s="102"/>
      <c r="C6" s="105" t="str">
        <f>'Položkový soupis-k ocenění'!C6</f>
        <v>Brno - Srbská ulice</v>
      </c>
      <c r="D6" s="102" t="s">
        <v>15</v>
      </c>
      <c r="E6" s="102" t="s">
        <v>16</v>
      </c>
      <c r="F6" s="105" t="s">
        <v>17</v>
      </c>
      <c r="G6" s="113" t="str">
        <f>'Položkový soupis-k ocenění'!I6</f>
        <v> </v>
      </c>
    </row>
    <row r="7" spans="1:9" ht="15" customHeight="1" x14ac:dyDescent="0.25">
      <c r="A7" s="101"/>
      <c r="B7" s="102"/>
      <c r="C7" s="102"/>
      <c r="D7" s="102"/>
      <c r="E7" s="102"/>
      <c r="F7" s="102"/>
      <c r="G7" s="107"/>
    </row>
    <row r="8" spans="1:9" x14ac:dyDescent="0.25">
      <c r="A8" s="103" t="s">
        <v>23</v>
      </c>
      <c r="B8" s="102"/>
      <c r="C8" s="105" t="str">
        <f>'Položkový soupis-k ocenění'!I8</f>
        <v>MV PROJEKTA s.r.o.</v>
      </c>
      <c r="D8" s="102" t="s">
        <v>21</v>
      </c>
      <c r="E8" s="102" t="s">
        <v>22</v>
      </c>
      <c r="F8" s="102" t="s">
        <v>21</v>
      </c>
      <c r="G8" s="113" t="str">
        <f>'Položkový soupis-k ocenění'!G8</f>
        <v>19.11.2025</v>
      </c>
    </row>
    <row r="9" spans="1:9" ht="15.75" thickBot="1" x14ac:dyDescent="0.3">
      <c r="A9" s="149"/>
      <c r="B9" s="150"/>
      <c r="C9" s="150"/>
      <c r="D9" s="112"/>
      <c r="E9" s="150"/>
      <c r="F9" s="150"/>
      <c r="G9" s="152"/>
    </row>
    <row r="10" spans="1:9" ht="15.75" thickBot="1" x14ac:dyDescent="0.3">
      <c r="A10" s="49" t="s">
        <v>163</v>
      </c>
      <c r="B10" s="50" t="s">
        <v>25</v>
      </c>
      <c r="C10" s="50" t="s">
        <v>164</v>
      </c>
      <c r="D10" s="51"/>
      <c r="E10" s="51" t="s">
        <v>165</v>
      </c>
      <c r="F10" s="52" t="s">
        <v>166</v>
      </c>
      <c r="G10" s="52" t="s">
        <v>167</v>
      </c>
    </row>
    <row r="11" spans="1:9" x14ac:dyDescent="0.25">
      <c r="A11" s="53" t="s">
        <v>54</v>
      </c>
      <c r="B11" s="54" t="s">
        <v>54</v>
      </c>
      <c r="C11" s="102" t="s">
        <v>55</v>
      </c>
      <c r="D11" s="102"/>
      <c r="E11" s="55">
        <f>ROUND('Položkový soupis-k ocenění'!H12,2)</f>
        <v>0</v>
      </c>
      <c r="F11" s="55">
        <f>ROUND('Položkový soupis-k ocenění'!I12,2)</f>
        <v>0</v>
      </c>
      <c r="G11" s="55">
        <f>ROUND('Položkový soupis-k ocenění'!J12,2)</f>
        <v>0</v>
      </c>
      <c r="H11" s="34" t="s">
        <v>168</v>
      </c>
      <c r="I11" s="31">
        <f t="shared" ref="I11:I17" si="0">IF(H11="F",0,G11)</f>
        <v>0</v>
      </c>
    </row>
    <row r="12" spans="1:9" x14ac:dyDescent="0.25">
      <c r="A12" s="2" t="s">
        <v>54</v>
      </c>
      <c r="B12" s="3" t="s">
        <v>56</v>
      </c>
      <c r="C12" s="102" t="s">
        <v>57</v>
      </c>
      <c r="D12" s="102"/>
      <c r="E12" s="31">
        <f>ROUND('Položkový soupis-k ocenění'!H13,2)</f>
        <v>0</v>
      </c>
      <c r="F12" s="31">
        <f>ROUND('Položkový soupis-k ocenění'!I13,2)</f>
        <v>0</v>
      </c>
      <c r="G12" s="31">
        <f>ROUND('Položkový soupis-k ocenění'!J13,2)</f>
        <v>0</v>
      </c>
      <c r="H12" s="34" t="s">
        <v>169</v>
      </c>
      <c r="I12" s="31">
        <f t="shared" si="0"/>
        <v>0</v>
      </c>
    </row>
    <row r="13" spans="1:9" x14ac:dyDescent="0.25">
      <c r="A13" s="2" t="s">
        <v>54</v>
      </c>
      <c r="B13" s="3" t="s">
        <v>54</v>
      </c>
      <c r="C13" s="102" t="s">
        <v>85</v>
      </c>
      <c r="D13" s="102"/>
      <c r="E13" s="31">
        <f>ROUND('Položkový soupis-k ocenění'!H22,2)</f>
        <v>0</v>
      </c>
      <c r="F13" s="31">
        <f>ROUND('Položkový soupis-k ocenění'!I22,2)</f>
        <v>0</v>
      </c>
      <c r="G13" s="31">
        <f>ROUND('Položkový soupis-k ocenění'!J22,2)</f>
        <v>0</v>
      </c>
      <c r="H13" s="34" t="s">
        <v>168</v>
      </c>
      <c r="I13" s="31">
        <f t="shared" si="0"/>
        <v>0</v>
      </c>
    </row>
    <row r="14" spans="1:9" x14ac:dyDescent="0.25">
      <c r="A14" s="2" t="s">
        <v>54</v>
      </c>
      <c r="B14" s="3" t="s">
        <v>86</v>
      </c>
      <c r="C14" s="102" t="s">
        <v>87</v>
      </c>
      <c r="D14" s="102"/>
      <c r="E14" s="31">
        <f>ROUND('Položkový soupis-k ocenění'!H23,2)</f>
        <v>0</v>
      </c>
      <c r="F14" s="31">
        <f>ROUND('Položkový soupis-k ocenění'!I23,2)</f>
        <v>0</v>
      </c>
      <c r="G14" s="31">
        <f>ROUND('Položkový soupis-k ocenění'!J23,2)</f>
        <v>0</v>
      </c>
      <c r="H14" s="34" t="s">
        <v>169</v>
      </c>
      <c r="I14" s="31">
        <f t="shared" si="0"/>
        <v>0</v>
      </c>
    </row>
    <row r="15" spans="1:9" x14ac:dyDescent="0.25">
      <c r="A15" s="2" t="s">
        <v>54</v>
      </c>
      <c r="B15" s="3" t="s">
        <v>106</v>
      </c>
      <c r="C15" s="102" t="s">
        <v>107</v>
      </c>
      <c r="D15" s="102"/>
      <c r="E15" s="31">
        <f>ROUND('Položkový soupis-k ocenění'!H32,2)</f>
        <v>0</v>
      </c>
      <c r="F15" s="31">
        <f>ROUND('Položkový soupis-k ocenění'!I32,2)</f>
        <v>0</v>
      </c>
      <c r="G15" s="31">
        <f>ROUND('Položkový soupis-k ocenění'!J32,2)</f>
        <v>0</v>
      </c>
      <c r="H15" s="34" t="s">
        <v>169</v>
      </c>
      <c r="I15" s="31">
        <f t="shared" si="0"/>
        <v>0</v>
      </c>
    </row>
    <row r="16" spans="1:9" x14ac:dyDescent="0.25">
      <c r="A16" s="2" t="s">
        <v>54</v>
      </c>
      <c r="B16" s="3" t="s">
        <v>126</v>
      </c>
      <c r="C16" s="102" t="s">
        <v>127</v>
      </c>
      <c r="D16" s="102"/>
      <c r="E16" s="31">
        <f>ROUND('Položkový soupis-k ocenění'!H43,2)</f>
        <v>0</v>
      </c>
      <c r="F16" s="31">
        <f>ROUND('Položkový soupis-k ocenění'!I43,2)</f>
        <v>0</v>
      </c>
      <c r="G16" s="31">
        <f>ROUND('Položkový soupis-k ocenění'!J43,2)</f>
        <v>0</v>
      </c>
      <c r="H16" s="34" t="s">
        <v>169</v>
      </c>
      <c r="I16" s="31">
        <f t="shared" si="0"/>
        <v>0</v>
      </c>
    </row>
    <row r="17" spans="1:9" x14ac:dyDescent="0.25">
      <c r="A17" s="2" t="s">
        <v>54</v>
      </c>
      <c r="B17" s="3" t="s">
        <v>132</v>
      </c>
      <c r="C17" s="102" t="s">
        <v>132</v>
      </c>
      <c r="D17" s="102"/>
      <c r="E17" s="31">
        <f>ROUND('Položkový soupis-k ocenění'!H45,2)</f>
        <v>0</v>
      </c>
      <c r="F17" s="31">
        <f>ROUND('Položkový soupis-k ocenění'!I45,2)</f>
        <v>0</v>
      </c>
      <c r="G17" s="31">
        <f>ROUND('Položkový soupis-k ocenění'!J45,2)</f>
        <v>0</v>
      </c>
      <c r="H17" s="34" t="s">
        <v>169</v>
      </c>
      <c r="I17" s="31">
        <f t="shared" si="0"/>
        <v>0</v>
      </c>
    </row>
    <row r="18" spans="1:9" x14ac:dyDescent="0.25">
      <c r="F18" s="4" t="s">
        <v>159</v>
      </c>
      <c r="G18" s="56">
        <f>ROUND(SUM(I11:I17),0)</f>
        <v>0</v>
      </c>
    </row>
  </sheetData>
  <sheetProtection algorithmName="SHA-512" hashValue="hUvF7+DRxty2FfnofuzKVDucXqivhdTKnBKvw6sT0iULMazqDB7+yvHJZKRINCHQudlWrhbrBasBtTalzxibGQ==" saltValue="wLYgIfUXIJff9OtyBJslIg==" spinCount="100000" sheet="1"/>
  <mergeCells count="32">
    <mergeCell ref="C17:D17"/>
    <mergeCell ref="C12:D12"/>
    <mergeCell ref="C13:D13"/>
    <mergeCell ref="C14:D14"/>
    <mergeCell ref="C15:D15"/>
    <mergeCell ref="C16:D16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scale="70" fitToHeight="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59"/>
  <sheetViews>
    <sheetView workbookViewId="0">
      <pane ySplit="11" topLeftCell="A45" activePane="bottomLeft" state="frozen"/>
      <selection pane="bottomLeft" activeCell="C27" sqref="C27:K27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4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98" t="s">
        <v>262</v>
      </c>
      <c r="B1" s="98"/>
      <c r="C1" s="98"/>
      <c r="D1" s="98"/>
      <c r="E1" s="98"/>
      <c r="F1" s="98"/>
      <c r="G1" s="98"/>
      <c r="H1" s="98"/>
      <c r="I1" s="98"/>
      <c r="J1" s="98"/>
      <c r="K1" s="98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99" t="s">
        <v>1</v>
      </c>
      <c r="B2" s="100"/>
      <c r="C2" s="109" t="s">
        <v>2</v>
      </c>
      <c r="D2" s="110"/>
      <c r="E2" s="100" t="s">
        <v>3</v>
      </c>
      <c r="F2" s="100"/>
      <c r="G2" s="160" t="s">
        <v>4</v>
      </c>
      <c r="H2" s="104" t="s">
        <v>5</v>
      </c>
      <c r="I2" s="104" t="s">
        <v>6</v>
      </c>
      <c r="J2" s="100"/>
      <c r="K2" s="106"/>
    </row>
    <row r="3" spans="1:76" x14ac:dyDescent="0.25">
      <c r="A3" s="101"/>
      <c r="B3" s="102"/>
      <c r="C3" s="111"/>
      <c r="D3" s="111"/>
      <c r="E3" s="102"/>
      <c r="F3" s="102"/>
      <c r="G3" s="153"/>
      <c r="H3" s="102"/>
      <c r="I3" s="102"/>
      <c r="J3" s="102"/>
      <c r="K3" s="107"/>
    </row>
    <row r="4" spans="1:76" x14ac:dyDescent="0.25">
      <c r="A4" s="103" t="s">
        <v>7</v>
      </c>
      <c r="B4" s="102"/>
      <c r="C4" s="105" t="s">
        <v>8</v>
      </c>
      <c r="D4" s="102"/>
      <c r="E4" s="102" t="s">
        <v>9</v>
      </c>
      <c r="F4" s="102"/>
      <c r="G4" s="153" t="s">
        <v>10</v>
      </c>
      <c r="H4" s="105" t="s">
        <v>11</v>
      </c>
      <c r="I4" s="105" t="s">
        <v>12</v>
      </c>
      <c r="J4" s="102"/>
      <c r="K4" s="107"/>
    </row>
    <row r="5" spans="1:76" x14ac:dyDescent="0.25">
      <c r="A5" s="101"/>
      <c r="B5" s="102"/>
      <c r="C5" s="102"/>
      <c r="D5" s="102"/>
      <c r="E5" s="102"/>
      <c r="F5" s="102"/>
      <c r="G5" s="153"/>
      <c r="H5" s="102"/>
      <c r="I5" s="102"/>
      <c r="J5" s="102"/>
      <c r="K5" s="107"/>
    </row>
    <row r="6" spans="1:76" x14ac:dyDescent="0.25">
      <c r="A6" s="103" t="s">
        <v>13</v>
      </c>
      <c r="B6" s="102"/>
      <c r="C6" s="105" t="s">
        <v>14</v>
      </c>
      <c r="D6" s="102"/>
      <c r="E6" s="102" t="s">
        <v>15</v>
      </c>
      <c r="F6" s="102"/>
      <c r="G6" s="153" t="s">
        <v>16</v>
      </c>
      <c r="H6" s="105" t="s">
        <v>17</v>
      </c>
      <c r="I6" s="153" t="s">
        <v>18</v>
      </c>
      <c r="J6" s="153"/>
      <c r="K6" s="154"/>
    </row>
    <row r="7" spans="1:76" x14ac:dyDescent="0.25">
      <c r="A7" s="101"/>
      <c r="B7" s="102"/>
      <c r="C7" s="102"/>
      <c r="D7" s="102"/>
      <c r="E7" s="102"/>
      <c r="F7" s="102"/>
      <c r="G7" s="153"/>
      <c r="H7" s="102"/>
      <c r="I7" s="153"/>
      <c r="J7" s="153"/>
      <c r="K7" s="154"/>
    </row>
    <row r="8" spans="1:76" x14ac:dyDescent="0.25">
      <c r="A8" s="103" t="s">
        <v>19</v>
      </c>
      <c r="B8" s="102"/>
      <c r="C8" s="105" t="s">
        <v>20</v>
      </c>
      <c r="D8" s="102"/>
      <c r="E8" s="102" t="s">
        <v>21</v>
      </c>
      <c r="F8" s="102"/>
      <c r="G8" s="153" t="s">
        <v>22</v>
      </c>
      <c r="H8" s="105" t="s">
        <v>23</v>
      </c>
      <c r="I8" s="155" t="s">
        <v>12</v>
      </c>
      <c r="J8" s="153"/>
      <c r="K8" s="154"/>
    </row>
    <row r="9" spans="1:76" x14ac:dyDescent="0.25">
      <c r="A9" s="149"/>
      <c r="B9" s="150"/>
      <c r="C9" s="150"/>
      <c r="D9" s="150"/>
      <c r="E9" s="150"/>
      <c r="F9" s="150"/>
      <c r="G9" s="156"/>
      <c r="H9" s="150"/>
      <c r="I9" s="156"/>
      <c r="J9" s="156"/>
      <c r="K9" s="157"/>
    </row>
    <row r="10" spans="1:76" x14ac:dyDescent="0.25">
      <c r="A10" s="6" t="s">
        <v>24</v>
      </c>
      <c r="B10" s="7" t="s">
        <v>25</v>
      </c>
      <c r="C10" s="158" t="s">
        <v>26</v>
      </c>
      <c r="D10" s="159"/>
      <c r="E10" s="7" t="s">
        <v>27</v>
      </c>
      <c r="F10" s="8" t="s">
        <v>28</v>
      </c>
      <c r="G10" s="9" t="s">
        <v>29</v>
      </c>
      <c r="H10" s="163" t="s">
        <v>30</v>
      </c>
      <c r="I10" s="164"/>
      <c r="J10" s="165"/>
      <c r="K10" s="10" t="s">
        <v>31</v>
      </c>
      <c r="BK10" s="11" t="s">
        <v>32</v>
      </c>
      <c r="BL10" s="12" t="s">
        <v>33</v>
      </c>
      <c r="BW10" s="12" t="s">
        <v>34</v>
      </c>
    </row>
    <row r="11" spans="1:76" x14ac:dyDescent="0.25">
      <c r="A11" s="13" t="s">
        <v>35</v>
      </c>
      <c r="B11" s="14" t="s">
        <v>35</v>
      </c>
      <c r="C11" s="161" t="s">
        <v>36</v>
      </c>
      <c r="D11" s="162"/>
      <c r="E11" s="14" t="s">
        <v>35</v>
      </c>
      <c r="F11" s="14" t="s">
        <v>35</v>
      </c>
      <c r="G11" s="15" t="s">
        <v>37</v>
      </c>
      <c r="H11" s="16" t="s">
        <v>38</v>
      </c>
      <c r="I11" s="17" t="s">
        <v>39</v>
      </c>
      <c r="J11" s="18" t="s">
        <v>40</v>
      </c>
      <c r="K11" s="19" t="s">
        <v>41</v>
      </c>
      <c r="Z11" s="11" t="s">
        <v>42</v>
      </c>
      <c r="AA11" s="11" t="s">
        <v>43</v>
      </c>
      <c r="AB11" s="11" t="s">
        <v>44</v>
      </c>
      <c r="AC11" s="11" t="s">
        <v>45</v>
      </c>
      <c r="AD11" s="11" t="s">
        <v>46</v>
      </c>
      <c r="AE11" s="11" t="s">
        <v>47</v>
      </c>
      <c r="AF11" s="11" t="s">
        <v>48</v>
      </c>
      <c r="AG11" s="11" t="s">
        <v>49</v>
      </c>
      <c r="AH11" s="11" t="s">
        <v>50</v>
      </c>
      <c r="BH11" s="11" t="s">
        <v>51</v>
      </c>
      <c r="BI11" s="11" t="s">
        <v>52</v>
      </c>
      <c r="BJ11" s="11" t="s">
        <v>53</v>
      </c>
    </row>
    <row r="12" spans="1:76" x14ac:dyDescent="0.25">
      <c r="A12" s="20" t="s">
        <v>54</v>
      </c>
      <c r="B12" s="21" t="s">
        <v>54</v>
      </c>
      <c r="C12" s="166" t="s">
        <v>55</v>
      </c>
      <c r="D12" s="167"/>
      <c r="E12" s="22" t="s">
        <v>35</v>
      </c>
      <c r="F12" s="22" t="s">
        <v>35</v>
      </c>
      <c r="G12" s="23" t="s">
        <v>35</v>
      </c>
      <c r="H12" s="24">
        <f>H13</f>
        <v>0</v>
      </c>
      <c r="I12" s="24">
        <f>I13</f>
        <v>0</v>
      </c>
      <c r="J12" s="24">
        <f>J13</f>
        <v>0</v>
      </c>
      <c r="K12" s="25" t="s">
        <v>54</v>
      </c>
    </row>
    <row r="13" spans="1:76" x14ac:dyDescent="0.25">
      <c r="A13" s="26" t="s">
        <v>54</v>
      </c>
      <c r="B13" s="27" t="s">
        <v>56</v>
      </c>
      <c r="C13" s="168" t="s">
        <v>57</v>
      </c>
      <c r="D13" s="169"/>
      <c r="E13" s="28" t="s">
        <v>35</v>
      </c>
      <c r="F13" s="28" t="s">
        <v>35</v>
      </c>
      <c r="G13" s="29" t="s">
        <v>35</v>
      </c>
      <c r="H13" s="1">
        <f>ROUND(SUM(H14:H21),0)</f>
        <v>0</v>
      </c>
      <c r="I13" s="1">
        <f>ROUND(SUM(I14:I21),0)</f>
        <v>0</v>
      </c>
      <c r="J13" s="1">
        <f>ROUND(SUM(J14:J21),0)</f>
        <v>0</v>
      </c>
      <c r="K13" s="30" t="s">
        <v>54</v>
      </c>
      <c r="AI13" s="11" t="s">
        <v>54</v>
      </c>
      <c r="AS13" s="1">
        <f>SUM(AJ14:AJ21)</f>
        <v>0</v>
      </c>
      <c r="AT13" s="1">
        <f>SUM(AK14:AK21)</f>
        <v>0</v>
      </c>
      <c r="AU13" s="1">
        <f>SUM(AL14:AL21)</f>
        <v>0</v>
      </c>
    </row>
    <row r="14" spans="1:76" x14ac:dyDescent="0.25">
      <c r="A14" s="2" t="s">
        <v>58</v>
      </c>
      <c r="B14" s="3" t="s">
        <v>59</v>
      </c>
      <c r="C14" s="105" t="s">
        <v>60</v>
      </c>
      <c r="D14" s="102"/>
      <c r="E14" s="3" t="s">
        <v>61</v>
      </c>
      <c r="F14" s="31">
        <v>1.776</v>
      </c>
      <c r="G14" s="32">
        <v>0</v>
      </c>
      <c r="H14" s="31">
        <f>ROUND(F14*AO14,2)</f>
        <v>0</v>
      </c>
      <c r="I14" s="31">
        <f>ROUND(F14*AP14,2)</f>
        <v>0</v>
      </c>
      <c r="J14" s="31">
        <f>ROUND(F14*G14,0)</f>
        <v>0</v>
      </c>
      <c r="K14" s="33" t="s">
        <v>62</v>
      </c>
      <c r="Z14" s="31">
        <f>ROUND(IF(AQ14="5",BJ14,0),2)</f>
        <v>0</v>
      </c>
      <c r="AB14" s="31">
        <f>ROUND(IF(AQ14="1",BH14,0),2)</f>
        <v>0</v>
      </c>
      <c r="AC14" s="31">
        <f>ROUND(IF(AQ14="1",BI14,0),2)</f>
        <v>0</v>
      </c>
      <c r="AD14" s="31">
        <f>ROUND(IF(AQ14="7",BH14,0),2)</f>
        <v>0</v>
      </c>
      <c r="AE14" s="31">
        <f>ROUND(IF(AQ14="7",BI14,0),2)</f>
        <v>0</v>
      </c>
      <c r="AF14" s="31">
        <f>ROUND(IF(AQ14="2",BH14,0),2)</f>
        <v>0</v>
      </c>
      <c r="AG14" s="31">
        <f>ROUND(IF(AQ14="2",BI14,0),2)</f>
        <v>0</v>
      </c>
      <c r="AH14" s="31">
        <f>ROUND(IF(AQ14="0",BJ14,0),2)</f>
        <v>0</v>
      </c>
      <c r="AI14" s="11" t="s">
        <v>54</v>
      </c>
      <c r="AJ14" s="31">
        <f>IF(AN14=0,J14,0)</f>
        <v>0</v>
      </c>
      <c r="AK14" s="31">
        <f>IF(AN14=12,J14,0)</f>
        <v>0</v>
      </c>
      <c r="AL14" s="31">
        <f>IF(AN14=21,J14,0)</f>
        <v>0</v>
      </c>
      <c r="AN14" s="31">
        <v>21</v>
      </c>
      <c r="AO14" s="31">
        <f>G14*0</f>
        <v>0</v>
      </c>
      <c r="AP14" s="31">
        <f>G14*(1-0)</f>
        <v>0</v>
      </c>
      <c r="AQ14" s="34" t="s">
        <v>63</v>
      </c>
      <c r="AV14" s="31">
        <f>ROUND(AW14+AX14,2)</f>
        <v>0</v>
      </c>
      <c r="AW14" s="31">
        <f>ROUND(F14*AO14,2)</f>
        <v>0</v>
      </c>
      <c r="AX14" s="31">
        <f>ROUND(F14*AP14,2)</f>
        <v>0</v>
      </c>
      <c r="AY14" s="34" t="s">
        <v>64</v>
      </c>
      <c r="AZ14" s="34" t="s">
        <v>65</v>
      </c>
      <c r="BA14" s="11" t="s">
        <v>66</v>
      </c>
      <c r="BC14" s="31">
        <f>AW14+AX14</f>
        <v>0</v>
      </c>
      <c r="BD14" s="31">
        <f>G14/(100-BE14)*100</f>
        <v>0</v>
      </c>
      <c r="BE14" s="31">
        <v>50</v>
      </c>
      <c r="BF14" s="31">
        <f>14</f>
        <v>14</v>
      </c>
      <c r="BH14" s="31">
        <f>F14*AO14</f>
        <v>0</v>
      </c>
      <c r="BI14" s="31">
        <f>F14*AP14</f>
        <v>0</v>
      </c>
      <c r="BJ14" s="31">
        <f>F14*G14</f>
        <v>0</v>
      </c>
      <c r="BK14" s="34" t="s">
        <v>67</v>
      </c>
      <c r="BL14" s="31"/>
      <c r="BW14" s="31">
        <v>21</v>
      </c>
      <c r="BX14" s="5" t="s">
        <v>60</v>
      </c>
    </row>
    <row r="15" spans="1:76" x14ac:dyDescent="0.25">
      <c r="A15" s="2" t="s">
        <v>68</v>
      </c>
      <c r="B15" s="3" t="s">
        <v>69</v>
      </c>
      <c r="C15" s="105" t="s">
        <v>70</v>
      </c>
      <c r="D15" s="102"/>
      <c r="E15" s="3" t="s">
        <v>61</v>
      </c>
      <c r="F15" s="31">
        <v>2.2160000000000002</v>
      </c>
      <c r="G15" s="32">
        <v>0</v>
      </c>
      <c r="H15" s="31">
        <f>ROUND(F15*AO15,2)</f>
        <v>0</v>
      </c>
      <c r="I15" s="31">
        <f>ROUND(F15*AP15,2)</f>
        <v>0</v>
      </c>
      <c r="J15" s="31">
        <f>ROUND(F15*G15,0)</f>
        <v>0</v>
      </c>
      <c r="K15" s="33" t="s">
        <v>62</v>
      </c>
      <c r="Z15" s="31">
        <f>ROUND(IF(AQ15="5",BJ15,0),2)</f>
        <v>0</v>
      </c>
      <c r="AB15" s="31">
        <f>ROUND(IF(AQ15="1",BH15,0),2)</f>
        <v>0</v>
      </c>
      <c r="AC15" s="31">
        <f>ROUND(IF(AQ15="1",BI15,0),2)</f>
        <v>0</v>
      </c>
      <c r="AD15" s="31">
        <f>ROUND(IF(AQ15="7",BH15,0),2)</f>
        <v>0</v>
      </c>
      <c r="AE15" s="31">
        <f>ROUND(IF(AQ15="7",BI15,0),2)</f>
        <v>0</v>
      </c>
      <c r="AF15" s="31">
        <f>ROUND(IF(AQ15="2",BH15,0),2)</f>
        <v>0</v>
      </c>
      <c r="AG15" s="31">
        <f>ROUND(IF(AQ15="2",BI15,0),2)</f>
        <v>0</v>
      </c>
      <c r="AH15" s="31">
        <f>ROUND(IF(AQ15="0",BJ15,0),2)</f>
        <v>0</v>
      </c>
      <c r="AI15" s="11" t="s">
        <v>54</v>
      </c>
      <c r="AJ15" s="31">
        <f>IF(AN15=0,J15,0)</f>
        <v>0</v>
      </c>
      <c r="AK15" s="31">
        <f>IF(AN15=12,J15,0)</f>
        <v>0</v>
      </c>
      <c r="AL15" s="31">
        <f>IF(AN15=21,J15,0)</f>
        <v>0</v>
      </c>
      <c r="AN15" s="31">
        <v>21</v>
      </c>
      <c r="AO15" s="31">
        <f>G15*0</f>
        <v>0</v>
      </c>
      <c r="AP15" s="31">
        <f>G15*(1-0)</f>
        <v>0</v>
      </c>
      <c r="AQ15" s="34" t="s">
        <v>63</v>
      </c>
      <c r="AV15" s="31">
        <f>ROUND(AW15+AX15,2)</f>
        <v>0</v>
      </c>
      <c r="AW15" s="31">
        <f>ROUND(F15*AO15,2)</f>
        <v>0</v>
      </c>
      <c r="AX15" s="31">
        <f>ROUND(F15*AP15,2)</f>
        <v>0</v>
      </c>
      <c r="AY15" s="34" t="s">
        <v>64</v>
      </c>
      <c r="AZ15" s="34" t="s">
        <v>65</v>
      </c>
      <c r="BA15" s="11" t="s">
        <v>66</v>
      </c>
      <c r="BC15" s="31">
        <f>AW15+AX15</f>
        <v>0</v>
      </c>
      <c r="BD15" s="31">
        <f>G15/(100-BE15)*100</f>
        <v>0</v>
      </c>
      <c r="BE15" s="31">
        <v>0</v>
      </c>
      <c r="BF15" s="31">
        <f>15</f>
        <v>15</v>
      </c>
      <c r="BH15" s="31">
        <f>F15*AO15</f>
        <v>0</v>
      </c>
      <c r="BI15" s="31">
        <f>F15*AP15</f>
        <v>0</v>
      </c>
      <c r="BJ15" s="31">
        <f>F15*G15</f>
        <v>0</v>
      </c>
      <c r="BK15" s="34" t="s">
        <v>67</v>
      </c>
      <c r="BL15" s="31"/>
      <c r="BW15" s="31">
        <v>21</v>
      </c>
      <c r="BX15" s="5" t="s">
        <v>70</v>
      </c>
    </row>
    <row r="16" spans="1:76" x14ac:dyDescent="0.25">
      <c r="A16" s="2" t="s">
        <v>71</v>
      </c>
      <c r="B16" s="3" t="s">
        <v>72</v>
      </c>
      <c r="C16" s="105" t="s">
        <v>73</v>
      </c>
      <c r="D16" s="102"/>
      <c r="E16" s="3" t="s">
        <v>61</v>
      </c>
      <c r="F16" s="31">
        <v>2.2160000000000002</v>
      </c>
      <c r="G16" s="32">
        <v>0</v>
      </c>
      <c r="H16" s="31">
        <f>ROUND(F16*AO16,2)</f>
        <v>0</v>
      </c>
      <c r="I16" s="31">
        <f>ROUND(F16*AP16,2)</f>
        <v>0</v>
      </c>
      <c r="J16" s="31">
        <f>ROUND(F16*G16,0)</f>
        <v>0</v>
      </c>
      <c r="K16" s="33" t="s">
        <v>62</v>
      </c>
      <c r="Z16" s="31">
        <f>ROUND(IF(AQ16="5",BJ16,0),2)</f>
        <v>0</v>
      </c>
      <c r="AB16" s="31">
        <f>ROUND(IF(AQ16="1",BH16,0),2)</f>
        <v>0</v>
      </c>
      <c r="AC16" s="31">
        <f>ROUND(IF(AQ16="1",BI16,0),2)</f>
        <v>0</v>
      </c>
      <c r="AD16" s="31">
        <f>ROUND(IF(AQ16="7",BH16,0),2)</f>
        <v>0</v>
      </c>
      <c r="AE16" s="31">
        <f>ROUND(IF(AQ16="7",BI16,0),2)</f>
        <v>0</v>
      </c>
      <c r="AF16" s="31">
        <f>ROUND(IF(AQ16="2",BH16,0),2)</f>
        <v>0</v>
      </c>
      <c r="AG16" s="31">
        <f>ROUND(IF(AQ16="2",BI16,0),2)</f>
        <v>0</v>
      </c>
      <c r="AH16" s="31">
        <f>ROUND(IF(AQ16="0",BJ16,0),2)</f>
        <v>0</v>
      </c>
      <c r="AI16" s="11" t="s">
        <v>54</v>
      </c>
      <c r="AJ16" s="31">
        <f>IF(AN16=0,J16,0)</f>
        <v>0</v>
      </c>
      <c r="AK16" s="31">
        <f>IF(AN16=12,J16,0)</f>
        <v>0</v>
      </c>
      <c r="AL16" s="31">
        <f>IF(AN16=21,J16,0)</f>
        <v>0</v>
      </c>
      <c r="AN16" s="31">
        <v>21</v>
      </c>
      <c r="AO16" s="31">
        <f>G16*0</f>
        <v>0</v>
      </c>
      <c r="AP16" s="31">
        <f>G16*(1-0)</f>
        <v>0</v>
      </c>
      <c r="AQ16" s="34" t="s">
        <v>63</v>
      </c>
      <c r="AV16" s="31">
        <f>ROUND(AW16+AX16,2)</f>
        <v>0</v>
      </c>
      <c r="AW16" s="31">
        <f>ROUND(F16*AO16,2)</f>
        <v>0</v>
      </c>
      <c r="AX16" s="31">
        <f>ROUND(F16*AP16,2)</f>
        <v>0</v>
      </c>
      <c r="AY16" s="34" t="s">
        <v>64</v>
      </c>
      <c r="AZ16" s="34" t="s">
        <v>65</v>
      </c>
      <c r="BA16" s="11" t="s">
        <v>66</v>
      </c>
      <c r="BC16" s="31">
        <f>AW16+AX16</f>
        <v>0</v>
      </c>
      <c r="BD16" s="31">
        <f>G16/(100-BE16)*100</f>
        <v>0</v>
      </c>
      <c r="BE16" s="31">
        <v>0</v>
      </c>
      <c r="BF16" s="31">
        <f>16</f>
        <v>16</v>
      </c>
      <c r="BH16" s="31">
        <f>F16*AO16</f>
        <v>0</v>
      </c>
      <c r="BI16" s="31">
        <f>F16*AP16</f>
        <v>0</v>
      </c>
      <c r="BJ16" s="31">
        <f>F16*G16</f>
        <v>0</v>
      </c>
      <c r="BK16" s="34" t="s">
        <v>67</v>
      </c>
      <c r="BL16" s="31"/>
      <c r="BW16" s="31">
        <v>21</v>
      </c>
      <c r="BX16" s="5" t="s">
        <v>73</v>
      </c>
    </row>
    <row r="17" spans="1:76" x14ac:dyDescent="0.25">
      <c r="A17" s="2" t="s">
        <v>74</v>
      </c>
      <c r="B17" s="3" t="s">
        <v>75</v>
      </c>
      <c r="C17" s="105" t="s">
        <v>76</v>
      </c>
      <c r="D17" s="102"/>
      <c r="E17" s="3" t="s">
        <v>61</v>
      </c>
      <c r="F17" s="31">
        <v>2.2160000000000002</v>
      </c>
      <c r="G17" s="32">
        <v>0</v>
      </c>
      <c r="H17" s="31">
        <f>ROUND(F17*AO17,2)</f>
        <v>0</v>
      </c>
      <c r="I17" s="31">
        <f>ROUND(F17*AP17,2)</f>
        <v>0</v>
      </c>
      <c r="J17" s="31">
        <f>ROUND(F17*G17,0)</f>
        <v>0</v>
      </c>
      <c r="K17" s="33" t="s">
        <v>62</v>
      </c>
      <c r="Z17" s="31">
        <f>ROUND(IF(AQ17="5",BJ17,0),2)</f>
        <v>0</v>
      </c>
      <c r="AB17" s="31">
        <f>ROUND(IF(AQ17="1",BH17,0),2)</f>
        <v>0</v>
      </c>
      <c r="AC17" s="31">
        <f>ROUND(IF(AQ17="1",BI17,0),2)</f>
        <v>0</v>
      </c>
      <c r="AD17" s="31">
        <f>ROUND(IF(AQ17="7",BH17,0),2)</f>
        <v>0</v>
      </c>
      <c r="AE17" s="31">
        <f>ROUND(IF(AQ17="7",BI17,0),2)</f>
        <v>0</v>
      </c>
      <c r="AF17" s="31">
        <f>ROUND(IF(AQ17="2",BH17,0),2)</f>
        <v>0</v>
      </c>
      <c r="AG17" s="31">
        <f>ROUND(IF(AQ17="2",BI17,0),2)</f>
        <v>0</v>
      </c>
      <c r="AH17" s="31">
        <f>ROUND(IF(AQ17="0",BJ17,0),2)</f>
        <v>0</v>
      </c>
      <c r="AI17" s="11" t="s">
        <v>54</v>
      </c>
      <c r="AJ17" s="31">
        <f>IF(AN17=0,J17,0)</f>
        <v>0</v>
      </c>
      <c r="AK17" s="31">
        <f>IF(AN17=12,J17,0)</f>
        <v>0</v>
      </c>
      <c r="AL17" s="31">
        <f>IF(AN17=21,J17,0)</f>
        <v>0</v>
      </c>
      <c r="AN17" s="31">
        <v>21</v>
      </c>
      <c r="AO17" s="31">
        <f>G17*0</f>
        <v>0</v>
      </c>
      <c r="AP17" s="31">
        <f>G17*(1-0)</f>
        <v>0</v>
      </c>
      <c r="AQ17" s="34" t="s">
        <v>63</v>
      </c>
      <c r="AV17" s="31">
        <f>ROUND(AW17+AX17,2)</f>
        <v>0</v>
      </c>
      <c r="AW17" s="31">
        <f>ROUND(F17*AO17,2)</f>
        <v>0</v>
      </c>
      <c r="AX17" s="31">
        <f>ROUND(F17*AP17,2)</f>
        <v>0</v>
      </c>
      <c r="AY17" s="34" t="s">
        <v>64</v>
      </c>
      <c r="AZ17" s="34" t="s">
        <v>65</v>
      </c>
      <c r="BA17" s="11" t="s">
        <v>66</v>
      </c>
      <c r="BC17" s="31">
        <f>AW17+AX17</f>
        <v>0</v>
      </c>
      <c r="BD17" s="31">
        <f>G17/(100-BE17)*100</f>
        <v>0</v>
      </c>
      <c r="BE17" s="31">
        <v>0</v>
      </c>
      <c r="BF17" s="31">
        <f>17</f>
        <v>17</v>
      </c>
      <c r="BH17" s="31">
        <f>F17*AO17</f>
        <v>0</v>
      </c>
      <c r="BI17" s="31">
        <f>F17*AP17</f>
        <v>0</v>
      </c>
      <c r="BJ17" s="31">
        <f>F17*G17</f>
        <v>0</v>
      </c>
      <c r="BK17" s="34" t="s">
        <v>67</v>
      </c>
      <c r="BL17" s="31"/>
      <c r="BW17" s="31">
        <v>21</v>
      </c>
      <c r="BX17" s="5" t="s">
        <v>76</v>
      </c>
    </row>
    <row r="18" spans="1:76" ht="13.5" customHeight="1" x14ac:dyDescent="0.25">
      <c r="A18" s="35"/>
      <c r="B18" s="36" t="s">
        <v>77</v>
      </c>
      <c r="C18" s="170" t="s">
        <v>78</v>
      </c>
      <c r="D18" s="171"/>
      <c r="E18" s="171"/>
      <c r="F18" s="171"/>
      <c r="G18" s="172"/>
      <c r="H18" s="171"/>
      <c r="I18" s="171"/>
      <c r="J18" s="171"/>
      <c r="K18" s="173"/>
    </row>
    <row r="19" spans="1:76" x14ac:dyDescent="0.25">
      <c r="A19" s="2" t="s">
        <v>63</v>
      </c>
      <c r="B19" s="3" t="s">
        <v>79</v>
      </c>
      <c r="C19" s="105" t="s">
        <v>80</v>
      </c>
      <c r="D19" s="102"/>
      <c r="E19" s="3" t="s">
        <v>61</v>
      </c>
      <c r="F19" s="31">
        <v>19.943999999999999</v>
      </c>
      <c r="G19" s="32">
        <v>0</v>
      </c>
      <c r="H19" s="31">
        <f>ROUND(F19*AO19,2)</f>
        <v>0</v>
      </c>
      <c r="I19" s="31">
        <f>ROUND(F19*AP19,2)</f>
        <v>0</v>
      </c>
      <c r="J19" s="31">
        <f>ROUND(F19*G19,0)</f>
        <v>0</v>
      </c>
      <c r="K19" s="33" t="s">
        <v>62</v>
      </c>
      <c r="Z19" s="31">
        <f>ROUND(IF(AQ19="5",BJ19,0),2)</f>
        <v>0</v>
      </c>
      <c r="AB19" s="31">
        <f>ROUND(IF(AQ19="1",BH19,0),2)</f>
        <v>0</v>
      </c>
      <c r="AC19" s="31">
        <f>ROUND(IF(AQ19="1",BI19,0),2)</f>
        <v>0</v>
      </c>
      <c r="AD19" s="31">
        <f>ROUND(IF(AQ19="7",BH19,0),2)</f>
        <v>0</v>
      </c>
      <c r="AE19" s="31">
        <f>ROUND(IF(AQ19="7",BI19,0),2)</f>
        <v>0</v>
      </c>
      <c r="AF19" s="31">
        <f>ROUND(IF(AQ19="2",BH19,0),2)</f>
        <v>0</v>
      </c>
      <c r="AG19" s="31">
        <f>ROUND(IF(AQ19="2",BI19,0),2)</f>
        <v>0</v>
      </c>
      <c r="AH19" s="31">
        <f>ROUND(IF(AQ19="0",BJ19,0),2)</f>
        <v>0</v>
      </c>
      <c r="AI19" s="11" t="s">
        <v>54</v>
      </c>
      <c r="AJ19" s="31">
        <f>IF(AN19=0,J19,0)</f>
        <v>0</v>
      </c>
      <c r="AK19" s="31">
        <f>IF(AN19=12,J19,0)</f>
        <v>0</v>
      </c>
      <c r="AL19" s="31">
        <f>IF(AN19=21,J19,0)</f>
        <v>0</v>
      </c>
      <c r="AN19" s="31">
        <v>21</v>
      </c>
      <c r="AO19" s="31">
        <f>G19*0</f>
        <v>0</v>
      </c>
      <c r="AP19" s="31">
        <f>G19*(1-0)</f>
        <v>0</v>
      </c>
      <c r="AQ19" s="34" t="s">
        <v>63</v>
      </c>
      <c r="AV19" s="31">
        <f>ROUND(AW19+AX19,2)</f>
        <v>0</v>
      </c>
      <c r="AW19" s="31">
        <f>ROUND(F19*AO19,2)</f>
        <v>0</v>
      </c>
      <c r="AX19" s="31">
        <f>ROUND(F19*AP19,2)</f>
        <v>0</v>
      </c>
      <c r="AY19" s="34" t="s">
        <v>64</v>
      </c>
      <c r="AZ19" s="34" t="s">
        <v>65</v>
      </c>
      <c r="BA19" s="11" t="s">
        <v>66</v>
      </c>
      <c r="BC19" s="31">
        <f>AW19+AX19</f>
        <v>0</v>
      </c>
      <c r="BD19" s="31">
        <f>G19/(100-BE19)*100</f>
        <v>0</v>
      </c>
      <c r="BE19" s="31">
        <v>0</v>
      </c>
      <c r="BF19" s="31">
        <f>19</f>
        <v>19</v>
      </c>
      <c r="BH19" s="31">
        <f>F19*AO19</f>
        <v>0</v>
      </c>
      <c r="BI19" s="31">
        <f>F19*AP19</f>
        <v>0</v>
      </c>
      <c r="BJ19" s="31">
        <f>F19*G19</f>
        <v>0</v>
      </c>
      <c r="BK19" s="34" t="s">
        <v>67</v>
      </c>
      <c r="BL19" s="31"/>
      <c r="BW19" s="31">
        <v>21</v>
      </c>
      <c r="BX19" s="5" t="s">
        <v>80</v>
      </c>
    </row>
    <row r="20" spans="1:76" ht="13.5" customHeight="1" x14ac:dyDescent="0.25">
      <c r="A20" s="35"/>
      <c r="B20" s="36" t="s">
        <v>77</v>
      </c>
      <c r="C20" s="170" t="s">
        <v>81</v>
      </c>
      <c r="D20" s="171"/>
      <c r="E20" s="171"/>
      <c r="F20" s="171"/>
      <c r="G20" s="172"/>
      <c r="H20" s="171"/>
      <c r="I20" s="171"/>
      <c r="J20" s="171"/>
      <c r="K20" s="173"/>
    </row>
    <row r="21" spans="1:76" x14ac:dyDescent="0.25">
      <c r="A21" s="2" t="s">
        <v>82</v>
      </c>
      <c r="B21" s="3" t="s">
        <v>83</v>
      </c>
      <c r="C21" s="105" t="s">
        <v>84</v>
      </c>
      <c r="D21" s="102"/>
      <c r="E21" s="3" t="s">
        <v>61</v>
      </c>
      <c r="F21" s="31">
        <v>0.44</v>
      </c>
      <c r="G21" s="32">
        <v>0</v>
      </c>
      <c r="H21" s="31">
        <f>ROUND(F21*AO21,2)</f>
        <v>0</v>
      </c>
      <c r="I21" s="31">
        <f>ROUND(F21*AP21,2)</f>
        <v>0</v>
      </c>
      <c r="J21" s="31">
        <f>ROUND(F21*G21,0)</f>
        <v>0</v>
      </c>
      <c r="K21" s="33" t="s">
        <v>62</v>
      </c>
      <c r="Z21" s="31">
        <f>ROUND(IF(AQ21="5",BJ21,0),2)</f>
        <v>0</v>
      </c>
      <c r="AB21" s="31">
        <f>ROUND(IF(AQ21="1",BH21,0),2)</f>
        <v>0</v>
      </c>
      <c r="AC21" s="31">
        <f>ROUND(IF(AQ21="1",BI21,0),2)</f>
        <v>0</v>
      </c>
      <c r="AD21" s="31">
        <f>ROUND(IF(AQ21="7",BH21,0),2)</f>
        <v>0</v>
      </c>
      <c r="AE21" s="31">
        <f>ROUND(IF(AQ21="7",BI21,0),2)</f>
        <v>0</v>
      </c>
      <c r="AF21" s="31">
        <f>ROUND(IF(AQ21="2",BH21,0),2)</f>
        <v>0</v>
      </c>
      <c r="AG21" s="31">
        <f>ROUND(IF(AQ21="2",BI21,0),2)</f>
        <v>0</v>
      </c>
      <c r="AH21" s="31">
        <f>ROUND(IF(AQ21="0",BJ21,0),2)</f>
        <v>0</v>
      </c>
      <c r="AI21" s="11" t="s">
        <v>54</v>
      </c>
      <c r="AJ21" s="31">
        <f>IF(AN21=0,J21,0)</f>
        <v>0</v>
      </c>
      <c r="AK21" s="31">
        <f>IF(AN21=12,J21,0)</f>
        <v>0</v>
      </c>
      <c r="AL21" s="31">
        <f>IF(AN21=21,J21,0)</f>
        <v>0</v>
      </c>
      <c r="AN21" s="31">
        <v>21</v>
      </c>
      <c r="AO21" s="31">
        <f>G21*0</f>
        <v>0</v>
      </c>
      <c r="AP21" s="31">
        <f>G21*(1-0)</f>
        <v>0</v>
      </c>
      <c r="AQ21" s="34" t="s">
        <v>63</v>
      </c>
      <c r="AV21" s="31">
        <f>ROUND(AW21+AX21,2)</f>
        <v>0</v>
      </c>
      <c r="AW21" s="31">
        <f>ROUND(F21*AO21,2)</f>
        <v>0</v>
      </c>
      <c r="AX21" s="31">
        <f>ROUND(F21*AP21,2)</f>
        <v>0</v>
      </c>
      <c r="AY21" s="34" t="s">
        <v>64</v>
      </c>
      <c r="AZ21" s="34" t="s">
        <v>65</v>
      </c>
      <c r="BA21" s="11" t="s">
        <v>66</v>
      </c>
      <c r="BC21" s="31">
        <f>AW21+AX21</f>
        <v>0</v>
      </c>
      <c r="BD21" s="31">
        <f>G21/(100-BE21)*100</f>
        <v>0</v>
      </c>
      <c r="BE21" s="31">
        <v>0</v>
      </c>
      <c r="BF21" s="31">
        <f>21</f>
        <v>21</v>
      </c>
      <c r="BH21" s="31">
        <f>F21*AO21</f>
        <v>0</v>
      </c>
      <c r="BI21" s="31">
        <f>F21*AP21</f>
        <v>0</v>
      </c>
      <c r="BJ21" s="31">
        <f>F21*G21</f>
        <v>0</v>
      </c>
      <c r="BK21" s="34" t="s">
        <v>67</v>
      </c>
      <c r="BL21" s="31"/>
      <c r="BW21" s="31">
        <v>21</v>
      </c>
      <c r="BX21" s="5" t="s">
        <v>84</v>
      </c>
    </row>
    <row r="22" spans="1:76" x14ac:dyDescent="0.25">
      <c r="A22" s="37" t="s">
        <v>54</v>
      </c>
      <c r="B22" s="38" t="s">
        <v>54</v>
      </c>
      <c r="C22" s="174" t="s">
        <v>85</v>
      </c>
      <c r="D22" s="175"/>
      <c r="E22" s="39" t="s">
        <v>35</v>
      </c>
      <c r="F22" s="39" t="s">
        <v>35</v>
      </c>
      <c r="G22" s="29" t="s">
        <v>35</v>
      </c>
      <c r="H22" s="40">
        <f>H23+H32+H43</f>
        <v>0</v>
      </c>
      <c r="I22" s="40">
        <f>I23+I32+I43</f>
        <v>0</v>
      </c>
      <c r="J22" s="40">
        <f>J23+J32+J43</f>
        <v>0</v>
      </c>
      <c r="K22" s="41" t="s">
        <v>54</v>
      </c>
    </row>
    <row r="23" spans="1:76" x14ac:dyDescent="0.25">
      <c r="A23" s="26" t="s">
        <v>54</v>
      </c>
      <c r="B23" s="27" t="s">
        <v>86</v>
      </c>
      <c r="C23" s="168" t="s">
        <v>87</v>
      </c>
      <c r="D23" s="169"/>
      <c r="E23" s="28" t="s">
        <v>35</v>
      </c>
      <c r="F23" s="28" t="s">
        <v>35</v>
      </c>
      <c r="G23" s="29" t="s">
        <v>35</v>
      </c>
      <c r="H23" s="1">
        <f>ROUND(SUM(H24:H30),0)</f>
        <v>0</v>
      </c>
      <c r="I23" s="1">
        <f>ROUND(SUM(I24:I30),0)</f>
        <v>0</v>
      </c>
      <c r="J23" s="1">
        <f>ROUND(SUM(J24:J30),0)</f>
        <v>0</v>
      </c>
      <c r="K23" s="30" t="s">
        <v>54</v>
      </c>
      <c r="AI23" s="11" t="s">
        <v>54</v>
      </c>
      <c r="AS23" s="1">
        <f>SUM(AJ24:AJ30)</f>
        <v>0</v>
      </c>
      <c r="AT23" s="1">
        <f>SUM(AK24:AK30)</f>
        <v>0</v>
      </c>
      <c r="AU23" s="1">
        <f>SUM(AL24:AL30)</f>
        <v>0</v>
      </c>
    </row>
    <row r="24" spans="1:76" ht="25.5" x14ac:dyDescent="0.25">
      <c r="A24" s="2" t="s">
        <v>88</v>
      </c>
      <c r="B24" s="3" t="s">
        <v>89</v>
      </c>
      <c r="C24" s="105" t="s">
        <v>90</v>
      </c>
      <c r="D24" s="102"/>
      <c r="E24" s="96" t="s">
        <v>104</v>
      </c>
      <c r="F24" s="31">
        <v>1</v>
      </c>
      <c r="G24" s="32">
        <v>0</v>
      </c>
      <c r="H24" s="31">
        <f>ROUND(F24*AO24,2)</f>
        <v>0</v>
      </c>
      <c r="I24" s="31">
        <f>ROUND(F24*AP24,2)</f>
        <v>0</v>
      </c>
      <c r="J24" s="31">
        <f>ROUND(F24*G24,0)</f>
        <v>0</v>
      </c>
      <c r="K24" s="33" t="s">
        <v>62</v>
      </c>
      <c r="Z24" s="31">
        <f>ROUND(IF(AQ24="5",BJ24,0),2)</f>
        <v>0</v>
      </c>
      <c r="AB24" s="31">
        <f>ROUND(IF(AQ24="1",BH24,0),2)</f>
        <v>0</v>
      </c>
      <c r="AC24" s="31">
        <f>ROUND(IF(AQ24="1",BI24,0),2)</f>
        <v>0</v>
      </c>
      <c r="AD24" s="31">
        <f>ROUND(IF(AQ24="7",BH24,0),2)</f>
        <v>0</v>
      </c>
      <c r="AE24" s="31">
        <f>ROUND(IF(AQ24="7",BI24,0),2)</f>
        <v>0</v>
      </c>
      <c r="AF24" s="31">
        <f>ROUND(IF(AQ24="2",BH24,0),2)</f>
        <v>0</v>
      </c>
      <c r="AG24" s="31">
        <f>ROUND(IF(AQ24="2",BI24,0),2)</f>
        <v>0</v>
      </c>
      <c r="AH24" s="31">
        <f>ROUND(IF(AQ24="0",BJ24,0),2)</f>
        <v>0</v>
      </c>
      <c r="AI24" s="11" t="s">
        <v>92</v>
      </c>
      <c r="AJ24" s="31">
        <f>IF(AN24=0,J24,0)</f>
        <v>0</v>
      </c>
      <c r="AK24" s="31">
        <f>IF(AN24=12,J24,0)</f>
        <v>0</v>
      </c>
      <c r="AL24" s="31">
        <f>IF(AN24=21,J24,0)</f>
        <v>0</v>
      </c>
      <c r="AN24" s="31">
        <v>21</v>
      </c>
      <c r="AO24" s="31">
        <f>G24*0</f>
        <v>0</v>
      </c>
      <c r="AP24" s="31">
        <f>G24*(1-0)</f>
        <v>0</v>
      </c>
      <c r="AQ24" s="34" t="s">
        <v>58</v>
      </c>
      <c r="AV24" s="31">
        <f>ROUND(AW24+AX24,2)</f>
        <v>0</v>
      </c>
      <c r="AW24" s="31">
        <f>ROUND(F24*AO24,2)</f>
        <v>0</v>
      </c>
      <c r="AX24" s="31">
        <f>ROUND(F24*AP24,2)</f>
        <v>0</v>
      </c>
      <c r="AY24" s="34" t="s">
        <v>93</v>
      </c>
      <c r="AZ24" s="34" t="s">
        <v>94</v>
      </c>
      <c r="BA24" s="11" t="s">
        <v>95</v>
      </c>
      <c r="BC24" s="31">
        <f>AW24+AX24</f>
        <v>0</v>
      </c>
      <c r="BD24" s="31">
        <f>G24/(100-BE24)*100</f>
        <v>0</v>
      </c>
      <c r="BE24" s="31">
        <v>0</v>
      </c>
      <c r="BF24" s="31">
        <f>24</f>
        <v>24</v>
      </c>
      <c r="BH24" s="31">
        <f>F24*AO24</f>
        <v>0</v>
      </c>
      <c r="BI24" s="31">
        <f>F24*AP24</f>
        <v>0</v>
      </c>
      <c r="BJ24" s="31">
        <f>F24*G24</f>
        <v>0</v>
      </c>
      <c r="BK24" s="34" t="s">
        <v>67</v>
      </c>
      <c r="BL24" s="31"/>
      <c r="BW24" s="31">
        <v>21</v>
      </c>
      <c r="BX24" s="5" t="s">
        <v>90</v>
      </c>
    </row>
    <row r="25" spans="1:76" ht="13.5" customHeight="1" x14ac:dyDescent="0.25">
      <c r="A25" s="35"/>
      <c r="B25" s="36" t="s">
        <v>77</v>
      </c>
      <c r="C25" s="170" t="s">
        <v>96</v>
      </c>
      <c r="D25" s="171"/>
      <c r="E25" s="171"/>
      <c r="F25" s="171"/>
      <c r="G25" s="172"/>
      <c r="H25" s="171"/>
      <c r="I25" s="171"/>
      <c r="J25" s="171"/>
      <c r="K25" s="173"/>
    </row>
    <row r="26" spans="1:76" ht="25.5" x14ac:dyDescent="0.25">
      <c r="A26" s="2" t="s">
        <v>97</v>
      </c>
      <c r="B26" s="96" t="s">
        <v>247</v>
      </c>
      <c r="C26" s="105" t="s">
        <v>98</v>
      </c>
      <c r="D26" s="102"/>
      <c r="E26" s="96" t="s">
        <v>104</v>
      </c>
      <c r="F26" s="31">
        <v>4</v>
      </c>
      <c r="G26" s="32">
        <v>0</v>
      </c>
      <c r="H26" s="31">
        <f>ROUND(F26*AO26,2)</f>
        <v>0</v>
      </c>
      <c r="I26" s="31">
        <f>ROUND(F26*AP26,2)</f>
        <v>0</v>
      </c>
      <c r="J26" s="31">
        <f>ROUND(F26*G26,0)</f>
        <v>0</v>
      </c>
      <c r="K26" s="33" t="s">
        <v>62</v>
      </c>
      <c r="Z26" s="31">
        <f>ROUND(IF(AQ26="5",BJ26,0),2)</f>
        <v>0</v>
      </c>
      <c r="AB26" s="31">
        <f>ROUND(IF(AQ26="1",BH26,0),2)</f>
        <v>0</v>
      </c>
      <c r="AC26" s="31">
        <f>ROUND(IF(AQ26="1",BI26,0),2)</f>
        <v>0</v>
      </c>
      <c r="AD26" s="31">
        <f>ROUND(IF(AQ26="7",BH26,0),2)</f>
        <v>0</v>
      </c>
      <c r="AE26" s="31">
        <f>ROUND(IF(AQ26="7",BI26,0),2)</f>
        <v>0</v>
      </c>
      <c r="AF26" s="31">
        <f>ROUND(IF(AQ26="2",BH26,0),2)</f>
        <v>0</v>
      </c>
      <c r="AG26" s="31">
        <f>ROUND(IF(AQ26="2",BI26,0),2)</f>
        <v>0</v>
      </c>
      <c r="AH26" s="31">
        <f>ROUND(IF(AQ26="0",BJ26,0),2)</f>
        <v>0</v>
      </c>
      <c r="AI26" s="11" t="s">
        <v>92</v>
      </c>
      <c r="AJ26" s="31">
        <f>IF(AN26=0,J26,0)</f>
        <v>0</v>
      </c>
      <c r="AK26" s="31">
        <f>IF(AN26=12,J26,0)</f>
        <v>0</v>
      </c>
      <c r="AL26" s="31">
        <f>IF(AN26=21,J26,0)</f>
        <v>0</v>
      </c>
      <c r="AN26" s="31">
        <v>21</v>
      </c>
      <c r="AO26" s="31">
        <f>G26*0</f>
        <v>0</v>
      </c>
      <c r="AP26" s="31">
        <f>G26*(1-0)</f>
        <v>0</v>
      </c>
      <c r="AQ26" s="34" t="s">
        <v>58</v>
      </c>
      <c r="AV26" s="31">
        <f>ROUND(AW26+AX26,2)</f>
        <v>0</v>
      </c>
      <c r="AW26" s="31">
        <f>ROUND(F26*AO26,2)</f>
        <v>0</v>
      </c>
      <c r="AX26" s="31">
        <f>ROUND(F26*AP26,2)</f>
        <v>0</v>
      </c>
      <c r="AY26" s="34" t="s">
        <v>93</v>
      </c>
      <c r="AZ26" s="34" t="s">
        <v>94</v>
      </c>
      <c r="BA26" s="11" t="s">
        <v>95</v>
      </c>
      <c r="BC26" s="31">
        <f>AW26+AX26</f>
        <v>0</v>
      </c>
      <c r="BD26" s="31">
        <f>G26/(100-BE26)*100</f>
        <v>0</v>
      </c>
      <c r="BE26" s="31">
        <v>0</v>
      </c>
      <c r="BF26" s="31">
        <f>26</f>
        <v>26</v>
      </c>
      <c r="BH26" s="31">
        <f>F26*AO26</f>
        <v>0</v>
      </c>
      <c r="BI26" s="31">
        <f>F26*AP26</f>
        <v>0</v>
      </c>
      <c r="BJ26" s="31">
        <f>F26*G26</f>
        <v>0</v>
      </c>
      <c r="BK26" s="34" t="s">
        <v>67</v>
      </c>
      <c r="BL26" s="31"/>
      <c r="BW26" s="31">
        <v>21</v>
      </c>
      <c r="BX26" s="5" t="s">
        <v>98</v>
      </c>
    </row>
    <row r="27" spans="1:76" ht="13.5" customHeight="1" x14ac:dyDescent="0.25">
      <c r="A27" s="35"/>
      <c r="B27" s="36" t="s">
        <v>77</v>
      </c>
      <c r="C27" s="170" t="s">
        <v>96</v>
      </c>
      <c r="D27" s="171"/>
      <c r="E27" s="171"/>
      <c r="F27" s="171"/>
      <c r="G27" s="172"/>
      <c r="H27" s="171"/>
      <c r="I27" s="171"/>
      <c r="J27" s="171"/>
      <c r="K27" s="173"/>
    </row>
    <row r="28" spans="1:76" ht="25.5" x14ac:dyDescent="0.25">
      <c r="A28" s="2" t="s">
        <v>99</v>
      </c>
      <c r="B28" s="96" t="s">
        <v>248</v>
      </c>
      <c r="C28" s="105" t="s">
        <v>100</v>
      </c>
      <c r="D28" s="102"/>
      <c r="E28" s="96" t="s">
        <v>104</v>
      </c>
      <c r="F28" s="31">
        <v>4</v>
      </c>
      <c r="G28" s="32">
        <v>0</v>
      </c>
      <c r="H28" s="31">
        <f>ROUND(F28*AO28,2)</f>
        <v>0</v>
      </c>
      <c r="I28" s="31">
        <f>ROUND(F28*AP28,2)</f>
        <v>0</v>
      </c>
      <c r="J28" s="31">
        <f>ROUND(F28*G28,0)</f>
        <v>0</v>
      </c>
      <c r="K28" s="33" t="s">
        <v>62</v>
      </c>
      <c r="Z28" s="31">
        <f>ROUND(IF(AQ28="5",BJ28,0),2)</f>
        <v>0</v>
      </c>
      <c r="AB28" s="31">
        <f>ROUND(IF(AQ28="1",BH28,0),2)</f>
        <v>0</v>
      </c>
      <c r="AC28" s="31">
        <f>ROUND(IF(AQ28="1",BI28,0),2)</f>
        <v>0</v>
      </c>
      <c r="AD28" s="31">
        <f>ROUND(IF(AQ28="7",BH28,0),2)</f>
        <v>0</v>
      </c>
      <c r="AE28" s="31">
        <f>ROUND(IF(AQ28="7",BI28,0),2)</f>
        <v>0</v>
      </c>
      <c r="AF28" s="31">
        <f>ROUND(IF(AQ28="2",BH28,0),2)</f>
        <v>0</v>
      </c>
      <c r="AG28" s="31">
        <f>ROUND(IF(AQ28="2",BI28,0),2)</f>
        <v>0</v>
      </c>
      <c r="AH28" s="31">
        <f>ROUND(IF(AQ28="0",BJ28,0),2)</f>
        <v>0</v>
      </c>
      <c r="AI28" s="11" t="s">
        <v>92</v>
      </c>
      <c r="AJ28" s="31">
        <f>IF(AN28=0,J28,0)</f>
        <v>0</v>
      </c>
      <c r="AK28" s="31">
        <f>IF(AN28=12,J28,0)</f>
        <v>0</v>
      </c>
      <c r="AL28" s="31">
        <f>IF(AN28=21,J28,0)</f>
        <v>0</v>
      </c>
      <c r="AN28" s="31">
        <v>21</v>
      </c>
      <c r="AO28" s="31">
        <f>G28*0</f>
        <v>0</v>
      </c>
      <c r="AP28" s="31">
        <f>G28*(1-0)</f>
        <v>0</v>
      </c>
      <c r="AQ28" s="34" t="s">
        <v>58</v>
      </c>
      <c r="AV28" s="31">
        <f>ROUND(AW28+AX28,2)</f>
        <v>0</v>
      </c>
      <c r="AW28" s="31">
        <f>ROUND(F28*AO28,2)</f>
        <v>0</v>
      </c>
      <c r="AX28" s="31">
        <f>ROUND(F28*AP28,2)</f>
        <v>0</v>
      </c>
      <c r="AY28" s="34" t="s">
        <v>93</v>
      </c>
      <c r="AZ28" s="34" t="s">
        <v>94</v>
      </c>
      <c r="BA28" s="11" t="s">
        <v>95</v>
      </c>
      <c r="BC28" s="31">
        <f>AW28+AX28</f>
        <v>0</v>
      </c>
      <c r="BD28" s="31">
        <f>G28/(100-BE28)*100</f>
        <v>0</v>
      </c>
      <c r="BE28" s="31">
        <v>0</v>
      </c>
      <c r="BF28" s="31">
        <f>28</f>
        <v>28</v>
      </c>
      <c r="BH28" s="31">
        <f>F28*AO28</f>
        <v>0</v>
      </c>
      <c r="BI28" s="31">
        <f>F28*AP28</f>
        <v>0</v>
      </c>
      <c r="BJ28" s="31">
        <f>F28*G28</f>
        <v>0</v>
      </c>
      <c r="BK28" s="34" t="s">
        <v>67</v>
      </c>
      <c r="BL28" s="31"/>
      <c r="BW28" s="31">
        <v>21</v>
      </c>
      <c r="BX28" s="5" t="s">
        <v>100</v>
      </c>
    </row>
    <row r="29" spans="1:76" ht="13.5" customHeight="1" x14ac:dyDescent="0.25">
      <c r="A29" s="35"/>
      <c r="B29" s="36" t="s">
        <v>77</v>
      </c>
      <c r="C29" s="170" t="s">
        <v>96</v>
      </c>
      <c r="D29" s="171"/>
      <c r="E29" s="171"/>
      <c r="F29" s="171"/>
      <c r="G29" s="172"/>
      <c r="H29" s="171"/>
      <c r="I29" s="171"/>
      <c r="J29" s="171"/>
      <c r="K29" s="173"/>
    </row>
    <row r="30" spans="1:76" ht="25.5" x14ac:dyDescent="0.25">
      <c r="A30" s="2" t="s">
        <v>101</v>
      </c>
      <c r="B30" s="3" t="s">
        <v>102</v>
      </c>
      <c r="C30" s="105" t="s">
        <v>103</v>
      </c>
      <c r="D30" s="102"/>
      <c r="E30" s="3" t="s">
        <v>104</v>
      </c>
      <c r="F30" s="31">
        <v>1</v>
      </c>
      <c r="G30" s="32">
        <v>0</v>
      </c>
      <c r="H30" s="31">
        <f>ROUND(F30*AO30,2)</f>
        <v>0</v>
      </c>
      <c r="I30" s="31">
        <f>ROUND(F30*AP30,2)</f>
        <v>0</v>
      </c>
      <c r="J30" s="31">
        <f>ROUND(F30*G30,0)</f>
        <v>0</v>
      </c>
      <c r="K30" s="33" t="s">
        <v>105</v>
      </c>
      <c r="Z30" s="31">
        <f>ROUND(IF(AQ30="5",BJ30,0),2)</f>
        <v>0</v>
      </c>
      <c r="AB30" s="31">
        <f>ROUND(IF(AQ30="1",BH30,0),2)</f>
        <v>0</v>
      </c>
      <c r="AC30" s="31">
        <f>ROUND(IF(AQ30="1",BI30,0),2)</f>
        <v>0</v>
      </c>
      <c r="AD30" s="31">
        <f>ROUND(IF(AQ30="7",BH30,0),2)</f>
        <v>0</v>
      </c>
      <c r="AE30" s="31">
        <f>ROUND(IF(AQ30="7",BI30,0),2)</f>
        <v>0</v>
      </c>
      <c r="AF30" s="31">
        <f>ROUND(IF(AQ30="2",BH30,0),2)</f>
        <v>0</v>
      </c>
      <c r="AG30" s="31">
        <f>ROUND(IF(AQ30="2",BI30,0),2)</f>
        <v>0</v>
      </c>
      <c r="AH30" s="31">
        <f>ROUND(IF(AQ30="0",BJ30,0),2)</f>
        <v>0</v>
      </c>
      <c r="AI30" s="11" t="s">
        <v>54</v>
      </c>
      <c r="AJ30" s="31">
        <f>IF(AN30=0,J30,0)</f>
        <v>0</v>
      </c>
      <c r="AK30" s="31">
        <f>IF(AN30=12,J30,0)</f>
        <v>0</v>
      </c>
      <c r="AL30" s="31">
        <f>IF(AN30=21,J30,0)</f>
        <v>0</v>
      </c>
      <c r="AN30" s="31">
        <v>21</v>
      </c>
      <c r="AO30" s="31">
        <f>G30*1</f>
        <v>0</v>
      </c>
      <c r="AP30" s="31">
        <f>G30*(1-1)</f>
        <v>0</v>
      </c>
      <c r="AQ30" s="34" t="s">
        <v>68</v>
      </c>
      <c r="AV30" s="31">
        <f>ROUND(AW30+AX30,2)</f>
        <v>0</v>
      </c>
      <c r="AW30" s="31">
        <f>ROUND(F30*AO30,2)</f>
        <v>0</v>
      </c>
      <c r="AX30" s="31">
        <f>ROUND(F30*AP30,2)</f>
        <v>0</v>
      </c>
      <c r="AY30" s="34" t="s">
        <v>93</v>
      </c>
      <c r="AZ30" s="34" t="s">
        <v>94</v>
      </c>
      <c r="BA30" s="11" t="s">
        <v>66</v>
      </c>
      <c r="BC30" s="31">
        <f>AW30+AX30</f>
        <v>0</v>
      </c>
      <c r="BD30" s="31">
        <f>G30/(100-BE30)*100</f>
        <v>0</v>
      </c>
      <c r="BE30" s="31">
        <v>0</v>
      </c>
      <c r="BF30" s="31">
        <f>30</f>
        <v>30</v>
      </c>
      <c r="BH30" s="31">
        <f>F30*AO30</f>
        <v>0</v>
      </c>
      <c r="BI30" s="31">
        <f>F30*AP30</f>
        <v>0</v>
      </c>
      <c r="BJ30" s="31">
        <f>F30*G30</f>
        <v>0</v>
      </c>
      <c r="BK30" s="34" t="s">
        <v>67</v>
      </c>
      <c r="BL30" s="31"/>
      <c r="BW30" s="31">
        <v>21</v>
      </c>
      <c r="BX30" s="5" t="s">
        <v>103</v>
      </c>
    </row>
    <row r="31" spans="1:76" ht="13.5" customHeight="1" x14ac:dyDescent="0.25">
      <c r="A31" s="35"/>
      <c r="B31" s="36" t="s">
        <v>77</v>
      </c>
      <c r="C31" s="170" t="s">
        <v>96</v>
      </c>
      <c r="D31" s="171"/>
      <c r="E31" s="171"/>
      <c r="F31" s="171"/>
      <c r="G31" s="172"/>
      <c r="H31" s="171"/>
      <c r="I31" s="171"/>
      <c r="J31" s="171"/>
      <c r="K31" s="173"/>
    </row>
    <row r="32" spans="1:76" x14ac:dyDescent="0.25">
      <c r="A32" s="26" t="s">
        <v>54</v>
      </c>
      <c r="B32" s="27" t="s">
        <v>106</v>
      </c>
      <c r="C32" s="168" t="s">
        <v>107</v>
      </c>
      <c r="D32" s="169"/>
      <c r="E32" s="28" t="s">
        <v>35</v>
      </c>
      <c r="F32" s="28" t="s">
        <v>35</v>
      </c>
      <c r="G32" s="29" t="s">
        <v>35</v>
      </c>
      <c r="H32" s="1">
        <f>ROUND(SUM(H33:H41),0)</f>
        <v>0</v>
      </c>
      <c r="I32" s="1">
        <f>ROUND(SUM(I33:I41),0)</f>
        <v>0</v>
      </c>
      <c r="J32" s="1">
        <f>ROUND(SUM(J33:J41),0)</f>
        <v>0</v>
      </c>
      <c r="K32" s="30" t="s">
        <v>54</v>
      </c>
      <c r="AI32" s="11" t="s">
        <v>54</v>
      </c>
      <c r="AS32" s="1">
        <f>SUM(AJ33:AJ41)</f>
        <v>0</v>
      </c>
      <c r="AT32" s="1">
        <f>SUM(AK33:AK41)</f>
        <v>0</v>
      </c>
      <c r="AU32" s="1">
        <f>SUM(AL33:AL41)</f>
        <v>0</v>
      </c>
    </row>
    <row r="33" spans="1:76" ht="25.5" x14ac:dyDescent="0.25">
      <c r="A33" s="2" t="s">
        <v>108</v>
      </c>
      <c r="B33" s="96" t="s">
        <v>249</v>
      </c>
      <c r="C33" s="105" t="s">
        <v>110</v>
      </c>
      <c r="D33" s="102"/>
      <c r="E33" s="3" t="s">
        <v>111</v>
      </c>
      <c r="F33" s="31">
        <v>320</v>
      </c>
      <c r="G33" s="32">
        <v>0</v>
      </c>
      <c r="H33" s="31">
        <f>ROUND(F33*AO33,2)</f>
        <v>0</v>
      </c>
      <c r="I33" s="31">
        <f>ROUND(F33*AP33,2)</f>
        <v>0</v>
      </c>
      <c r="J33" s="31">
        <f>ROUND(F33*G33,0)</f>
        <v>0</v>
      </c>
      <c r="K33" s="33" t="s">
        <v>62</v>
      </c>
      <c r="Z33" s="31">
        <f>ROUND(IF(AQ33="5",BJ33,0),2)</f>
        <v>0</v>
      </c>
      <c r="AB33" s="31">
        <f>ROUND(IF(AQ33="1",BH33,0),2)</f>
        <v>0</v>
      </c>
      <c r="AC33" s="31">
        <f>ROUND(IF(AQ33="1",BI33,0),2)</f>
        <v>0</v>
      </c>
      <c r="AD33" s="31">
        <f>ROUND(IF(AQ33="7",BH33,0),2)</f>
        <v>0</v>
      </c>
      <c r="AE33" s="31">
        <f>ROUND(IF(AQ33="7",BI33,0),2)</f>
        <v>0</v>
      </c>
      <c r="AF33" s="31">
        <f>ROUND(IF(AQ33="2",BH33,0),2)</f>
        <v>0</v>
      </c>
      <c r="AG33" s="31">
        <f>ROUND(IF(AQ33="2",BI33,0),2)</f>
        <v>0</v>
      </c>
      <c r="AH33" s="31">
        <f>ROUND(IF(AQ33="0",BJ33,0),2)</f>
        <v>0</v>
      </c>
      <c r="AI33" s="11" t="s">
        <v>92</v>
      </c>
      <c r="AJ33" s="31">
        <f>IF(AN33=0,J33,0)</f>
        <v>0</v>
      </c>
      <c r="AK33" s="31">
        <f>IF(AN33=12,J33,0)</f>
        <v>0</v>
      </c>
      <c r="AL33" s="31">
        <f>IF(AN33=21,J33,0)</f>
        <v>0</v>
      </c>
      <c r="AN33" s="31">
        <v>21</v>
      </c>
      <c r="AO33" s="31">
        <f>G33*0.540020674</f>
        <v>0</v>
      </c>
      <c r="AP33" s="31">
        <f>G33*(1-0.540020674)</f>
        <v>0</v>
      </c>
      <c r="AQ33" s="34" t="s">
        <v>58</v>
      </c>
      <c r="AV33" s="31">
        <f>ROUND(AW33+AX33,2)</f>
        <v>0</v>
      </c>
      <c r="AW33" s="31">
        <f>ROUND(F33*AO33,2)</f>
        <v>0</v>
      </c>
      <c r="AX33" s="31">
        <f>ROUND(F33*AP33,2)</f>
        <v>0</v>
      </c>
      <c r="AY33" s="34" t="s">
        <v>112</v>
      </c>
      <c r="AZ33" s="34" t="s">
        <v>94</v>
      </c>
      <c r="BA33" s="11" t="s">
        <v>95</v>
      </c>
      <c r="BC33" s="31">
        <f>AW33+AX33</f>
        <v>0</v>
      </c>
      <c r="BD33" s="31">
        <f>G33/(100-BE33)*100</f>
        <v>0</v>
      </c>
      <c r="BE33" s="31">
        <v>0</v>
      </c>
      <c r="BF33" s="31">
        <f>33</f>
        <v>33</v>
      </c>
      <c r="BH33" s="31">
        <f>F33*AO33</f>
        <v>0</v>
      </c>
      <c r="BI33" s="31">
        <f>F33*AP33</f>
        <v>0</v>
      </c>
      <c r="BJ33" s="31">
        <f>F33*G33</f>
        <v>0</v>
      </c>
      <c r="BK33" s="34" t="s">
        <v>67</v>
      </c>
      <c r="BL33" s="31"/>
      <c r="BW33" s="31">
        <v>21</v>
      </c>
      <c r="BX33" s="5" t="s">
        <v>110</v>
      </c>
    </row>
    <row r="34" spans="1:76" ht="13.5" customHeight="1" x14ac:dyDescent="0.25">
      <c r="A34" s="35"/>
      <c r="B34" s="36" t="s">
        <v>77</v>
      </c>
      <c r="C34" s="170" t="s">
        <v>113</v>
      </c>
      <c r="D34" s="171"/>
      <c r="E34" s="171"/>
      <c r="F34" s="171"/>
      <c r="G34" s="172"/>
      <c r="H34" s="171"/>
      <c r="I34" s="171"/>
      <c r="J34" s="171"/>
      <c r="K34" s="173"/>
    </row>
    <row r="35" spans="1:76" ht="25.5" x14ac:dyDescent="0.25">
      <c r="A35" s="2" t="s">
        <v>114</v>
      </c>
      <c r="B35" s="3" t="s">
        <v>109</v>
      </c>
      <c r="C35" s="105" t="s">
        <v>115</v>
      </c>
      <c r="D35" s="102"/>
      <c r="E35" s="3" t="s">
        <v>111</v>
      </c>
      <c r="F35" s="31">
        <v>320</v>
      </c>
      <c r="G35" s="32">
        <v>0</v>
      </c>
      <c r="H35" s="31">
        <f>ROUND(F35*AO35,2)</f>
        <v>0</v>
      </c>
      <c r="I35" s="31">
        <f>ROUND(F35*AP35,2)</f>
        <v>0</v>
      </c>
      <c r="J35" s="31">
        <f>ROUND(F35*G35,0)</f>
        <v>0</v>
      </c>
      <c r="K35" s="33" t="s">
        <v>62</v>
      </c>
      <c r="Z35" s="31">
        <f>ROUND(IF(AQ35="5",BJ35,0),2)</f>
        <v>0</v>
      </c>
      <c r="AB35" s="31">
        <f>ROUND(IF(AQ35="1",BH35,0),2)</f>
        <v>0</v>
      </c>
      <c r="AC35" s="31">
        <f>ROUND(IF(AQ35="1",BI35,0),2)</f>
        <v>0</v>
      </c>
      <c r="AD35" s="31">
        <f>ROUND(IF(AQ35="7",BH35,0),2)</f>
        <v>0</v>
      </c>
      <c r="AE35" s="31">
        <f>ROUND(IF(AQ35="7",BI35,0),2)</f>
        <v>0</v>
      </c>
      <c r="AF35" s="31">
        <f>ROUND(IF(AQ35="2",BH35,0),2)</f>
        <v>0</v>
      </c>
      <c r="AG35" s="31">
        <f>ROUND(IF(AQ35="2",BI35,0),2)</f>
        <v>0</v>
      </c>
      <c r="AH35" s="31">
        <f>ROUND(IF(AQ35="0",BJ35,0),2)</f>
        <v>0</v>
      </c>
      <c r="AI35" s="11" t="s">
        <v>92</v>
      </c>
      <c r="AJ35" s="31">
        <f>IF(AN35=0,J35,0)</f>
        <v>0</v>
      </c>
      <c r="AK35" s="31">
        <f>IF(AN35=12,J35,0)</f>
        <v>0</v>
      </c>
      <c r="AL35" s="31">
        <f>IF(AN35=21,J35,0)</f>
        <v>0</v>
      </c>
      <c r="AN35" s="31">
        <v>21</v>
      </c>
      <c r="AO35" s="31">
        <f>G35*0.699997726</f>
        <v>0</v>
      </c>
      <c r="AP35" s="31">
        <f>G35*(1-0.699997726)</f>
        <v>0</v>
      </c>
      <c r="AQ35" s="34" t="s">
        <v>58</v>
      </c>
      <c r="AV35" s="31">
        <f>ROUND(AW35+AX35,2)</f>
        <v>0</v>
      </c>
      <c r="AW35" s="31">
        <f>ROUND(F35*AO35,2)</f>
        <v>0</v>
      </c>
      <c r="AX35" s="31">
        <f>ROUND(F35*AP35,2)</f>
        <v>0</v>
      </c>
      <c r="AY35" s="34" t="s">
        <v>112</v>
      </c>
      <c r="AZ35" s="34" t="s">
        <v>94</v>
      </c>
      <c r="BA35" s="11" t="s">
        <v>95</v>
      </c>
      <c r="BC35" s="31">
        <f>AW35+AX35</f>
        <v>0</v>
      </c>
      <c r="BD35" s="31">
        <f>G35/(100-BE35)*100</f>
        <v>0</v>
      </c>
      <c r="BE35" s="31">
        <v>0</v>
      </c>
      <c r="BF35" s="31">
        <f>35</f>
        <v>35</v>
      </c>
      <c r="BH35" s="31">
        <f>F35*AO35</f>
        <v>0</v>
      </c>
      <c r="BI35" s="31">
        <f>F35*AP35</f>
        <v>0</v>
      </c>
      <c r="BJ35" s="31">
        <f>F35*G35</f>
        <v>0</v>
      </c>
      <c r="BK35" s="34" t="s">
        <v>67</v>
      </c>
      <c r="BL35" s="31"/>
      <c r="BW35" s="31">
        <v>21</v>
      </c>
      <c r="BX35" s="5" t="s">
        <v>115</v>
      </c>
    </row>
    <row r="36" spans="1:76" ht="13.5" customHeight="1" x14ac:dyDescent="0.25">
      <c r="A36" s="35"/>
      <c r="B36" s="36" t="s">
        <v>77</v>
      </c>
      <c r="C36" s="170" t="s">
        <v>116</v>
      </c>
      <c r="D36" s="171"/>
      <c r="E36" s="171"/>
      <c r="F36" s="171"/>
      <c r="G36" s="172"/>
      <c r="H36" s="171"/>
      <c r="I36" s="171"/>
      <c r="J36" s="171"/>
      <c r="K36" s="173"/>
    </row>
    <row r="37" spans="1:76" x14ac:dyDescent="0.25">
      <c r="A37" s="2" t="s">
        <v>117</v>
      </c>
      <c r="B37" s="96" t="s">
        <v>250</v>
      </c>
      <c r="C37" s="105" t="s">
        <v>118</v>
      </c>
      <c r="D37" s="102"/>
      <c r="E37" s="3" t="s">
        <v>91</v>
      </c>
      <c r="F37" s="31">
        <v>1024</v>
      </c>
      <c r="G37" s="32">
        <v>0</v>
      </c>
      <c r="H37" s="31">
        <f>ROUND(F37*AO37,2)</f>
        <v>0</v>
      </c>
      <c r="I37" s="31">
        <f>ROUND(F37*AP37,2)</f>
        <v>0</v>
      </c>
      <c r="J37" s="31">
        <f>ROUND(F37*G37,0)</f>
        <v>0</v>
      </c>
      <c r="K37" s="33" t="s">
        <v>62</v>
      </c>
      <c r="Z37" s="31">
        <f>ROUND(IF(AQ37="5",BJ37,0),2)</f>
        <v>0</v>
      </c>
      <c r="AB37" s="31">
        <f>ROUND(IF(AQ37="1",BH37,0),2)</f>
        <v>0</v>
      </c>
      <c r="AC37" s="31">
        <f>ROUND(IF(AQ37="1",BI37,0),2)</f>
        <v>0</v>
      </c>
      <c r="AD37" s="31">
        <f>ROUND(IF(AQ37="7",BH37,0),2)</f>
        <v>0</v>
      </c>
      <c r="AE37" s="31">
        <f>ROUND(IF(AQ37="7",BI37,0),2)</f>
        <v>0</v>
      </c>
      <c r="AF37" s="31">
        <f>ROUND(IF(AQ37="2",BH37,0),2)</f>
        <v>0</v>
      </c>
      <c r="AG37" s="31">
        <f>ROUND(IF(AQ37="2",BI37,0),2)</f>
        <v>0</v>
      </c>
      <c r="AH37" s="31">
        <f>ROUND(IF(AQ37="0",BJ37,0),2)</f>
        <v>0</v>
      </c>
      <c r="AI37" s="11" t="s">
        <v>92</v>
      </c>
      <c r="AJ37" s="31">
        <f>IF(AN37=0,J37,0)</f>
        <v>0</v>
      </c>
      <c r="AK37" s="31">
        <f>IF(AN37=12,J37,0)</f>
        <v>0</v>
      </c>
      <c r="AL37" s="31">
        <f>IF(AN37=21,J37,0)</f>
        <v>0</v>
      </c>
      <c r="AN37" s="31">
        <v>21</v>
      </c>
      <c r="AO37" s="31">
        <f>G37*0.450000635</f>
        <v>0</v>
      </c>
      <c r="AP37" s="31">
        <f>G37*(1-0.450000635)</f>
        <v>0</v>
      </c>
      <c r="AQ37" s="34" t="s">
        <v>58</v>
      </c>
      <c r="AV37" s="31">
        <f>ROUND(AW37+AX37,2)</f>
        <v>0</v>
      </c>
      <c r="AW37" s="31">
        <f>ROUND(F37*AO37,2)</f>
        <v>0</v>
      </c>
      <c r="AX37" s="31">
        <f>ROUND(F37*AP37,2)</f>
        <v>0</v>
      </c>
      <c r="AY37" s="34" t="s">
        <v>112</v>
      </c>
      <c r="AZ37" s="34" t="s">
        <v>94</v>
      </c>
      <c r="BA37" s="11" t="s">
        <v>95</v>
      </c>
      <c r="BC37" s="31">
        <f>AW37+AX37</f>
        <v>0</v>
      </c>
      <c r="BD37" s="31">
        <f>G37/(100-BE37)*100</f>
        <v>0</v>
      </c>
      <c r="BE37" s="31">
        <v>0</v>
      </c>
      <c r="BF37" s="31">
        <f>37</f>
        <v>37</v>
      </c>
      <c r="BH37" s="31">
        <f>F37*AO37</f>
        <v>0</v>
      </c>
      <c r="BI37" s="31">
        <f>F37*AP37</f>
        <v>0</v>
      </c>
      <c r="BJ37" s="31">
        <f>F37*G37</f>
        <v>0</v>
      </c>
      <c r="BK37" s="34" t="s">
        <v>67</v>
      </c>
      <c r="BL37" s="31"/>
      <c r="BW37" s="31">
        <v>21</v>
      </c>
      <c r="BX37" s="5" t="s">
        <v>118</v>
      </c>
    </row>
    <row r="38" spans="1:76" ht="13.5" customHeight="1" x14ac:dyDescent="0.25">
      <c r="A38" s="35"/>
      <c r="B38" s="36" t="s">
        <v>77</v>
      </c>
      <c r="C38" s="170" t="s">
        <v>119</v>
      </c>
      <c r="D38" s="171"/>
      <c r="E38" s="171"/>
      <c r="F38" s="171"/>
      <c r="G38" s="172"/>
      <c r="H38" s="171"/>
      <c r="I38" s="171"/>
      <c r="J38" s="171"/>
      <c r="K38" s="173"/>
    </row>
    <row r="39" spans="1:76" ht="25.5" x14ac:dyDescent="0.25">
      <c r="A39" s="2" t="s">
        <v>120</v>
      </c>
      <c r="B39" s="96" t="s">
        <v>251</v>
      </c>
      <c r="C39" s="105" t="s">
        <v>121</v>
      </c>
      <c r="D39" s="102"/>
      <c r="E39" s="3" t="s">
        <v>111</v>
      </c>
      <c r="F39" s="31">
        <v>25</v>
      </c>
      <c r="G39" s="32">
        <v>0</v>
      </c>
      <c r="H39" s="31">
        <f>ROUND(F39*AO39,2)</f>
        <v>0</v>
      </c>
      <c r="I39" s="31">
        <f>ROUND(F39*AP39,2)</f>
        <v>0</v>
      </c>
      <c r="J39" s="31">
        <f>ROUND(F39*G39,0)</f>
        <v>0</v>
      </c>
      <c r="K39" s="33" t="s">
        <v>62</v>
      </c>
      <c r="Z39" s="31">
        <f>ROUND(IF(AQ39="5",BJ39,0),2)</f>
        <v>0</v>
      </c>
      <c r="AB39" s="31">
        <f>ROUND(IF(AQ39="1",BH39,0),2)</f>
        <v>0</v>
      </c>
      <c r="AC39" s="31">
        <f>ROUND(IF(AQ39="1",BI39,0),2)</f>
        <v>0</v>
      </c>
      <c r="AD39" s="31">
        <f>ROUND(IF(AQ39="7",BH39,0),2)</f>
        <v>0</v>
      </c>
      <c r="AE39" s="31">
        <f>ROUND(IF(AQ39="7",BI39,0),2)</f>
        <v>0</v>
      </c>
      <c r="AF39" s="31">
        <f>ROUND(IF(AQ39="2",BH39,0),2)</f>
        <v>0</v>
      </c>
      <c r="AG39" s="31">
        <f>ROUND(IF(AQ39="2",BI39,0),2)</f>
        <v>0</v>
      </c>
      <c r="AH39" s="31">
        <f>ROUND(IF(AQ39="0",BJ39,0),2)</f>
        <v>0</v>
      </c>
      <c r="AI39" s="11" t="s">
        <v>92</v>
      </c>
      <c r="AJ39" s="31">
        <f>IF(AN39=0,J39,0)</f>
        <v>0</v>
      </c>
      <c r="AK39" s="31">
        <f>IF(AN39=12,J39,0)</f>
        <v>0</v>
      </c>
      <c r="AL39" s="31">
        <f>IF(AN39=21,J39,0)</f>
        <v>0</v>
      </c>
      <c r="AN39" s="31">
        <v>21</v>
      </c>
      <c r="AO39" s="31">
        <f>G39*0.549944932</f>
        <v>0</v>
      </c>
      <c r="AP39" s="31">
        <f>G39*(1-0.549944932)</f>
        <v>0</v>
      </c>
      <c r="AQ39" s="34" t="s">
        <v>58</v>
      </c>
      <c r="AV39" s="31">
        <f>ROUND(AW39+AX39,2)</f>
        <v>0</v>
      </c>
      <c r="AW39" s="31">
        <f>ROUND(F39*AO39,2)</f>
        <v>0</v>
      </c>
      <c r="AX39" s="31">
        <f>ROUND(F39*AP39,2)</f>
        <v>0</v>
      </c>
      <c r="AY39" s="34" t="s">
        <v>112</v>
      </c>
      <c r="AZ39" s="34" t="s">
        <v>94</v>
      </c>
      <c r="BA39" s="11" t="s">
        <v>95</v>
      </c>
      <c r="BC39" s="31">
        <f>AW39+AX39</f>
        <v>0</v>
      </c>
      <c r="BD39" s="31">
        <f>G39/(100-BE39)*100</f>
        <v>0</v>
      </c>
      <c r="BE39" s="31">
        <v>0</v>
      </c>
      <c r="BF39" s="31">
        <f>39</f>
        <v>39</v>
      </c>
      <c r="BH39" s="31">
        <f>F39*AO39</f>
        <v>0</v>
      </c>
      <c r="BI39" s="31">
        <f>F39*AP39</f>
        <v>0</v>
      </c>
      <c r="BJ39" s="31">
        <f>F39*G39</f>
        <v>0</v>
      </c>
      <c r="BK39" s="34" t="s">
        <v>67</v>
      </c>
      <c r="BL39" s="31"/>
      <c r="BW39" s="31">
        <v>21</v>
      </c>
      <c r="BX39" s="5" t="s">
        <v>121</v>
      </c>
    </row>
    <row r="40" spans="1:76" ht="13.5" customHeight="1" x14ac:dyDescent="0.25">
      <c r="A40" s="35"/>
      <c r="B40" s="36" t="s">
        <v>77</v>
      </c>
      <c r="C40" s="170" t="s">
        <v>122</v>
      </c>
      <c r="D40" s="171"/>
      <c r="E40" s="171"/>
      <c r="F40" s="171"/>
      <c r="G40" s="172"/>
      <c r="H40" s="171"/>
      <c r="I40" s="171"/>
      <c r="J40" s="171"/>
      <c r="K40" s="173"/>
    </row>
    <row r="41" spans="1:76" ht="25.5" x14ac:dyDescent="0.25">
      <c r="A41" s="2" t="s">
        <v>123</v>
      </c>
      <c r="B41" s="96" t="s">
        <v>252</v>
      </c>
      <c r="C41" s="105" t="s">
        <v>124</v>
      </c>
      <c r="D41" s="102"/>
      <c r="E41" s="3" t="s">
        <v>111</v>
      </c>
      <c r="F41" s="31">
        <v>50</v>
      </c>
      <c r="G41" s="32">
        <v>0</v>
      </c>
      <c r="H41" s="31">
        <f>ROUND(F41*AO41,2)</f>
        <v>0</v>
      </c>
      <c r="I41" s="31">
        <f>ROUND(F41*AP41,2)</f>
        <v>0</v>
      </c>
      <c r="J41" s="31">
        <f>ROUND(F41*G41,0)</f>
        <v>0</v>
      </c>
      <c r="K41" s="33" t="s">
        <v>62</v>
      </c>
      <c r="Z41" s="31">
        <f>ROUND(IF(AQ41="5",BJ41,0),2)</f>
        <v>0</v>
      </c>
      <c r="AB41" s="31">
        <f>ROUND(IF(AQ41="1",BH41,0),2)</f>
        <v>0</v>
      </c>
      <c r="AC41" s="31">
        <f>ROUND(IF(AQ41="1",BI41,0),2)</f>
        <v>0</v>
      </c>
      <c r="AD41" s="31">
        <f>ROUND(IF(AQ41="7",BH41,0),2)</f>
        <v>0</v>
      </c>
      <c r="AE41" s="31">
        <f>ROUND(IF(AQ41="7",BI41,0),2)</f>
        <v>0</v>
      </c>
      <c r="AF41" s="31">
        <f>ROUND(IF(AQ41="2",BH41,0),2)</f>
        <v>0</v>
      </c>
      <c r="AG41" s="31">
        <f>ROUND(IF(AQ41="2",BI41,0),2)</f>
        <v>0</v>
      </c>
      <c r="AH41" s="31">
        <f>ROUND(IF(AQ41="0",BJ41,0),2)</f>
        <v>0</v>
      </c>
      <c r="AI41" s="11" t="s">
        <v>92</v>
      </c>
      <c r="AJ41" s="31">
        <f>IF(AN41=0,J41,0)</f>
        <v>0</v>
      </c>
      <c r="AK41" s="31">
        <f>IF(AN41=12,J41,0)</f>
        <v>0</v>
      </c>
      <c r="AL41" s="31">
        <f>IF(AN41=21,J41,0)</f>
        <v>0</v>
      </c>
      <c r="AN41" s="31">
        <v>21</v>
      </c>
      <c r="AO41" s="31">
        <f>G41*0.579990427</f>
        <v>0</v>
      </c>
      <c r="AP41" s="31">
        <f>G41*(1-0.579990427)</f>
        <v>0</v>
      </c>
      <c r="AQ41" s="34" t="s">
        <v>58</v>
      </c>
      <c r="AV41" s="31">
        <f>ROUND(AW41+AX41,2)</f>
        <v>0</v>
      </c>
      <c r="AW41" s="31">
        <f>ROUND(F41*AO41,2)</f>
        <v>0</v>
      </c>
      <c r="AX41" s="31">
        <f>ROUND(F41*AP41,2)</f>
        <v>0</v>
      </c>
      <c r="AY41" s="34" t="s">
        <v>112</v>
      </c>
      <c r="AZ41" s="34" t="s">
        <v>94</v>
      </c>
      <c r="BA41" s="11" t="s">
        <v>95</v>
      </c>
      <c r="BC41" s="31">
        <f>AW41+AX41</f>
        <v>0</v>
      </c>
      <c r="BD41" s="31">
        <f>G41/(100-BE41)*100</f>
        <v>0</v>
      </c>
      <c r="BE41" s="31">
        <v>0</v>
      </c>
      <c r="BF41" s="31">
        <f>41</f>
        <v>41</v>
      </c>
      <c r="BH41" s="31">
        <f>F41*AO41</f>
        <v>0</v>
      </c>
      <c r="BI41" s="31">
        <f>F41*AP41</f>
        <v>0</v>
      </c>
      <c r="BJ41" s="31">
        <f>F41*G41</f>
        <v>0</v>
      </c>
      <c r="BK41" s="34" t="s">
        <v>67</v>
      </c>
      <c r="BL41" s="31"/>
      <c r="BW41" s="31">
        <v>21</v>
      </c>
      <c r="BX41" s="5" t="s">
        <v>124</v>
      </c>
    </row>
    <row r="42" spans="1:76" ht="13.5" customHeight="1" x14ac:dyDescent="0.25">
      <c r="A42" s="35"/>
      <c r="B42" s="36" t="s">
        <v>77</v>
      </c>
      <c r="C42" s="170" t="s">
        <v>125</v>
      </c>
      <c r="D42" s="171"/>
      <c r="E42" s="171"/>
      <c r="F42" s="171"/>
      <c r="G42" s="172"/>
      <c r="H42" s="171"/>
      <c r="I42" s="171"/>
      <c r="J42" s="171"/>
      <c r="K42" s="173"/>
    </row>
    <row r="43" spans="1:76" x14ac:dyDescent="0.25">
      <c r="A43" s="26" t="s">
        <v>54</v>
      </c>
      <c r="B43" s="27" t="s">
        <v>126</v>
      </c>
      <c r="C43" s="168" t="s">
        <v>127</v>
      </c>
      <c r="D43" s="169"/>
      <c r="E43" s="28" t="s">
        <v>35</v>
      </c>
      <c r="F43" s="28" t="s">
        <v>35</v>
      </c>
      <c r="G43" s="29" t="s">
        <v>35</v>
      </c>
      <c r="H43" s="1">
        <f>ROUND(SUM(H44:H44),0)</f>
        <v>0</v>
      </c>
      <c r="I43" s="1">
        <f>ROUND(SUM(I44:I44),0)</f>
        <v>0</v>
      </c>
      <c r="J43" s="1">
        <f>ROUND(SUM(J44:J44),0)</f>
        <v>0</v>
      </c>
      <c r="K43" s="30" t="s">
        <v>54</v>
      </c>
      <c r="AI43" s="11" t="s">
        <v>54</v>
      </c>
      <c r="AS43" s="1">
        <f>SUM(AJ44:AJ44)</f>
        <v>0</v>
      </c>
      <c r="AT43" s="1">
        <f>SUM(AK44:AK44)</f>
        <v>0</v>
      </c>
      <c r="AU43" s="1">
        <f>SUM(AL44:AL44)</f>
        <v>0</v>
      </c>
    </row>
    <row r="44" spans="1:76" ht="25.5" x14ac:dyDescent="0.25">
      <c r="A44" s="2" t="s">
        <v>128</v>
      </c>
      <c r="B44" s="3" t="s">
        <v>129</v>
      </c>
      <c r="C44" s="105" t="s">
        <v>130</v>
      </c>
      <c r="D44" s="102"/>
      <c r="E44" s="3" t="s">
        <v>104</v>
      </c>
      <c r="F44" s="31">
        <v>1</v>
      </c>
      <c r="G44" s="32">
        <v>0</v>
      </c>
      <c r="H44" s="31">
        <f>ROUND(F44*AO44,2)</f>
        <v>0</v>
      </c>
      <c r="I44" s="31">
        <f>ROUND(F44*AP44,2)</f>
        <v>0</v>
      </c>
      <c r="J44" s="31">
        <f>ROUND(F44*G44,0)</f>
        <v>0</v>
      </c>
      <c r="K44" s="33" t="s">
        <v>105</v>
      </c>
      <c r="Z44" s="31">
        <f>ROUND(IF(AQ44="5",BJ44,0),2)</f>
        <v>0</v>
      </c>
      <c r="AB44" s="31">
        <f>ROUND(IF(AQ44="1",BH44,0),2)</f>
        <v>0</v>
      </c>
      <c r="AC44" s="31">
        <f>ROUND(IF(AQ44="1",BI44,0),2)</f>
        <v>0</v>
      </c>
      <c r="AD44" s="31">
        <f>ROUND(IF(AQ44="7",BH44,0),2)</f>
        <v>0</v>
      </c>
      <c r="AE44" s="31">
        <f>ROUND(IF(AQ44="7",BI44,0),2)</f>
        <v>0</v>
      </c>
      <c r="AF44" s="31">
        <f>ROUND(IF(AQ44="2",BH44,0),2)</f>
        <v>0</v>
      </c>
      <c r="AG44" s="31">
        <f>ROUND(IF(AQ44="2",BI44,0),2)</f>
        <v>0</v>
      </c>
      <c r="AH44" s="31">
        <f>ROUND(IF(AQ44="0",BJ44,0),2)</f>
        <v>0</v>
      </c>
      <c r="AI44" s="11" t="s">
        <v>54</v>
      </c>
      <c r="AJ44" s="31">
        <f>IF(AN44=0,J44,0)</f>
        <v>0</v>
      </c>
      <c r="AK44" s="31">
        <f>IF(AN44=12,J44,0)</f>
        <v>0</v>
      </c>
      <c r="AL44" s="31">
        <f>IF(AN44=21,J44,0)</f>
        <v>0</v>
      </c>
      <c r="AN44" s="31">
        <v>21</v>
      </c>
      <c r="AO44" s="31">
        <f>G44*1</f>
        <v>0</v>
      </c>
      <c r="AP44" s="31">
        <f>G44*(1-1)</f>
        <v>0</v>
      </c>
      <c r="AQ44" s="34" t="s">
        <v>68</v>
      </c>
      <c r="AV44" s="31">
        <f>ROUND(AW44+AX44,2)</f>
        <v>0</v>
      </c>
      <c r="AW44" s="31">
        <f>ROUND(F44*AO44,2)</f>
        <v>0</v>
      </c>
      <c r="AX44" s="31">
        <f>ROUND(F44*AP44,2)</f>
        <v>0</v>
      </c>
      <c r="AY44" s="34" t="s">
        <v>131</v>
      </c>
      <c r="AZ44" s="34" t="s">
        <v>94</v>
      </c>
      <c r="BA44" s="11" t="s">
        <v>66</v>
      </c>
      <c r="BC44" s="31">
        <f>AW44+AX44</f>
        <v>0</v>
      </c>
      <c r="BD44" s="31">
        <f>G44/(100-BE44)*100</f>
        <v>0</v>
      </c>
      <c r="BE44" s="31">
        <v>0</v>
      </c>
      <c r="BF44" s="31">
        <f>44</f>
        <v>44</v>
      </c>
      <c r="BH44" s="31">
        <f>F44*AO44</f>
        <v>0</v>
      </c>
      <c r="BI44" s="31">
        <f>F44*AP44</f>
        <v>0</v>
      </c>
      <c r="BJ44" s="31">
        <f>F44*G44</f>
        <v>0</v>
      </c>
      <c r="BK44" s="34" t="s">
        <v>67</v>
      </c>
      <c r="BL44" s="31"/>
      <c r="BW44" s="31">
        <v>21</v>
      </c>
      <c r="BX44" s="5" t="s">
        <v>130</v>
      </c>
    </row>
    <row r="45" spans="1:76" x14ac:dyDescent="0.25">
      <c r="A45" s="26" t="s">
        <v>54</v>
      </c>
      <c r="B45" s="27" t="s">
        <v>132</v>
      </c>
      <c r="C45" s="168" t="s">
        <v>132</v>
      </c>
      <c r="D45" s="169"/>
      <c r="E45" s="28" t="s">
        <v>35</v>
      </c>
      <c r="F45" s="28" t="s">
        <v>35</v>
      </c>
      <c r="G45" s="29" t="s">
        <v>35</v>
      </c>
      <c r="H45" s="1">
        <f>ROUND(SUM(H46:H56),0)</f>
        <v>0</v>
      </c>
      <c r="I45" s="1">
        <f>ROUND(SUM(I46:I56),0)</f>
        <v>0</v>
      </c>
      <c r="J45" s="1">
        <f>ROUND(SUM(J46:J56),0)</f>
        <v>0</v>
      </c>
      <c r="K45" s="30" t="s">
        <v>54</v>
      </c>
      <c r="AI45" s="11" t="s">
        <v>54</v>
      </c>
      <c r="AS45" s="1">
        <f>SUM(AJ46:AJ56)</f>
        <v>0</v>
      </c>
      <c r="AT45" s="1">
        <f>SUM(AK46:AK56)</f>
        <v>0</v>
      </c>
      <c r="AU45" s="1">
        <f>SUM(AL46:AL56)</f>
        <v>0</v>
      </c>
    </row>
    <row r="46" spans="1:76" x14ac:dyDescent="0.25">
      <c r="A46" s="2" t="s">
        <v>133</v>
      </c>
      <c r="B46" s="96" t="s">
        <v>253</v>
      </c>
      <c r="C46" s="105" t="s">
        <v>135</v>
      </c>
      <c r="D46" s="102"/>
      <c r="E46" s="96" t="s">
        <v>104</v>
      </c>
      <c r="F46" s="31">
        <v>1</v>
      </c>
      <c r="G46" s="32">
        <v>0</v>
      </c>
      <c r="H46" s="31">
        <f t="shared" ref="H46:H56" si="0">ROUND(F46*AO46,2)</f>
        <v>0</v>
      </c>
      <c r="I46" s="31">
        <f t="shared" ref="I46:I56" si="1">ROUND(F46*AP46,2)</f>
        <v>0</v>
      </c>
      <c r="J46" s="31">
        <f t="shared" ref="J46:J56" si="2">ROUND(F46*G46,0)</f>
        <v>0</v>
      </c>
      <c r="K46" s="33" t="s">
        <v>62</v>
      </c>
      <c r="Z46" s="31">
        <f t="shared" ref="Z46:Z56" si="3">ROUND(IF(AQ46="5",BJ46,0),2)</f>
        <v>0</v>
      </c>
      <c r="AB46" s="31">
        <f t="shared" ref="AB46:AB56" si="4">ROUND(IF(AQ46="1",BH46,0),2)</f>
        <v>0</v>
      </c>
      <c r="AC46" s="31">
        <f t="shared" ref="AC46:AC56" si="5">ROUND(IF(AQ46="1",BI46,0),2)</f>
        <v>0</v>
      </c>
      <c r="AD46" s="31">
        <f t="shared" ref="AD46:AD56" si="6">ROUND(IF(AQ46="7",BH46,0),2)</f>
        <v>0</v>
      </c>
      <c r="AE46" s="31">
        <f t="shared" ref="AE46:AE56" si="7">ROUND(IF(AQ46="7",BI46,0),2)</f>
        <v>0</v>
      </c>
      <c r="AF46" s="31">
        <f t="shared" ref="AF46:AF56" si="8">ROUND(IF(AQ46="2",BH46,0),2)</f>
        <v>0</v>
      </c>
      <c r="AG46" s="31">
        <f t="shared" ref="AG46:AG56" si="9">ROUND(IF(AQ46="2",BI46,0),2)</f>
        <v>0</v>
      </c>
      <c r="AH46" s="31">
        <f t="shared" ref="AH46:AH56" si="10">ROUND(IF(AQ46="0",BJ46,0),2)</f>
        <v>0</v>
      </c>
      <c r="AI46" s="11" t="s">
        <v>92</v>
      </c>
      <c r="AJ46" s="31">
        <f t="shared" ref="AJ46:AJ56" si="11">IF(AN46=0,J46,0)</f>
        <v>0</v>
      </c>
      <c r="AK46" s="31">
        <f t="shared" ref="AK46:AK56" si="12">IF(AN46=12,J46,0)</f>
        <v>0</v>
      </c>
      <c r="AL46" s="31">
        <f t="shared" ref="AL46:AL56" si="13">IF(AN46=21,J46,0)</f>
        <v>0</v>
      </c>
      <c r="AN46" s="31">
        <v>21</v>
      </c>
      <c r="AO46" s="31">
        <f t="shared" ref="AO46:AO56" si="14">G46*0</f>
        <v>0</v>
      </c>
      <c r="AP46" s="31">
        <f t="shared" ref="AP46:AP56" si="15">G46*(1-0)</f>
        <v>0</v>
      </c>
      <c r="AQ46" s="34" t="s">
        <v>58</v>
      </c>
      <c r="AV46" s="31">
        <f t="shared" ref="AV46:AV56" si="16">ROUND(AW46+AX46,2)</f>
        <v>0</v>
      </c>
      <c r="AW46" s="31">
        <f t="shared" ref="AW46:AW56" si="17">ROUND(F46*AO46,2)</f>
        <v>0</v>
      </c>
      <c r="AX46" s="31">
        <f t="shared" ref="AX46:AX56" si="18">ROUND(F46*AP46,2)</f>
        <v>0</v>
      </c>
      <c r="AY46" s="34" t="s">
        <v>136</v>
      </c>
      <c r="AZ46" s="34" t="s">
        <v>137</v>
      </c>
      <c r="BA46" s="11" t="s">
        <v>95</v>
      </c>
      <c r="BC46" s="31">
        <f t="shared" ref="BC46:BC56" si="19">AW46+AX46</f>
        <v>0</v>
      </c>
      <c r="BD46" s="31">
        <f t="shared" ref="BD46:BD56" si="20">G46/(100-BE46)*100</f>
        <v>0</v>
      </c>
      <c r="BE46" s="31">
        <v>0</v>
      </c>
      <c r="BF46" s="31">
        <f>47</f>
        <v>47</v>
      </c>
      <c r="BH46" s="31">
        <f t="shared" ref="BH46:BH56" si="21">F46*AO46</f>
        <v>0</v>
      </c>
      <c r="BI46" s="31">
        <f t="shared" ref="BI46:BI56" si="22">F46*AP46</f>
        <v>0</v>
      </c>
      <c r="BJ46" s="31">
        <f t="shared" ref="BJ46:BJ56" si="23">F46*G46</f>
        <v>0</v>
      </c>
      <c r="BK46" s="34" t="s">
        <v>67</v>
      </c>
      <c r="BL46" s="31"/>
      <c r="BW46" s="31">
        <v>21</v>
      </c>
      <c r="BX46" s="5" t="s">
        <v>135</v>
      </c>
    </row>
    <row r="47" spans="1:76" x14ac:dyDescent="0.25">
      <c r="A47" s="2" t="s">
        <v>138</v>
      </c>
      <c r="B47" s="96" t="s">
        <v>254</v>
      </c>
      <c r="C47" s="105" t="s">
        <v>139</v>
      </c>
      <c r="D47" s="102"/>
      <c r="E47" s="96" t="s">
        <v>104</v>
      </c>
      <c r="F47" s="31">
        <v>1</v>
      </c>
      <c r="G47" s="32">
        <v>0</v>
      </c>
      <c r="H47" s="31">
        <f t="shared" si="0"/>
        <v>0</v>
      </c>
      <c r="I47" s="31">
        <f t="shared" si="1"/>
        <v>0</v>
      </c>
      <c r="J47" s="31">
        <f t="shared" si="2"/>
        <v>0</v>
      </c>
      <c r="K47" s="33" t="s">
        <v>62</v>
      </c>
      <c r="Z47" s="31">
        <f t="shared" si="3"/>
        <v>0</v>
      </c>
      <c r="AB47" s="31">
        <f t="shared" si="4"/>
        <v>0</v>
      </c>
      <c r="AC47" s="31">
        <f t="shared" si="5"/>
        <v>0</v>
      </c>
      <c r="AD47" s="31">
        <f t="shared" si="6"/>
        <v>0</v>
      </c>
      <c r="AE47" s="31">
        <f t="shared" si="7"/>
        <v>0</v>
      </c>
      <c r="AF47" s="31">
        <f t="shared" si="8"/>
        <v>0</v>
      </c>
      <c r="AG47" s="31">
        <f t="shared" si="9"/>
        <v>0</v>
      </c>
      <c r="AH47" s="31">
        <f t="shared" si="10"/>
        <v>0</v>
      </c>
      <c r="AI47" s="11" t="s">
        <v>92</v>
      </c>
      <c r="AJ47" s="31">
        <f t="shared" si="11"/>
        <v>0</v>
      </c>
      <c r="AK47" s="31">
        <f t="shared" si="12"/>
        <v>0</v>
      </c>
      <c r="AL47" s="31">
        <f t="shared" si="13"/>
        <v>0</v>
      </c>
      <c r="AN47" s="31">
        <v>21</v>
      </c>
      <c r="AO47" s="31">
        <f t="shared" si="14"/>
        <v>0</v>
      </c>
      <c r="AP47" s="31">
        <f t="shared" si="15"/>
        <v>0</v>
      </c>
      <c r="AQ47" s="34" t="s">
        <v>58</v>
      </c>
      <c r="AV47" s="31">
        <f t="shared" si="16"/>
        <v>0</v>
      </c>
      <c r="AW47" s="31">
        <f t="shared" si="17"/>
        <v>0</v>
      </c>
      <c r="AX47" s="31">
        <f t="shared" si="18"/>
        <v>0</v>
      </c>
      <c r="AY47" s="34" t="s">
        <v>136</v>
      </c>
      <c r="AZ47" s="34" t="s">
        <v>137</v>
      </c>
      <c r="BA47" s="11" t="s">
        <v>95</v>
      </c>
      <c r="BC47" s="31">
        <f t="shared" si="19"/>
        <v>0</v>
      </c>
      <c r="BD47" s="31">
        <f t="shared" si="20"/>
        <v>0</v>
      </c>
      <c r="BE47" s="31">
        <v>0</v>
      </c>
      <c r="BF47" s="31">
        <f>48</f>
        <v>48</v>
      </c>
      <c r="BH47" s="31">
        <f t="shared" si="21"/>
        <v>0</v>
      </c>
      <c r="BI47" s="31">
        <f t="shared" si="22"/>
        <v>0</v>
      </c>
      <c r="BJ47" s="31">
        <f t="shared" si="23"/>
        <v>0</v>
      </c>
      <c r="BK47" s="34" t="s">
        <v>67</v>
      </c>
      <c r="BL47" s="31"/>
      <c r="BW47" s="31">
        <v>21</v>
      </c>
      <c r="BX47" s="5" t="s">
        <v>139</v>
      </c>
    </row>
    <row r="48" spans="1:76" x14ac:dyDescent="0.25">
      <c r="A48" s="2" t="s">
        <v>140</v>
      </c>
      <c r="B48" s="96" t="s">
        <v>255</v>
      </c>
      <c r="C48" s="105" t="s">
        <v>141</v>
      </c>
      <c r="D48" s="102"/>
      <c r="E48" s="96" t="s">
        <v>104</v>
      </c>
      <c r="F48" s="31">
        <v>1</v>
      </c>
      <c r="G48" s="32">
        <v>0</v>
      </c>
      <c r="H48" s="31">
        <f t="shared" si="0"/>
        <v>0</v>
      </c>
      <c r="I48" s="31">
        <f t="shared" si="1"/>
        <v>0</v>
      </c>
      <c r="J48" s="31">
        <f t="shared" si="2"/>
        <v>0</v>
      </c>
      <c r="K48" s="33" t="s">
        <v>62</v>
      </c>
      <c r="Z48" s="31">
        <f t="shared" si="3"/>
        <v>0</v>
      </c>
      <c r="AB48" s="31">
        <f t="shared" si="4"/>
        <v>0</v>
      </c>
      <c r="AC48" s="31">
        <f t="shared" si="5"/>
        <v>0</v>
      </c>
      <c r="AD48" s="31">
        <f t="shared" si="6"/>
        <v>0</v>
      </c>
      <c r="AE48" s="31">
        <f t="shared" si="7"/>
        <v>0</v>
      </c>
      <c r="AF48" s="31">
        <f t="shared" si="8"/>
        <v>0</v>
      </c>
      <c r="AG48" s="31">
        <f t="shared" si="9"/>
        <v>0</v>
      </c>
      <c r="AH48" s="31">
        <f t="shared" si="10"/>
        <v>0</v>
      </c>
      <c r="AI48" s="11" t="s">
        <v>92</v>
      </c>
      <c r="AJ48" s="31">
        <f t="shared" si="11"/>
        <v>0</v>
      </c>
      <c r="AK48" s="31">
        <f t="shared" si="12"/>
        <v>0</v>
      </c>
      <c r="AL48" s="31">
        <f t="shared" si="13"/>
        <v>0</v>
      </c>
      <c r="AN48" s="31">
        <v>21</v>
      </c>
      <c r="AO48" s="31">
        <f t="shared" si="14"/>
        <v>0</v>
      </c>
      <c r="AP48" s="31">
        <f t="shared" si="15"/>
        <v>0</v>
      </c>
      <c r="AQ48" s="34" t="s">
        <v>58</v>
      </c>
      <c r="AV48" s="31">
        <f t="shared" si="16"/>
        <v>0</v>
      </c>
      <c r="AW48" s="31">
        <f t="shared" si="17"/>
        <v>0</v>
      </c>
      <c r="AX48" s="31">
        <f t="shared" si="18"/>
        <v>0</v>
      </c>
      <c r="AY48" s="34" t="s">
        <v>136</v>
      </c>
      <c r="AZ48" s="34" t="s">
        <v>137</v>
      </c>
      <c r="BA48" s="11" t="s">
        <v>95</v>
      </c>
      <c r="BC48" s="31">
        <f t="shared" si="19"/>
        <v>0</v>
      </c>
      <c r="BD48" s="31">
        <f t="shared" si="20"/>
        <v>0</v>
      </c>
      <c r="BE48" s="31">
        <v>0</v>
      </c>
      <c r="BF48" s="31">
        <f>49</f>
        <v>49</v>
      </c>
      <c r="BH48" s="31">
        <f t="shared" si="21"/>
        <v>0</v>
      </c>
      <c r="BI48" s="31">
        <f t="shared" si="22"/>
        <v>0</v>
      </c>
      <c r="BJ48" s="31">
        <f t="shared" si="23"/>
        <v>0</v>
      </c>
      <c r="BK48" s="34" t="s">
        <v>67</v>
      </c>
      <c r="BL48" s="31"/>
      <c r="BW48" s="31">
        <v>21</v>
      </c>
      <c r="BX48" s="5" t="s">
        <v>141</v>
      </c>
    </row>
    <row r="49" spans="1:76" x14ac:dyDescent="0.25">
      <c r="A49" s="2" t="s">
        <v>142</v>
      </c>
      <c r="B49" s="3" t="s">
        <v>134</v>
      </c>
      <c r="C49" s="105" t="s">
        <v>143</v>
      </c>
      <c r="D49" s="102"/>
      <c r="E49" s="96" t="s">
        <v>104</v>
      </c>
      <c r="F49" s="31">
        <v>1</v>
      </c>
      <c r="G49" s="32">
        <v>0</v>
      </c>
      <c r="H49" s="31">
        <f t="shared" si="0"/>
        <v>0</v>
      </c>
      <c r="I49" s="31">
        <f t="shared" si="1"/>
        <v>0</v>
      </c>
      <c r="J49" s="31">
        <f t="shared" si="2"/>
        <v>0</v>
      </c>
      <c r="K49" s="33" t="s">
        <v>62</v>
      </c>
      <c r="Z49" s="31">
        <f t="shared" si="3"/>
        <v>0</v>
      </c>
      <c r="AB49" s="31">
        <f t="shared" si="4"/>
        <v>0</v>
      </c>
      <c r="AC49" s="31">
        <f t="shared" si="5"/>
        <v>0</v>
      </c>
      <c r="AD49" s="31">
        <f t="shared" si="6"/>
        <v>0</v>
      </c>
      <c r="AE49" s="31">
        <f t="shared" si="7"/>
        <v>0</v>
      </c>
      <c r="AF49" s="31">
        <f t="shared" si="8"/>
        <v>0</v>
      </c>
      <c r="AG49" s="31">
        <f t="shared" si="9"/>
        <v>0</v>
      </c>
      <c r="AH49" s="31">
        <f t="shared" si="10"/>
        <v>0</v>
      </c>
      <c r="AI49" s="11" t="s">
        <v>92</v>
      </c>
      <c r="AJ49" s="31">
        <f t="shared" si="11"/>
        <v>0</v>
      </c>
      <c r="AK49" s="31">
        <f t="shared" si="12"/>
        <v>0</v>
      </c>
      <c r="AL49" s="31">
        <f t="shared" si="13"/>
        <v>0</v>
      </c>
      <c r="AN49" s="31">
        <v>21</v>
      </c>
      <c r="AO49" s="31">
        <f t="shared" si="14"/>
        <v>0</v>
      </c>
      <c r="AP49" s="31">
        <f t="shared" si="15"/>
        <v>0</v>
      </c>
      <c r="AQ49" s="34" t="s">
        <v>58</v>
      </c>
      <c r="AV49" s="31">
        <f t="shared" si="16"/>
        <v>0</v>
      </c>
      <c r="AW49" s="31">
        <f t="shared" si="17"/>
        <v>0</v>
      </c>
      <c r="AX49" s="31">
        <f t="shared" si="18"/>
        <v>0</v>
      </c>
      <c r="AY49" s="34" t="s">
        <v>136</v>
      </c>
      <c r="AZ49" s="34" t="s">
        <v>137</v>
      </c>
      <c r="BA49" s="11" t="s">
        <v>95</v>
      </c>
      <c r="BC49" s="31">
        <f t="shared" si="19"/>
        <v>0</v>
      </c>
      <c r="BD49" s="31">
        <f t="shared" si="20"/>
        <v>0</v>
      </c>
      <c r="BE49" s="31">
        <v>0</v>
      </c>
      <c r="BF49" s="31">
        <f>50</f>
        <v>50</v>
      </c>
      <c r="BH49" s="31">
        <f t="shared" si="21"/>
        <v>0</v>
      </c>
      <c r="BI49" s="31">
        <f t="shared" si="22"/>
        <v>0</v>
      </c>
      <c r="BJ49" s="31">
        <f t="shared" si="23"/>
        <v>0</v>
      </c>
      <c r="BK49" s="34" t="s">
        <v>67</v>
      </c>
      <c r="BL49" s="31"/>
      <c r="BW49" s="31">
        <v>21</v>
      </c>
      <c r="BX49" s="5" t="s">
        <v>143</v>
      </c>
    </row>
    <row r="50" spans="1:76" x14ac:dyDescent="0.25">
      <c r="A50" s="2" t="s">
        <v>144</v>
      </c>
      <c r="B50" s="96" t="s">
        <v>256</v>
      </c>
      <c r="C50" s="105" t="s">
        <v>145</v>
      </c>
      <c r="D50" s="102"/>
      <c r="E50" s="96" t="s">
        <v>104</v>
      </c>
      <c r="F50" s="31">
        <v>1</v>
      </c>
      <c r="G50" s="32">
        <v>0</v>
      </c>
      <c r="H50" s="31">
        <f t="shared" si="0"/>
        <v>0</v>
      </c>
      <c r="I50" s="31">
        <f t="shared" si="1"/>
        <v>0</v>
      </c>
      <c r="J50" s="31">
        <f t="shared" si="2"/>
        <v>0</v>
      </c>
      <c r="K50" s="33" t="s">
        <v>62</v>
      </c>
      <c r="Z50" s="31">
        <f t="shared" si="3"/>
        <v>0</v>
      </c>
      <c r="AB50" s="31">
        <f t="shared" si="4"/>
        <v>0</v>
      </c>
      <c r="AC50" s="31">
        <f t="shared" si="5"/>
        <v>0</v>
      </c>
      <c r="AD50" s="31">
        <f t="shared" si="6"/>
        <v>0</v>
      </c>
      <c r="AE50" s="31">
        <f t="shared" si="7"/>
        <v>0</v>
      </c>
      <c r="AF50" s="31">
        <f t="shared" si="8"/>
        <v>0</v>
      </c>
      <c r="AG50" s="31">
        <f t="shared" si="9"/>
        <v>0</v>
      </c>
      <c r="AH50" s="31">
        <f t="shared" si="10"/>
        <v>0</v>
      </c>
      <c r="AI50" s="11" t="s">
        <v>92</v>
      </c>
      <c r="AJ50" s="31">
        <f t="shared" si="11"/>
        <v>0</v>
      </c>
      <c r="AK50" s="31">
        <f t="shared" si="12"/>
        <v>0</v>
      </c>
      <c r="AL50" s="31">
        <f t="shared" si="13"/>
        <v>0</v>
      </c>
      <c r="AN50" s="31">
        <v>21</v>
      </c>
      <c r="AO50" s="31">
        <f t="shared" si="14"/>
        <v>0</v>
      </c>
      <c r="AP50" s="31">
        <f t="shared" si="15"/>
        <v>0</v>
      </c>
      <c r="AQ50" s="34" t="s">
        <v>58</v>
      </c>
      <c r="AV50" s="31">
        <f t="shared" si="16"/>
        <v>0</v>
      </c>
      <c r="AW50" s="31">
        <f t="shared" si="17"/>
        <v>0</v>
      </c>
      <c r="AX50" s="31">
        <f t="shared" si="18"/>
        <v>0</v>
      </c>
      <c r="AY50" s="34" t="s">
        <v>136</v>
      </c>
      <c r="AZ50" s="34" t="s">
        <v>137</v>
      </c>
      <c r="BA50" s="11" t="s">
        <v>95</v>
      </c>
      <c r="BC50" s="31">
        <f t="shared" si="19"/>
        <v>0</v>
      </c>
      <c r="BD50" s="31">
        <f t="shared" si="20"/>
        <v>0</v>
      </c>
      <c r="BE50" s="31">
        <v>0</v>
      </c>
      <c r="BF50" s="31">
        <f>51</f>
        <v>51</v>
      </c>
      <c r="BH50" s="31">
        <f t="shared" si="21"/>
        <v>0</v>
      </c>
      <c r="BI50" s="31">
        <f t="shared" si="22"/>
        <v>0</v>
      </c>
      <c r="BJ50" s="31">
        <f t="shared" si="23"/>
        <v>0</v>
      </c>
      <c r="BK50" s="34" t="s">
        <v>67</v>
      </c>
      <c r="BL50" s="31"/>
      <c r="BW50" s="31">
        <v>21</v>
      </c>
      <c r="BX50" s="5" t="s">
        <v>145</v>
      </c>
    </row>
    <row r="51" spans="1:76" x14ac:dyDescent="0.25">
      <c r="A51" s="2" t="s">
        <v>146</v>
      </c>
      <c r="B51" s="96" t="s">
        <v>257</v>
      </c>
      <c r="C51" s="105" t="s">
        <v>147</v>
      </c>
      <c r="D51" s="102"/>
      <c r="E51" s="96" t="s">
        <v>104</v>
      </c>
      <c r="F51" s="31">
        <v>1</v>
      </c>
      <c r="G51" s="32">
        <v>0</v>
      </c>
      <c r="H51" s="31">
        <f t="shared" si="0"/>
        <v>0</v>
      </c>
      <c r="I51" s="31">
        <f t="shared" si="1"/>
        <v>0</v>
      </c>
      <c r="J51" s="31">
        <f t="shared" si="2"/>
        <v>0</v>
      </c>
      <c r="K51" s="33" t="s">
        <v>62</v>
      </c>
      <c r="Z51" s="31">
        <f t="shared" si="3"/>
        <v>0</v>
      </c>
      <c r="AB51" s="31">
        <f t="shared" si="4"/>
        <v>0</v>
      </c>
      <c r="AC51" s="31">
        <f t="shared" si="5"/>
        <v>0</v>
      </c>
      <c r="AD51" s="31">
        <f t="shared" si="6"/>
        <v>0</v>
      </c>
      <c r="AE51" s="31">
        <f t="shared" si="7"/>
        <v>0</v>
      </c>
      <c r="AF51" s="31">
        <f t="shared" si="8"/>
        <v>0</v>
      </c>
      <c r="AG51" s="31">
        <f t="shared" si="9"/>
        <v>0</v>
      </c>
      <c r="AH51" s="31">
        <f t="shared" si="10"/>
        <v>0</v>
      </c>
      <c r="AI51" s="11" t="s">
        <v>92</v>
      </c>
      <c r="AJ51" s="31">
        <f t="shared" si="11"/>
        <v>0</v>
      </c>
      <c r="AK51" s="31">
        <f t="shared" si="12"/>
        <v>0</v>
      </c>
      <c r="AL51" s="31">
        <f t="shared" si="13"/>
        <v>0</v>
      </c>
      <c r="AN51" s="31">
        <v>21</v>
      </c>
      <c r="AO51" s="31">
        <f t="shared" si="14"/>
        <v>0</v>
      </c>
      <c r="AP51" s="31">
        <f t="shared" si="15"/>
        <v>0</v>
      </c>
      <c r="AQ51" s="34" t="s">
        <v>58</v>
      </c>
      <c r="AV51" s="31">
        <f t="shared" si="16"/>
        <v>0</v>
      </c>
      <c r="AW51" s="31">
        <f t="shared" si="17"/>
        <v>0</v>
      </c>
      <c r="AX51" s="31">
        <f t="shared" si="18"/>
        <v>0</v>
      </c>
      <c r="AY51" s="34" t="s">
        <v>136</v>
      </c>
      <c r="AZ51" s="34" t="s">
        <v>137</v>
      </c>
      <c r="BA51" s="11" t="s">
        <v>95</v>
      </c>
      <c r="BC51" s="31">
        <f t="shared" si="19"/>
        <v>0</v>
      </c>
      <c r="BD51" s="31">
        <f t="shared" si="20"/>
        <v>0</v>
      </c>
      <c r="BE51" s="31">
        <v>0</v>
      </c>
      <c r="BF51" s="31">
        <f>52</f>
        <v>52</v>
      </c>
      <c r="BH51" s="31">
        <f t="shared" si="21"/>
        <v>0</v>
      </c>
      <c r="BI51" s="31">
        <f t="shared" si="22"/>
        <v>0</v>
      </c>
      <c r="BJ51" s="31">
        <f t="shared" si="23"/>
        <v>0</v>
      </c>
      <c r="BK51" s="34" t="s">
        <v>67</v>
      </c>
      <c r="BL51" s="31"/>
      <c r="BW51" s="31">
        <v>21</v>
      </c>
      <c r="BX51" s="5" t="s">
        <v>147</v>
      </c>
    </row>
    <row r="52" spans="1:76" x14ac:dyDescent="0.25">
      <c r="A52" s="2" t="s">
        <v>148</v>
      </c>
      <c r="B52" s="96" t="s">
        <v>258</v>
      </c>
      <c r="C52" s="105" t="s">
        <v>149</v>
      </c>
      <c r="D52" s="102"/>
      <c r="E52" s="96" t="s">
        <v>104</v>
      </c>
      <c r="F52" s="31">
        <v>1</v>
      </c>
      <c r="G52" s="32">
        <v>0</v>
      </c>
      <c r="H52" s="31">
        <f t="shared" si="0"/>
        <v>0</v>
      </c>
      <c r="I52" s="31">
        <f t="shared" si="1"/>
        <v>0</v>
      </c>
      <c r="J52" s="31">
        <f t="shared" si="2"/>
        <v>0</v>
      </c>
      <c r="K52" s="33" t="s">
        <v>62</v>
      </c>
      <c r="Z52" s="31">
        <f t="shared" si="3"/>
        <v>0</v>
      </c>
      <c r="AB52" s="31">
        <f t="shared" si="4"/>
        <v>0</v>
      </c>
      <c r="AC52" s="31">
        <f t="shared" si="5"/>
        <v>0</v>
      </c>
      <c r="AD52" s="31">
        <f t="shared" si="6"/>
        <v>0</v>
      </c>
      <c r="AE52" s="31">
        <f t="shared" si="7"/>
        <v>0</v>
      </c>
      <c r="AF52" s="31">
        <f t="shared" si="8"/>
        <v>0</v>
      </c>
      <c r="AG52" s="31">
        <f t="shared" si="9"/>
        <v>0</v>
      </c>
      <c r="AH52" s="31">
        <f t="shared" si="10"/>
        <v>0</v>
      </c>
      <c r="AI52" s="11" t="s">
        <v>92</v>
      </c>
      <c r="AJ52" s="31">
        <f t="shared" si="11"/>
        <v>0</v>
      </c>
      <c r="AK52" s="31">
        <f t="shared" si="12"/>
        <v>0</v>
      </c>
      <c r="AL52" s="31">
        <f t="shared" si="13"/>
        <v>0</v>
      </c>
      <c r="AN52" s="31">
        <v>21</v>
      </c>
      <c r="AO52" s="31">
        <f t="shared" si="14"/>
        <v>0</v>
      </c>
      <c r="AP52" s="31">
        <f t="shared" si="15"/>
        <v>0</v>
      </c>
      <c r="AQ52" s="34" t="s">
        <v>58</v>
      </c>
      <c r="AV52" s="31">
        <f t="shared" si="16"/>
        <v>0</v>
      </c>
      <c r="AW52" s="31">
        <f t="shared" si="17"/>
        <v>0</v>
      </c>
      <c r="AX52" s="31">
        <f t="shared" si="18"/>
        <v>0</v>
      </c>
      <c r="AY52" s="34" t="s">
        <v>136</v>
      </c>
      <c r="AZ52" s="34" t="s">
        <v>137</v>
      </c>
      <c r="BA52" s="11" t="s">
        <v>95</v>
      </c>
      <c r="BC52" s="31">
        <f t="shared" si="19"/>
        <v>0</v>
      </c>
      <c r="BD52" s="31">
        <f t="shared" si="20"/>
        <v>0</v>
      </c>
      <c r="BE52" s="31">
        <v>0</v>
      </c>
      <c r="BF52" s="31">
        <f>53</f>
        <v>53</v>
      </c>
      <c r="BH52" s="31">
        <f t="shared" si="21"/>
        <v>0</v>
      </c>
      <c r="BI52" s="31">
        <f t="shared" si="22"/>
        <v>0</v>
      </c>
      <c r="BJ52" s="31">
        <f t="shared" si="23"/>
        <v>0</v>
      </c>
      <c r="BK52" s="34" t="s">
        <v>67</v>
      </c>
      <c r="BL52" s="31"/>
      <c r="BW52" s="31">
        <v>21</v>
      </c>
      <c r="BX52" s="5" t="s">
        <v>149</v>
      </c>
    </row>
    <row r="53" spans="1:76" x14ac:dyDescent="0.25">
      <c r="A53" s="2" t="s">
        <v>150</v>
      </c>
      <c r="B53" s="96" t="s">
        <v>259</v>
      </c>
      <c r="C53" s="105" t="s">
        <v>151</v>
      </c>
      <c r="D53" s="102"/>
      <c r="E53" s="96" t="s">
        <v>104</v>
      </c>
      <c r="F53" s="31">
        <v>1</v>
      </c>
      <c r="G53" s="32">
        <v>0</v>
      </c>
      <c r="H53" s="31">
        <f t="shared" si="0"/>
        <v>0</v>
      </c>
      <c r="I53" s="31">
        <f t="shared" si="1"/>
        <v>0</v>
      </c>
      <c r="J53" s="31">
        <f t="shared" si="2"/>
        <v>0</v>
      </c>
      <c r="K53" s="33" t="s">
        <v>62</v>
      </c>
      <c r="Z53" s="31">
        <f t="shared" si="3"/>
        <v>0</v>
      </c>
      <c r="AB53" s="31">
        <f t="shared" si="4"/>
        <v>0</v>
      </c>
      <c r="AC53" s="31">
        <f t="shared" si="5"/>
        <v>0</v>
      </c>
      <c r="AD53" s="31">
        <f t="shared" si="6"/>
        <v>0</v>
      </c>
      <c r="AE53" s="31">
        <f t="shared" si="7"/>
        <v>0</v>
      </c>
      <c r="AF53" s="31">
        <f t="shared" si="8"/>
        <v>0</v>
      </c>
      <c r="AG53" s="31">
        <f t="shared" si="9"/>
        <v>0</v>
      </c>
      <c r="AH53" s="31">
        <f t="shared" si="10"/>
        <v>0</v>
      </c>
      <c r="AI53" s="11" t="s">
        <v>92</v>
      </c>
      <c r="AJ53" s="31">
        <f t="shared" si="11"/>
        <v>0</v>
      </c>
      <c r="AK53" s="31">
        <f t="shared" si="12"/>
        <v>0</v>
      </c>
      <c r="AL53" s="31">
        <f t="shared" si="13"/>
        <v>0</v>
      </c>
      <c r="AN53" s="31">
        <v>21</v>
      </c>
      <c r="AO53" s="31">
        <f t="shared" si="14"/>
        <v>0</v>
      </c>
      <c r="AP53" s="31">
        <f t="shared" si="15"/>
        <v>0</v>
      </c>
      <c r="AQ53" s="34" t="s">
        <v>58</v>
      </c>
      <c r="AV53" s="31">
        <f t="shared" si="16"/>
        <v>0</v>
      </c>
      <c r="AW53" s="31">
        <f t="shared" si="17"/>
        <v>0</v>
      </c>
      <c r="AX53" s="31">
        <f t="shared" si="18"/>
        <v>0</v>
      </c>
      <c r="AY53" s="34" t="s">
        <v>136</v>
      </c>
      <c r="AZ53" s="34" t="s">
        <v>137</v>
      </c>
      <c r="BA53" s="11" t="s">
        <v>95</v>
      </c>
      <c r="BC53" s="31">
        <f t="shared" si="19"/>
        <v>0</v>
      </c>
      <c r="BD53" s="31">
        <f t="shared" si="20"/>
        <v>0</v>
      </c>
      <c r="BE53" s="31">
        <v>0</v>
      </c>
      <c r="BF53" s="31">
        <f>54</f>
        <v>54</v>
      </c>
      <c r="BH53" s="31">
        <f t="shared" si="21"/>
        <v>0</v>
      </c>
      <c r="BI53" s="31">
        <f t="shared" si="22"/>
        <v>0</v>
      </c>
      <c r="BJ53" s="31">
        <f t="shared" si="23"/>
        <v>0</v>
      </c>
      <c r="BK53" s="34" t="s">
        <v>67</v>
      </c>
      <c r="BL53" s="31"/>
      <c r="BW53" s="31">
        <v>21</v>
      </c>
      <c r="BX53" s="5" t="s">
        <v>151</v>
      </c>
    </row>
    <row r="54" spans="1:76" x14ac:dyDescent="0.25">
      <c r="A54" s="2" t="s">
        <v>152</v>
      </c>
      <c r="B54" s="96" t="s">
        <v>260</v>
      </c>
      <c r="C54" s="105" t="s">
        <v>153</v>
      </c>
      <c r="D54" s="102"/>
      <c r="E54" s="96" t="s">
        <v>104</v>
      </c>
      <c r="F54" s="31">
        <v>1</v>
      </c>
      <c r="G54" s="32">
        <v>0</v>
      </c>
      <c r="H54" s="31">
        <f t="shared" si="0"/>
        <v>0</v>
      </c>
      <c r="I54" s="31">
        <f t="shared" si="1"/>
        <v>0</v>
      </c>
      <c r="J54" s="31">
        <f t="shared" si="2"/>
        <v>0</v>
      </c>
      <c r="K54" s="33" t="s">
        <v>62</v>
      </c>
      <c r="Z54" s="31">
        <f t="shared" si="3"/>
        <v>0</v>
      </c>
      <c r="AB54" s="31">
        <f t="shared" si="4"/>
        <v>0</v>
      </c>
      <c r="AC54" s="31">
        <f t="shared" si="5"/>
        <v>0</v>
      </c>
      <c r="AD54" s="31">
        <f t="shared" si="6"/>
        <v>0</v>
      </c>
      <c r="AE54" s="31">
        <f t="shared" si="7"/>
        <v>0</v>
      </c>
      <c r="AF54" s="31">
        <f t="shared" si="8"/>
        <v>0</v>
      </c>
      <c r="AG54" s="31">
        <f t="shared" si="9"/>
        <v>0</v>
      </c>
      <c r="AH54" s="31">
        <f t="shared" si="10"/>
        <v>0</v>
      </c>
      <c r="AI54" s="11" t="s">
        <v>92</v>
      </c>
      <c r="AJ54" s="31">
        <f t="shared" si="11"/>
        <v>0</v>
      </c>
      <c r="AK54" s="31">
        <f t="shared" si="12"/>
        <v>0</v>
      </c>
      <c r="AL54" s="31">
        <f t="shared" si="13"/>
        <v>0</v>
      </c>
      <c r="AN54" s="31">
        <v>21</v>
      </c>
      <c r="AO54" s="31">
        <f t="shared" si="14"/>
        <v>0</v>
      </c>
      <c r="AP54" s="31">
        <f t="shared" si="15"/>
        <v>0</v>
      </c>
      <c r="AQ54" s="34" t="s">
        <v>58</v>
      </c>
      <c r="AV54" s="31">
        <f t="shared" si="16"/>
        <v>0</v>
      </c>
      <c r="AW54" s="31">
        <f t="shared" si="17"/>
        <v>0</v>
      </c>
      <c r="AX54" s="31">
        <f t="shared" si="18"/>
        <v>0</v>
      </c>
      <c r="AY54" s="34" t="s">
        <v>136</v>
      </c>
      <c r="AZ54" s="34" t="s">
        <v>137</v>
      </c>
      <c r="BA54" s="11" t="s">
        <v>95</v>
      </c>
      <c r="BC54" s="31">
        <f t="shared" si="19"/>
        <v>0</v>
      </c>
      <c r="BD54" s="31">
        <f t="shared" si="20"/>
        <v>0</v>
      </c>
      <c r="BE54" s="31">
        <v>0</v>
      </c>
      <c r="BF54" s="31">
        <f>55</f>
        <v>55</v>
      </c>
      <c r="BH54" s="31">
        <f t="shared" si="21"/>
        <v>0</v>
      </c>
      <c r="BI54" s="31">
        <f t="shared" si="22"/>
        <v>0</v>
      </c>
      <c r="BJ54" s="31">
        <f t="shared" si="23"/>
        <v>0</v>
      </c>
      <c r="BK54" s="34" t="s">
        <v>67</v>
      </c>
      <c r="BL54" s="31"/>
      <c r="BW54" s="31">
        <v>21</v>
      </c>
      <c r="BX54" s="5" t="s">
        <v>153</v>
      </c>
    </row>
    <row r="55" spans="1:76" x14ac:dyDescent="0.25">
      <c r="A55" s="2" t="s">
        <v>154</v>
      </c>
      <c r="B55" s="96" t="s">
        <v>261</v>
      </c>
      <c r="C55" s="105" t="s">
        <v>155</v>
      </c>
      <c r="D55" s="102"/>
      <c r="E55" s="96" t="s">
        <v>104</v>
      </c>
      <c r="F55" s="31">
        <v>1</v>
      </c>
      <c r="G55" s="32">
        <v>0</v>
      </c>
      <c r="H55" s="31">
        <f t="shared" si="0"/>
        <v>0</v>
      </c>
      <c r="I55" s="31">
        <f t="shared" si="1"/>
        <v>0</v>
      </c>
      <c r="J55" s="31">
        <f t="shared" si="2"/>
        <v>0</v>
      </c>
      <c r="K55" s="33" t="s">
        <v>62</v>
      </c>
      <c r="Z55" s="31">
        <f t="shared" si="3"/>
        <v>0</v>
      </c>
      <c r="AB55" s="31">
        <f t="shared" si="4"/>
        <v>0</v>
      </c>
      <c r="AC55" s="31">
        <f t="shared" si="5"/>
        <v>0</v>
      </c>
      <c r="AD55" s="31">
        <f t="shared" si="6"/>
        <v>0</v>
      </c>
      <c r="AE55" s="31">
        <f t="shared" si="7"/>
        <v>0</v>
      </c>
      <c r="AF55" s="31">
        <f t="shared" si="8"/>
        <v>0</v>
      </c>
      <c r="AG55" s="31">
        <f t="shared" si="9"/>
        <v>0</v>
      </c>
      <c r="AH55" s="31">
        <f t="shared" si="10"/>
        <v>0</v>
      </c>
      <c r="AI55" s="11" t="s">
        <v>92</v>
      </c>
      <c r="AJ55" s="31">
        <f t="shared" si="11"/>
        <v>0</v>
      </c>
      <c r="AK55" s="31">
        <f t="shared" si="12"/>
        <v>0</v>
      </c>
      <c r="AL55" s="31">
        <f t="shared" si="13"/>
        <v>0</v>
      </c>
      <c r="AN55" s="31">
        <v>21</v>
      </c>
      <c r="AO55" s="31">
        <f t="shared" si="14"/>
        <v>0</v>
      </c>
      <c r="AP55" s="31">
        <f t="shared" si="15"/>
        <v>0</v>
      </c>
      <c r="AQ55" s="34" t="s">
        <v>58</v>
      </c>
      <c r="AV55" s="31">
        <f t="shared" si="16"/>
        <v>0</v>
      </c>
      <c r="AW55" s="31">
        <f t="shared" si="17"/>
        <v>0</v>
      </c>
      <c r="AX55" s="31">
        <f t="shared" si="18"/>
        <v>0</v>
      </c>
      <c r="AY55" s="34" t="s">
        <v>136</v>
      </c>
      <c r="AZ55" s="34" t="s">
        <v>137</v>
      </c>
      <c r="BA55" s="11" t="s">
        <v>95</v>
      </c>
      <c r="BC55" s="31">
        <f t="shared" si="19"/>
        <v>0</v>
      </c>
      <c r="BD55" s="31">
        <f t="shared" si="20"/>
        <v>0</v>
      </c>
      <c r="BE55" s="31">
        <v>0</v>
      </c>
      <c r="BF55" s="31">
        <f>56</f>
        <v>56</v>
      </c>
      <c r="BH55" s="31">
        <f t="shared" si="21"/>
        <v>0</v>
      </c>
      <c r="BI55" s="31">
        <f t="shared" si="22"/>
        <v>0</v>
      </c>
      <c r="BJ55" s="31">
        <f t="shared" si="23"/>
        <v>0</v>
      </c>
      <c r="BK55" s="34" t="s">
        <v>67</v>
      </c>
      <c r="BL55" s="31"/>
      <c r="BW55" s="31">
        <v>21</v>
      </c>
      <c r="BX55" s="5" t="s">
        <v>155</v>
      </c>
    </row>
    <row r="56" spans="1:76" x14ac:dyDescent="0.25">
      <c r="A56" s="42" t="s">
        <v>156</v>
      </c>
      <c r="B56" s="43" t="s">
        <v>157</v>
      </c>
      <c r="C56" s="176" t="s">
        <v>158</v>
      </c>
      <c r="D56" s="112"/>
      <c r="E56" s="43" t="s">
        <v>104</v>
      </c>
      <c r="F56" s="44">
        <v>1</v>
      </c>
      <c r="G56" s="45">
        <v>0</v>
      </c>
      <c r="H56" s="44">
        <f t="shared" si="0"/>
        <v>0</v>
      </c>
      <c r="I56" s="44">
        <f t="shared" si="1"/>
        <v>0</v>
      </c>
      <c r="J56" s="44">
        <f t="shared" si="2"/>
        <v>0</v>
      </c>
      <c r="K56" s="46" t="s">
        <v>105</v>
      </c>
      <c r="Z56" s="31">
        <f t="shared" si="3"/>
        <v>0</v>
      </c>
      <c r="AB56" s="31">
        <f t="shared" si="4"/>
        <v>0</v>
      </c>
      <c r="AC56" s="31">
        <f t="shared" si="5"/>
        <v>0</v>
      </c>
      <c r="AD56" s="31">
        <f t="shared" si="6"/>
        <v>0</v>
      </c>
      <c r="AE56" s="31">
        <f t="shared" si="7"/>
        <v>0</v>
      </c>
      <c r="AF56" s="31">
        <f t="shared" si="8"/>
        <v>0</v>
      </c>
      <c r="AG56" s="31">
        <f t="shared" si="9"/>
        <v>0</v>
      </c>
      <c r="AH56" s="31">
        <f t="shared" si="10"/>
        <v>0</v>
      </c>
      <c r="AI56" s="11" t="s">
        <v>54</v>
      </c>
      <c r="AJ56" s="31">
        <f t="shared" si="11"/>
        <v>0</v>
      </c>
      <c r="AK56" s="31">
        <f t="shared" si="12"/>
        <v>0</v>
      </c>
      <c r="AL56" s="31">
        <f t="shared" si="13"/>
        <v>0</v>
      </c>
      <c r="AN56" s="31">
        <v>21</v>
      </c>
      <c r="AO56" s="31">
        <f t="shared" si="14"/>
        <v>0</v>
      </c>
      <c r="AP56" s="31">
        <f t="shared" si="15"/>
        <v>0</v>
      </c>
      <c r="AQ56" s="34" t="s">
        <v>68</v>
      </c>
      <c r="AV56" s="31">
        <f t="shared" si="16"/>
        <v>0</v>
      </c>
      <c r="AW56" s="31">
        <f t="shared" si="17"/>
        <v>0</v>
      </c>
      <c r="AX56" s="31">
        <f t="shared" si="18"/>
        <v>0</v>
      </c>
      <c r="AY56" s="34" t="s">
        <v>136</v>
      </c>
      <c r="AZ56" s="34" t="s">
        <v>137</v>
      </c>
      <c r="BA56" s="11" t="s">
        <v>66</v>
      </c>
      <c r="BC56" s="31">
        <f t="shared" si="19"/>
        <v>0</v>
      </c>
      <c r="BD56" s="31">
        <f t="shared" si="20"/>
        <v>0</v>
      </c>
      <c r="BE56" s="31">
        <v>0</v>
      </c>
      <c r="BF56" s="31">
        <f>57</f>
        <v>57</v>
      </c>
      <c r="BH56" s="31">
        <f t="shared" si="21"/>
        <v>0</v>
      </c>
      <c r="BI56" s="31">
        <f t="shared" si="22"/>
        <v>0</v>
      </c>
      <c r="BJ56" s="31">
        <f t="shared" si="23"/>
        <v>0</v>
      </c>
      <c r="BK56" s="34" t="s">
        <v>67</v>
      </c>
      <c r="BL56" s="31"/>
      <c r="BW56" s="31">
        <v>21</v>
      </c>
      <c r="BX56" s="5" t="s">
        <v>158</v>
      </c>
    </row>
    <row r="57" spans="1:76" x14ac:dyDescent="0.25">
      <c r="H57" s="177" t="s">
        <v>159</v>
      </c>
      <c r="I57" s="177"/>
      <c r="J57" s="47">
        <f>ROUND(SUM(J13,J23,J32,J43,J45),0)</f>
        <v>0</v>
      </c>
    </row>
    <row r="58" spans="1:76" x14ac:dyDescent="0.25">
      <c r="A58" s="48" t="s">
        <v>160</v>
      </c>
    </row>
    <row r="59" spans="1:76" ht="94.5" customHeight="1" x14ac:dyDescent="0.25">
      <c r="A59" s="105" t="s">
        <v>161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</sheetData>
  <sheetProtection algorithmName="SHA-512" hashValue="1JZ+bBcMQMES+bXpBxVDKIM3ipObXnFIEFnzNBX66+G7oQ+/uO1dII30QYeTDEU+FRtnua+WCA2/sVb/rhgdKA==" saltValue="nrT6d/5efE6Inyyc2ZASOw==" spinCount="100000" sheet="1"/>
  <mergeCells count="75">
    <mergeCell ref="C54:D54"/>
    <mergeCell ref="C55:D55"/>
    <mergeCell ref="C56:D56"/>
    <mergeCell ref="H57:I57"/>
    <mergeCell ref="A59:K59"/>
    <mergeCell ref="C49:D49"/>
    <mergeCell ref="C50:D50"/>
    <mergeCell ref="C51:D51"/>
    <mergeCell ref="C52:D52"/>
    <mergeCell ref="C53:D53"/>
    <mergeCell ref="C45:D45"/>
    <mergeCell ref="C46:D46"/>
    <mergeCell ref="C47:D47"/>
    <mergeCell ref="C48:D48"/>
    <mergeCell ref="C40:K40"/>
    <mergeCell ref="C41:D41"/>
    <mergeCell ref="C42:K42"/>
    <mergeCell ref="C43:D43"/>
    <mergeCell ref="C44:D44"/>
    <mergeCell ref="C35:D35"/>
    <mergeCell ref="C36:K36"/>
    <mergeCell ref="C37:D37"/>
    <mergeCell ref="C38:K38"/>
    <mergeCell ref="C39:D39"/>
    <mergeCell ref="C30:D30"/>
    <mergeCell ref="C31:K31"/>
    <mergeCell ref="C32:D32"/>
    <mergeCell ref="C33:D33"/>
    <mergeCell ref="C34:K34"/>
    <mergeCell ref="C25:K25"/>
    <mergeCell ref="C26:D26"/>
    <mergeCell ref="C27:K27"/>
    <mergeCell ref="C28:D28"/>
    <mergeCell ref="C29:K29"/>
    <mergeCell ref="C20:K20"/>
    <mergeCell ref="C21:D21"/>
    <mergeCell ref="C22:D22"/>
    <mergeCell ref="C23:D23"/>
    <mergeCell ref="C24:D24"/>
    <mergeCell ref="C15:D15"/>
    <mergeCell ref="C16:D16"/>
    <mergeCell ref="C17:D17"/>
    <mergeCell ref="C18:K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scale="68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2"/>
  <sheetViews>
    <sheetView topLeftCell="A46" workbookViewId="0">
      <selection sqref="A1:H1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42.85546875" customWidth="1"/>
    <col min="5" max="5" width="93.2851562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98" t="s">
        <v>170</v>
      </c>
      <c r="B1" s="98"/>
      <c r="C1" s="98"/>
      <c r="D1" s="98"/>
      <c r="E1" s="98"/>
      <c r="F1" s="98"/>
      <c r="G1" s="98"/>
      <c r="H1" s="98"/>
    </row>
    <row r="2" spans="1:8" x14ac:dyDescent="0.25">
      <c r="A2" s="99" t="s">
        <v>1</v>
      </c>
      <c r="B2" s="100"/>
      <c r="C2" s="109" t="str">
        <f>'Položkový soupis-k ocenění'!C2</f>
        <v>VÝMĚNA OSVĚTLENÍ NA STADIONU SRBSKÁ - BRNO</v>
      </c>
      <c r="D2" s="110"/>
      <c r="E2" s="104" t="s">
        <v>5</v>
      </c>
      <c r="F2" s="104" t="str">
        <f>'Položkový soupis-k ocenění'!I2</f>
        <v>STAREZ - SPORT, a.s.</v>
      </c>
      <c r="G2" s="100"/>
      <c r="H2" s="106"/>
    </row>
    <row r="3" spans="1:8" ht="15" customHeight="1" x14ac:dyDescent="0.25">
      <c r="A3" s="101"/>
      <c r="B3" s="102"/>
      <c r="C3" s="111"/>
      <c r="D3" s="111"/>
      <c r="E3" s="102"/>
      <c r="F3" s="102"/>
      <c r="G3" s="102"/>
      <c r="H3" s="107"/>
    </row>
    <row r="4" spans="1:8" x14ac:dyDescent="0.25">
      <c r="A4" s="103" t="s">
        <v>7</v>
      </c>
      <c r="B4" s="102"/>
      <c r="C4" s="105" t="str">
        <f>'Položkový soupis-k ocenění'!C4</f>
        <v>Stavba technické sportovní infrastruktury</v>
      </c>
      <c r="D4" s="102"/>
      <c r="E4" s="105" t="s">
        <v>11</v>
      </c>
      <c r="F4" s="105" t="str">
        <f>'Položkový soupis-k ocenění'!I4</f>
        <v>MV PROJEKTA s.r.o.</v>
      </c>
      <c r="G4" s="102"/>
      <c r="H4" s="107"/>
    </row>
    <row r="5" spans="1:8" ht="15" customHeight="1" x14ac:dyDescent="0.25">
      <c r="A5" s="101"/>
      <c r="B5" s="102"/>
      <c r="C5" s="102"/>
      <c r="D5" s="102"/>
      <c r="E5" s="102"/>
      <c r="F5" s="102"/>
      <c r="G5" s="102"/>
      <c r="H5" s="107"/>
    </row>
    <row r="6" spans="1:8" x14ac:dyDescent="0.25">
      <c r="A6" s="103" t="s">
        <v>13</v>
      </c>
      <c r="B6" s="102"/>
      <c r="C6" s="105" t="str">
        <f>'Položkový soupis-k ocenění'!C6</f>
        <v>Brno - Srbská ulice</v>
      </c>
      <c r="D6" s="102"/>
      <c r="E6" s="105" t="s">
        <v>17</v>
      </c>
      <c r="F6" s="105" t="str">
        <f>'Položkový soupis-k ocenění'!I6</f>
        <v> </v>
      </c>
      <c r="G6" s="102"/>
      <c r="H6" s="107"/>
    </row>
    <row r="7" spans="1:8" ht="15" customHeight="1" x14ac:dyDescent="0.25">
      <c r="A7" s="101"/>
      <c r="B7" s="102"/>
      <c r="C7" s="102"/>
      <c r="D7" s="102"/>
      <c r="E7" s="102"/>
      <c r="F7" s="102"/>
      <c r="G7" s="102"/>
      <c r="H7" s="107"/>
    </row>
    <row r="8" spans="1:8" x14ac:dyDescent="0.25">
      <c r="A8" s="103" t="s">
        <v>23</v>
      </c>
      <c r="B8" s="102"/>
      <c r="C8" s="105" t="str">
        <f>'Položkový soupis-k ocenění'!I8</f>
        <v>MV PROJEKTA s.r.o.</v>
      </c>
      <c r="D8" s="102"/>
      <c r="E8" s="105" t="s">
        <v>21</v>
      </c>
      <c r="F8" s="105" t="str">
        <f>'Položkový soupis-k ocenění'!G8</f>
        <v>19.11.2025</v>
      </c>
      <c r="G8" s="102"/>
      <c r="H8" s="107"/>
    </row>
    <row r="9" spans="1:8" x14ac:dyDescent="0.25">
      <c r="A9" s="149"/>
      <c r="B9" s="150"/>
      <c r="C9" s="150"/>
      <c r="D9" s="150"/>
      <c r="E9" s="150"/>
      <c r="F9" s="150"/>
      <c r="G9" s="150"/>
      <c r="H9" s="152"/>
    </row>
    <row r="10" spans="1:8" x14ac:dyDescent="0.25">
      <c r="A10" s="50" t="s">
        <v>24</v>
      </c>
      <c r="B10" s="57" t="s">
        <v>163</v>
      </c>
      <c r="C10" s="57" t="s">
        <v>25</v>
      </c>
      <c r="D10" s="178" t="s">
        <v>26</v>
      </c>
      <c r="E10" s="179"/>
      <c r="F10" s="57" t="s">
        <v>27</v>
      </c>
      <c r="G10" s="58" t="s">
        <v>28</v>
      </c>
      <c r="H10" s="59" t="s">
        <v>171</v>
      </c>
    </row>
    <row r="11" spans="1:8" x14ac:dyDescent="0.25">
      <c r="A11" s="60" t="s">
        <v>54</v>
      </c>
      <c r="B11" s="61" t="s">
        <v>54</v>
      </c>
      <c r="C11" s="61" t="s">
        <v>56</v>
      </c>
      <c r="D11" s="180" t="s">
        <v>57</v>
      </c>
      <c r="E11" s="180"/>
      <c r="F11" s="61" t="s">
        <v>54</v>
      </c>
      <c r="G11" s="62" t="s">
        <v>54</v>
      </c>
      <c r="H11" s="63" t="s">
        <v>54</v>
      </c>
    </row>
    <row r="12" spans="1:8" x14ac:dyDescent="0.25">
      <c r="A12" s="2" t="s">
        <v>58</v>
      </c>
      <c r="B12" s="3" t="s">
        <v>54</v>
      </c>
      <c r="C12" s="3" t="s">
        <v>59</v>
      </c>
      <c r="D12" s="102" t="s">
        <v>60</v>
      </c>
      <c r="E12" s="102"/>
      <c r="F12" s="3" t="s">
        <v>61</v>
      </c>
      <c r="G12" s="31">
        <v>1.776</v>
      </c>
      <c r="H12" s="64">
        <v>0</v>
      </c>
    </row>
    <row r="13" spans="1:8" x14ac:dyDescent="0.25">
      <c r="A13" s="35"/>
      <c r="D13" s="65" t="s">
        <v>172</v>
      </c>
      <c r="E13" s="181" t="s">
        <v>173</v>
      </c>
      <c r="F13" s="181"/>
      <c r="G13" s="66">
        <v>1.776</v>
      </c>
      <c r="H13" s="67"/>
    </row>
    <row r="14" spans="1:8" x14ac:dyDescent="0.25">
      <c r="A14" s="2" t="s">
        <v>68</v>
      </c>
      <c r="B14" s="3" t="s">
        <v>54</v>
      </c>
      <c r="C14" s="3" t="s">
        <v>69</v>
      </c>
      <c r="D14" s="102" t="s">
        <v>70</v>
      </c>
      <c r="E14" s="102"/>
      <c r="F14" s="3" t="s">
        <v>61</v>
      </c>
      <c r="G14" s="31">
        <v>2.2160000000000002</v>
      </c>
      <c r="H14" s="64">
        <v>0</v>
      </c>
    </row>
    <row r="15" spans="1:8" x14ac:dyDescent="0.25">
      <c r="A15" s="35"/>
      <c r="D15" s="65" t="s">
        <v>174</v>
      </c>
      <c r="E15" s="181" t="s">
        <v>173</v>
      </c>
      <c r="F15" s="181"/>
      <c r="G15" s="66">
        <v>2.2160000000000002</v>
      </c>
      <c r="H15" s="67"/>
    </row>
    <row r="16" spans="1:8" x14ac:dyDescent="0.25">
      <c r="A16" s="2" t="s">
        <v>71</v>
      </c>
      <c r="B16" s="3" t="s">
        <v>54</v>
      </c>
      <c r="C16" s="3" t="s">
        <v>72</v>
      </c>
      <c r="D16" s="102" t="s">
        <v>73</v>
      </c>
      <c r="E16" s="102"/>
      <c r="F16" s="3" t="s">
        <v>61</v>
      </c>
      <c r="G16" s="31">
        <v>2.2160000000000002</v>
      </c>
      <c r="H16" s="64">
        <v>0</v>
      </c>
    </row>
    <row r="17" spans="1:8" x14ac:dyDescent="0.25">
      <c r="A17" s="35"/>
      <c r="D17" s="65" t="s">
        <v>174</v>
      </c>
      <c r="E17" s="181" t="s">
        <v>54</v>
      </c>
      <c r="F17" s="181"/>
      <c r="G17" s="66">
        <v>2.2160000000000002</v>
      </c>
      <c r="H17" s="67"/>
    </row>
    <row r="18" spans="1:8" x14ac:dyDescent="0.25">
      <c r="A18" s="2" t="s">
        <v>74</v>
      </c>
      <c r="B18" s="3" t="s">
        <v>54</v>
      </c>
      <c r="C18" s="3" t="s">
        <v>75</v>
      </c>
      <c r="D18" s="102" t="s">
        <v>76</v>
      </c>
      <c r="E18" s="102"/>
      <c r="F18" s="3" t="s">
        <v>61</v>
      </c>
      <c r="G18" s="31">
        <v>2.2160000000000002</v>
      </c>
      <c r="H18" s="64">
        <v>0</v>
      </c>
    </row>
    <row r="19" spans="1:8" x14ac:dyDescent="0.25">
      <c r="A19" s="35"/>
      <c r="D19" s="65" t="s">
        <v>174</v>
      </c>
      <c r="E19" s="181" t="s">
        <v>173</v>
      </c>
      <c r="F19" s="181"/>
      <c r="G19" s="66">
        <v>2.2160000000000002</v>
      </c>
      <c r="H19" s="67"/>
    </row>
    <row r="20" spans="1:8" x14ac:dyDescent="0.25">
      <c r="A20" s="2" t="s">
        <v>63</v>
      </c>
      <c r="B20" s="3" t="s">
        <v>54</v>
      </c>
      <c r="C20" s="3" t="s">
        <v>79</v>
      </c>
      <c r="D20" s="102" t="s">
        <v>80</v>
      </c>
      <c r="E20" s="102"/>
      <c r="F20" s="3" t="s">
        <v>61</v>
      </c>
      <c r="G20" s="31">
        <v>19.943999999999999</v>
      </c>
      <c r="H20" s="64">
        <v>0</v>
      </c>
    </row>
    <row r="21" spans="1:8" x14ac:dyDescent="0.25">
      <c r="A21" s="35"/>
      <c r="D21" s="65" t="s">
        <v>175</v>
      </c>
      <c r="E21" s="181" t="s">
        <v>173</v>
      </c>
      <c r="F21" s="181"/>
      <c r="G21" s="66">
        <v>19.943999999999999</v>
      </c>
      <c r="H21" s="67"/>
    </row>
    <row r="22" spans="1:8" x14ac:dyDescent="0.25">
      <c r="A22" s="2" t="s">
        <v>82</v>
      </c>
      <c r="B22" s="3" t="s">
        <v>54</v>
      </c>
      <c r="C22" s="3" t="s">
        <v>83</v>
      </c>
      <c r="D22" s="102" t="s">
        <v>84</v>
      </c>
      <c r="E22" s="102"/>
      <c r="F22" s="3" t="s">
        <v>61</v>
      </c>
      <c r="G22" s="31">
        <v>0.44</v>
      </c>
      <c r="H22" s="64">
        <v>0</v>
      </c>
    </row>
    <row r="23" spans="1:8" x14ac:dyDescent="0.25">
      <c r="A23" s="35"/>
      <c r="D23" s="65" t="s">
        <v>176</v>
      </c>
      <c r="E23" s="181" t="s">
        <v>173</v>
      </c>
      <c r="F23" s="181"/>
      <c r="G23" s="66">
        <v>0.44</v>
      </c>
      <c r="H23" s="67"/>
    </row>
    <row r="24" spans="1:8" x14ac:dyDescent="0.25">
      <c r="A24" s="68" t="s">
        <v>54</v>
      </c>
      <c r="B24" s="27" t="s">
        <v>54</v>
      </c>
      <c r="C24" s="27" t="s">
        <v>86</v>
      </c>
      <c r="D24" s="169" t="s">
        <v>87</v>
      </c>
      <c r="E24" s="169"/>
      <c r="F24" s="27" t="s">
        <v>54</v>
      </c>
      <c r="G24" s="11" t="s">
        <v>54</v>
      </c>
      <c r="H24" s="30" t="s">
        <v>54</v>
      </c>
    </row>
    <row r="25" spans="1:8" x14ac:dyDescent="0.25">
      <c r="A25" s="2" t="s">
        <v>88</v>
      </c>
      <c r="B25" s="3" t="s">
        <v>92</v>
      </c>
      <c r="C25" s="3" t="s">
        <v>89</v>
      </c>
      <c r="D25" s="102" t="s">
        <v>90</v>
      </c>
      <c r="E25" s="102"/>
      <c r="F25" s="96" t="s">
        <v>104</v>
      </c>
      <c r="G25" s="31">
        <v>1</v>
      </c>
      <c r="H25" s="64">
        <v>0</v>
      </c>
    </row>
    <row r="26" spans="1:8" x14ac:dyDescent="0.25">
      <c r="A26" s="35"/>
      <c r="D26" s="65" t="s">
        <v>177</v>
      </c>
      <c r="E26" s="181" t="s">
        <v>178</v>
      </c>
      <c r="F26" s="181"/>
      <c r="G26" s="66">
        <v>1</v>
      </c>
      <c r="H26" s="67"/>
    </row>
    <row r="27" spans="1:8" x14ac:dyDescent="0.25">
      <c r="A27" s="2" t="s">
        <v>97</v>
      </c>
      <c r="B27" s="3" t="s">
        <v>92</v>
      </c>
      <c r="C27" s="96" t="s">
        <v>247</v>
      </c>
      <c r="D27" s="102" t="s">
        <v>98</v>
      </c>
      <c r="E27" s="102"/>
      <c r="F27" s="96" t="s">
        <v>104</v>
      </c>
      <c r="G27" s="31">
        <v>4</v>
      </c>
      <c r="H27" s="64">
        <v>0</v>
      </c>
    </row>
    <row r="28" spans="1:8" x14ac:dyDescent="0.25">
      <c r="A28" s="35"/>
      <c r="D28" s="65" t="s">
        <v>179</v>
      </c>
      <c r="E28" s="181" t="s">
        <v>178</v>
      </c>
      <c r="F28" s="181"/>
      <c r="G28" s="66">
        <v>4</v>
      </c>
      <c r="H28" s="67"/>
    </row>
    <row r="29" spans="1:8" x14ac:dyDescent="0.25">
      <c r="A29" s="2" t="s">
        <v>99</v>
      </c>
      <c r="B29" s="3" t="s">
        <v>92</v>
      </c>
      <c r="C29" s="96" t="s">
        <v>248</v>
      </c>
      <c r="D29" s="102" t="s">
        <v>100</v>
      </c>
      <c r="E29" s="102"/>
      <c r="F29" s="96" t="s">
        <v>104</v>
      </c>
      <c r="G29" s="31">
        <v>4</v>
      </c>
      <c r="H29" s="64">
        <v>0</v>
      </c>
    </row>
    <row r="30" spans="1:8" x14ac:dyDescent="0.25">
      <c r="A30" s="35"/>
      <c r="D30" s="65" t="s">
        <v>179</v>
      </c>
      <c r="E30" s="181" t="s">
        <v>180</v>
      </c>
      <c r="F30" s="181"/>
      <c r="G30" s="66">
        <v>4</v>
      </c>
      <c r="H30" s="67"/>
    </row>
    <row r="31" spans="1:8" x14ac:dyDescent="0.25">
      <c r="A31" s="2" t="s">
        <v>101</v>
      </c>
      <c r="B31" s="3" t="s">
        <v>54</v>
      </c>
      <c r="C31" s="3" t="s">
        <v>102</v>
      </c>
      <c r="D31" s="102" t="s">
        <v>103</v>
      </c>
      <c r="E31" s="102"/>
      <c r="F31" s="3" t="s">
        <v>104</v>
      </c>
      <c r="G31" s="31">
        <v>1</v>
      </c>
      <c r="H31" s="64">
        <v>0</v>
      </c>
    </row>
    <row r="32" spans="1:8" x14ac:dyDescent="0.25">
      <c r="A32" s="35"/>
      <c r="D32" s="65" t="s">
        <v>177</v>
      </c>
      <c r="E32" s="181" t="s">
        <v>181</v>
      </c>
      <c r="F32" s="181"/>
      <c r="G32" s="66">
        <v>1</v>
      </c>
      <c r="H32" s="67"/>
    </row>
    <row r="33" spans="1:8" x14ac:dyDescent="0.25">
      <c r="A33" s="68" t="s">
        <v>54</v>
      </c>
      <c r="B33" s="27" t="s">
        <v>54</v>
      </c>
      <c r="C33" s="27" t="s">
        <v>106</v>
      </c>
      <c r="D33" s="169" t="s">
        <v>107</v>
      </c>
      <c r="E33" s="169"/>
      <c r="F33" s="27" t="s">
        <v>54</v>
      </c>
      <c r="G33" s="11" t="s">
        <v>54</v>
      </c>
      <c r="H33" s="30" t="s">
        <v>54</v>
      </c>
    </row>
    <row r="34" spans="1:8" x14ac:dyDescent="0.25">
      <c r="A34" s="2" t="s">
        <v>108</v>
      </c>
      <c r="B34" s="3" t="s">
        <v>92</v>
      </c>
      <c r="C34" s="96" t="s">
        <v>249</v>
      </c>
      <c r="D34" s="102" t="s">
        <v>110</v>
      </c>
      <c r="E34" s="102"/>
      <c r="F34" s="3" t="s">
        <v>111</v>
      </c>
      <c r="G34" s="31">
        <v>320</v>
      </c>
      <c r="H34" s="64">
        <v>0</v>
      </c>
    </row>
    <row r="35" spans="1:8" x14ac:dyDescent="0.25">
      <c r="A35" s="35"/>
      <c r="D35" s="65" t="s">
        <v>182</v>
      </c>
      <c r="E35" s="181" t="s">
        <v>183</v>
      </c>
      <c r="F35" s="181"/>
      <c r="G35" s="66">
        <v>320</v>
      </c>
      <c r="H35" s="67"/>
    </row>
    <row r="36" spans="1:8" x14ac:dyDescent="0.25">
      <c r="A36" s="2" t="s">
        <v>114</v>
      </c>
      <c r="B36" s="3" t="s">
        <v>92</v>
      </c>
      <c r="C36" s="3" t="s">
        <v>109</v>
      </c>
      <c r="D36" s="102" t="s">
        <v>115</v>
      </c>
      <c r="E36" s="102"/>
      <c r="F36" s="3" t="s">
        <v>111</v>
      </c>
      <c r="G36" s="31">
        <v>320</v>
      </c>
      <c r="H36" s="64">
        <v>0</v>
      </c>
    </row>
    <row r="37" spans="1:8" x14ac:dyDescent="0.25">
      <c r="A37" s="35"/>
      <c r="D37" s="65" t="s">
        <v>182</v>
      </c>
      <c r="E37" s="181" t="s">
        <v>184</v>
      </c>
      <c r="F37" s="181"/>
      <c r="G37" s="66">
        <v>320</v>
      </c>
      <c r="H37" s="67"/>
    </row>
    <row r="38" spans="1:8" x14ac:dyDescent="0.25">
      <c r="A38" s="2" t="s">
        <v>117</v>
      </c>
      <c r="B38" s="3" t="s">
        <v>92</v>
      </c>
      <c r="C38" s="96" t="s">
        <v>250</v>
      </c>
      <c r="D38" s="102" t="s">
        <v>118</v>
      </c>
      <c r="E38" s="102"/>
      <c r="F38" s="3" t="s">
        <v>91</v>
      </c>
      <c r="G38" s="31">
        <v>1024</v>
      </c>
      <c r="H38" s="64">
        <v>0</v>
      </c>
    </row>
    <row r="39" spans="1:8" x14ac:dyDescent="0.25">
      <c r="A39" s="35"/>
      <c r="D39" s="65" t="s">
        <v>185</v>
      </c>
      <c r="E39" s="181" t="s">
        <v>180</v>
      </c>
      <c r="F39" s="181"/>
      <c r="G39" s="66">
        <v>1024</v>
      </c>
      <c r="H39" s="67"/>
    </row>
    <row r="40" spans="1:8" x14ac:dyDescent="0.25">
      <c r="A40" s="2" t="s">
        <v>120</v>
      </c>
      <c r="B40" s="3" t="s">
        <v>92</v>
      </c>
      <c r="C40" s="96" t="s">
        <v>251</v>
      </c>
      <c r="D40" s="102" t="s">
        <v>121</v>
      </c>
      <c r="E40" s="102"/>
      <c r="F40" s="3" t="s">
        <v>111</v>
      </c>
      <c r="G40" s="31">
        <v>25</v>
      </c>
      <c r="H40" s="64">
        <v>0</v>
      </c>
    </row>
    <row r="41" spans="1:8" x14ac:dyDescent="0.25">
      <c r="A41" s="35"/>
      <c r="D41" s="65" t="s">
        <v>186</v>
      </c>
      <c r="E41" s="181" t="s">
        <v>184</v>
      </c>
      <c r="F41" s="181"/>
      <c r="G41" s="66">
        <v>25</v>
      </c>
      <c r="H41" s="67"/>
    </row>
    <row r="42" spans="1:8" x14ac:dyDescent="0.25">
      <c r="A42" s="2" t="s">
        <v>123</v>
      </c>
      <c r="B42" s="3" t="s">
        <v>92</v>
      </c>
      <c r="C42" s="96" t="s">
        <v>252</v>
      </c>
      <c r="D42" s="102" t="s">
        <v>124</v>
      </c>
      <c r="E42" s="102"/>
      <c r="F42" s="3" t="s">
        <v>111</v>
      </c>
      <c r="G42" s="31">
        <v>50</v>
      </c>
      <c r="H42" s="64">
        <v>0</v>
      </c>
    </row>
    <row r="43" spans="1:8" x14ac:dyDescent="0.25">
      <c r="A43" s="35"/>
      <c r="D43" s="65" t="s">
        <v>187</v>
      </c>
      <c r="E43" s="181" t="s">
        <v>184</v>
      </c>
      <c r="F43" s="181"/>
      <c r="G43" s="66">
        <v>50</v>
      </c>
      <c r="H43" s="67"/>
    </row>
    <row r="44" spans="1:8" x14ac:dyDescent="0.25">
      <c r="A44" s="68" t="s">
        <v>54</v>
      </c>
      <c r="B44" s="27" t="s">
        <v>54</v>
      </c>
      <c r="C44" s="27" t="s">
        <v>126</v>
      </c>
      <c r="D44" s="169" t="s">
        <v>127</v>
      </c>
      <c r="E44" s="169"/>
      <c r="F44" s="27" t="s">
        <v>54</v>
      </c>
      <c r="G44" s="11" t="s">
        <v>54</v>
      </c>
      <c r="H44" s="30" t="s">
        <v>54</v>
      </c>
    </row>
    <row r="45" spans="1:8" x14ac:dyDescent="0.25">
      <c r="A45" s="2" t="s">
        <v>128</v>
      </c>
      <c r="B45" s="3" t="s">
        <v>54</v>
      </c>
      <c r="C45" s="3" t="s">
        <v>129</v>
      </c>
      <c r="D45" s="102" t="s">
        <v>130</v>
      </c>
      <c r="E45" s="102"/>
      <c r="F45" s="3" t="s">
        <v>104</v>
      </c>
      <c r="G45" s="31">
        <v>1</v>
      </c>
      <c r="H45" s="64">
        <v>0</v>
      </c>
    </row>
    <row r="46" spans="1:8" x14ac:dyDescent="0.25">
      <c r="A46" s="35"/>
      <c r="D46" s="65" t="s">
        <v>177</v>
      </c>
      <c r="E46" s="181" t="s">
        <v>188</v>
      </c>
      <c r="F46" s="181"/>
      <c r="G46" s="66">
        <v>1</v>
      </c>
      <c r="H46" s="67"/>
    </row>
    <row r="47" spans="1:8" x14ac:dyDescent="0.25">
      <c r="A47" s="68" t="s">
        <v>54</v>
      </c>
      <c r="B47" s="27" t="s">
        <v>54</v>
      </c>
      <c r="C47" s="27" t="s">
        <v>132</v>
      </c>
      <c r="D47" s="169" t="s">
        <v>132</v>
      </c>
      <c r="E47" s="169"/>
      <c r="F47" s="27" t="s">
        <v>54</v>
      </c>
      <c r="G47" s="11" t="s">
        <v>54</v>
      </c>
      <c r="H47" s="30" t="s">
        <v>54</v>
      </c>
    </row>
    <row r="48" spans="1:8" x14ac:dyDescent="0.25">
      <c r="A48" s="2" t="s">
        <v>133</v>
      </c>
      <c r="B48" s="3" t="s">
        <v>92</v>
      </c>
      <c r="C48" s="96" t="s">
        <v>253</v>
      </c>
      <c r="D48" s="102" t="s">
        <v>135</v>
      </c>
      <c r="E48" s="102"/>
      <c r="F48" s="96" t="s">
        <v>104</v>
      </c>
      <c r="G48" s="31">
        <v>1</v>
      </c>
      <c r="H48" s="64">
        <v>0</v>
      </c>
    </row>
    <row r="49" spans="1:8" x14ac:dyDescent="0.25">
      <c r="A49" s="35"/>
      <c r="D49" s="65">
        <v>1</v>
      </c>
      <c r="E49" s="181" t="s">
        <v>178</v>
      </c>
      <c r="F49" s="181"/>
      <c r="G49" s="66">
        <v>1</v>
      </c>
      <c r="H49" s="67"/>
    </row>
    <row r="50" spans="1:8" x14ac:dyDescent="0.25">
      <c r="A50" s="2" t="s">
        <v>138</v>
      </c>
      <c r="B50" s="3" t="s">
        <v>92</v>
      </c>
      <c r="C50" s="96" t="s">
        <v>254</v>
      </c>
      <c r="D50" s="102" t="s">
        <v>139</v>
      </c>
      <c r="E50" s="102"/>
      <c r="F50" s="96" t="s">
        <v>104</v>
      </c>
      <c r="G50" s="31">
        <v>1</v>
      </c>
      <c r="H50" s="64">
        <v>0</v>
      </c>
    </row>
    <row r="51" spans="1:8" x14ac:dyDescent="0.25">
      <c r="A51" s="35"/>
      <c r="D51" s="65">
        <v>1</v>
      </c>
      <c r="E51" s="181" t="s">
        <v>178</v>
      </c>
      <c r="F51" s="181"/>
      <c r="G51" s="66">
        <v>1</v>
      </c>
      <c r="H51" s="67"/>
    </row>
    <row r="52" spans="1:8" x14ac:dyDescent="0.25">
      <c r="A52" s="2" t="s">
        <v>140</v>
      </c>
      <c r="B52" s="3" t="s">
        <v>92</v>
      </c>
      <c r="C52" s="96" t="s">
        <v>255</v>
      </c>
      <c r="D52" s="102" t="s">
        <v>141</v>
      </c>
      <c r="E52" s="102"/>
      <c r="F52" s="96" t="s">
        <v>104</v>
      </c>
      <c r="G52" s="31">
        <v>1</v>
      </c>
      <c r="H52" s="64">
        <v>0</v>
      </c>
    </row>
    <row r="53" spans="1:8" x14ac:dyDescent="0.25">
      <c r="A53" s="35"/>
      <c r="D53" s="65">
        <v>1</v>
      </c>
      <c r="E53" s="181" t="s">
        <v>189</v>
      </c>
      <c r="F53" s="181"/>
      <c r="G53" s="66">
        <v>1</v>
      </c>
      <c r="H53" s="67"/>
    </row>
    <row r="54" spans="1:8" x14ac:dyDescent="0.25">
      <c r="A54" s="2" t="s">
        <v>142</v>
      </c>
      <c r="B54" s="3" t="s">
        <v>92</v>
      </c>
      <c r="C54" s="3" t="s">
        <v>134</v>
      </c>
      <c r="D54" s="102" t="s">
        <v>143</v>
      </c>
      <c r="E54" s="102"/>
      <c r="F54" s="96" t="s">
        <v>104</v>
      </c>
      <c r="G54" s="31">
        <v>1</v>
      </c>
      <c r="H54" s="64">
        <v>0</v>
      </c>
    </row>
    <row r="55" spans="1:8" x14ac:dyDescent="0.25">
      <c r="A55" s="35"/>
      <c r="D55" s="65">
        <v>1</v>
      </c>
      <c r="E55" s="181" t="s">
        <v>178</v>
      </c>
      <c r="F55" s="181"/>
      <c r="G55" s="66">
        <v>1</v>
      </c>
      <c r="H55" s="67"/>
    </row>
    <row r="56" spans="1:8" x14ac:dyDescent="0.25">
      <c r="A56" s="2" t="s">
        <v>144</v>
      </c>
      <c r="B56" s="3" t="s">
        <v>92</v>
      </c>
      <c r="C56" s="96" t="s">
        <v>256</v>
      </c>
      <c r="D56" s="102" t="s">
        <v>145</v>
      </c>
      <c r="E56" s="102"/>
      <c r="F56" s="96" t="s">
        <v>104</v>
      </c>
      <c r="G56" s="31">
        <v>1</v>
      </c>
      <c r="H56" s="64">
        <v>0</v>
      </c>
    </row>
    <row r="57" spans="1:8" x14ac:dyDescent="0.25">
      <c r="A57" s="35"/>
      <c r="D57" s="65">
        <v>1</v>
      </c>
      <c r="E57" s="181" t="s">
        <v>178</v>
      </c>
      <c r="F57" s="181"/>
      <c r="G57" s="66">
        <v>1</v>
      </c>
      <c r="H57" s="67"/>
    </row>
    <row r="58" spans="1:8" x14ac:dyDescent="0.25">
      <c r="A58" s="2" t="s">
        <v>146</v>
      </c>
      <c r="B58" s="3" t="s">
        <v>92</v>
      </c>
      <c r="C58" s="96" t="s">
        <v>257</v>
      </c>
      <c r="D58" s="102" t="s">
        <v>147</v>
      </c>
      <c r="E58" s="102"/>
      <c r="F58" s="96" t="s">
        <v>104</v>
      </c>
      <c r="G58" s="31">
        <v>1</v>
      </c>
      <c r="H58" s="64">
        <v>0</v>
      </c>
    </row>
    <row r="59" spans="1:8" x14ac:dyDescent="0.25">
      <c r="A59" s="35"/>
      <c r="D59" s="65">
        <v>1</v>
      </c>
      <c r="E59" s="181" t="s">
        <v>178</v>
      </c>
      <c r="F59" s="181"/>
      <c r="G59" s="66">
        <v>1</v>
      </c>
      <c r="H59" s="67"/>
    </row>
    <row r="60" spans="1:8" x14ac:dyDescent="0.25">
      <c r="A60" s="2" t="s">
        <v>148</v>
      </c>
      <c r="B60" s="3" t="s">
        <v>92</v>
      </c>
      <c r="C60" s="96" t="s">
        <v>258</v>
      </c>
      <c r="D60" s="102" t="s">
        <v>149</v>
      </c>
      <c r="E60" s="102"/>
      <c r="F60" s="96" t="s">
        <v>104</v>
      </c>
      <c r="G60" s="31">
        <v>1</v>
      </c>
      <c r="H60" s="64">
        <v>0</v>
      </c>
    </row>
    <row r="61" spans="1:8" x14ac:dyDescent="0.25">
      <c r="A61" s="35"/>
      <c r="D61" s="65">
        <v>1</v>
      </c>
      <c r="E61" s="181" t="s">
        <v>178</v>
      </c>
      <c r="F61" s="181"/>
      <c r="G61" s="66">
        <v>1</v>
      </c>
      <c r="H61" s="67"/>
    </row>
    <row r="62" spans="1:8" x14ac:dyDescent="0.25">
      <c r="A62" s="2" t="s">
        <v>150</v>
      </c>
      <c r="B62" s="3" t="s">
        <v>92</v>
      </c>
      <c r="C62" s="96" t="s">
        <v>259</v>
      </c>
      <c r="D62" s="102" t="s">
        <v>151</v>
      </c>
      <c r="E62" s="102"/>
      <c r="F62" s="96" t="s">
        <v>104</v>
      </c>
      <c r="G62" s="31">
        <v>1</v>
      </c>
      <c r="H62" s="64">
        <v>0</v>
      </c>
    </row>
    <row r="63" spans="1:8" x14ac:dyDescent="0.25">
      <c r="A63" s="35"/>
      <c r="D63" s="65">
        <v>1</v>
      </c>
      <c r="E63" s="181" t="s">
        <v>178</v>
      </c>
      <c r="F63" s="181"/>
      <c r="G63" s="66">
        <v>1</v>
      </c>
      <c r="H63" s="67"/>
    </row>
    <row r="64" spans="1:8" x14ac:dyDescent="0.25">
      <c r="A64" s="2" t="s">
        <v>152</v>
      </c>
      <c r="B64" s="3" t="s">
        <v>92</v>
      </c>
      <c r="C64" s="96" t="s">
        <v>260</v>
      </c>
      <c r="D64" s="102" t="s">
        <v>153</v>
      </c>
      <c r="E64" s="102"/>
      <c r="F64" s="96" t="s">
        <v>104</v>
      </c>
      <c r="G64" s="31">
        <v>1</v>
      </c>
      <c r="H64" s="64">
        <v>0</v>
      </c>
    </row>
    <row r="65" spans="1:8" x14ac:dyDescent="0.25">
      <c r="A65" s="35"/>
      <c r="D65" s="65">
        <v>1</v>
      </c>
      <c r="E65" s="181" t="s">
        <v>178</v>
      </c>
      <c r="F65" s="181"/>
      <c r="G65" s="66">
        <v>1</v>
      </c>
      <c r="H65" s="67"/>
    </row>
    <row r="66" spans="1:8" x14ac:dyDescent="0.25">
      <c r="A66" s="2" t="s">
        <v>154</v>
      </c>
      <c r="B66" s="3" t="s">
        <v>92</v>
      </c>
      <c r="C66" s="96" t="s">
        <v>261</v>
      </c>
      <c r="D66" s="102" t="s">
        <v>155</v>
      </c>
      <c r="E66" s="102"/>
      <c r="F66" s="96" t="s">
        <v>104</v>
      </c>
      <c r="G66" s="31">
        <v>1</v>
      </c>
      <c r="H66" s="64">
        <v>0</v>
      </c>
    </row>
    <row r="67" spans="1:8" x14ac:dyDescent="0.25">
      <c r="A67" s="35"/>
      <c r="D67" s="65">
        <v>1</v>
      </c>
      <c r="E67" s="181" t="s">
        <v>190</v>
      </c>
      <c r="F67" s="181"/>
      <c r="G67" s="66">
        <v>1</v>
      </c>
      <c r="H67" s="67"/>
    </row>
    <row r="68" spans="1:8" x14ac:dyDescent="0.25">
      <c r="A68" s="2" t="s">
        <v>156</v>
      </c>
      <c r="B68" s="3" t="s">
        <v>54</v>
      </c>
      <c r="C68" s="3" t="s">
        <v>157</v>
      </c>
      <c r="D68" s="102" t="s">
        <v>158</v>
      </c>
      <c r="E68" s="102"/>
      <c r="F68" s="3" t="s">
        <v>104</v>
      </c>
      <c r="G68" s="31">
        <v>1</v>
      </c>
      <c r="H68" s="64">
        <v>0</v>
      </c>
    </row>
    <row r="69" spans="1:8" x14ac:dyDescent="0.25">
      <c r="A69" s="69"/>
      <c r="B69" s="70"/>
      <c r="C69" s="70"/>
      <c r="D69" s="71">
        <v>1</v>
      </c>
      <c r="E69" s="182" t="s">
        <v>178</v>
      </c>
      <c r="F69" s="182"/>
      <c r="G69" s="72">
        <v>1</v>
      </c>
      <c r="H69" s="73"/>
    </row>
    <row r="71" spans="1:8" x14ac:dyDescent="0.25">
      <c r="A71" s="48" t="s">
        <v>160</v>
      </c>
    </row>
    <row r="72" spans="1:8" ht="94.5" customHeight="1" x14ac:dyDescent="0.25">
      <c r="A72" s="105" t="s">
        <v>161</v>
      </c>
      <c r="B72" s="102"/>
      <c r="C72" s="102"/>
      <c r="D72" s="102"/>
      <c r="E72" s="102"/>
      <c r="F72" s="102"/>
      <c r="G72" s="102"/>
    </row>
  </sheetData>
  <sheetProtection algorithmName="SHA-512" hashValue="u/EUJN+qJjPPR53dhsbq9qU1wa8rNmTHjafjNfJoLUFPO3i8M+945O9Z5w3uou0BW+CP9VzM77ZtylAIAHYxgg==" saltValue="j+pZEaoVYeLlDHA51h7Iow==" spinCount="100000" sheet="1"/>
  <mergeCells count="78">
    <mergeCell ref="E69:F69"/>
    <mergeCell ref="A72:G72"/>
    <mergeCell ref="D64:E64"/>
    <mergeCell ref="E65:F65"/>
    <mergeCell ref="D66:E66"/>
    <mergeCell ref="E67:F67"/>
    <mergeCell ref="D68:E68"/>
    <mergeCell ref="E59:F59"/>
    <mergeCell ref="D60:E60"/>
    <mergeCell ref="E61:F61"/>
    <mergeCell ref="D62:E62"/>
    <mergeCell ref="E63:F63"/>
    <mergeCell ref="D54:E54"/>
    <mergeCell ref="E55:F55"/>
    <mergeCell ref="D56:E56"/>
    <mergeCell ref="E57:F57"/>
    <mergeCell ref="D58:E58"/>
    <mergeCell ref="E49:F49"/>
    <mergeCell ref="D50:E50"/>
    <mergeCell ref="E51:F51"/>
    <mergeCell ref="D52:E52"/>
    <mergeCell ref="E53:F53"/>
    <mergeCell ref="D44:E44"/>
    <mergeCell ref="D45:E45"/>
    <mergeCell ref="E46:F46"/>
    <mergeCell ref="D47:E47"/>
    <mergeCell ref="D48:E48"/>
    <mergeCell ref="E39:F39"/>
    <mergeCell ref="D40:E40"/>
    <mergeCell ref="E41:F41"/>
    <mergeCell ref="D42:E42"/>
    <mergeCell ref="E43:F43"/>
    <mergeCell ref="D34:E34"/>
    <mergeCell ref="E35:F35"/>
    <mergeCell ref="D36:E36"/>
    <mergeCell ref="E37:F37"/>
    <mergeCell ref="D38:E38"/>
    <mergeCell ref="D29:E29"/>
    <mergeCell ref="E30:F30"/>
    <mergeCell ref="D31:E31"/>
    <mergeCell ref="E32:F32"/>
    <mergeCell ref="D33:E33"/>
    <mergeCell ref="D24:E24"/>
    <mergeCell ref="D25:E25"/>
    <mergeCell ref="E26:F26"/>
    <mergeCell ref="D27:E27"/>
    <mergeCell ref="E28:F28"/>
    <mergeCell ref="E19:F19"/>
    <mergeCell ref="D20:E20"/>
    <mergeCell ref="E21:F21"/>
    <mergeCell ref="D22:E22"/>
    <mergeCell ref="E23:F23"/>
    <mergeCell ref="D14:E14"/>
    <mergeCell ref="E15:F15"/>
    <mergeCell ref="D16:E16"/>
    <mergeCell ref="E17:F17"/>
    <mergeCell ref="D18:E18"/>
    <mergeCell ref="F8:H9"/>
    <mergeCell ref="D10:E10"/>
    <mergeCell ref="D11:E11"/>
    <mergeCell ref="D12:E12"/>
    <mergeCell ref="E13:F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999993801117" right="0.393999993801117" top="0.59100002050399802" bottom="0.59100002050399802" header="0" footer="0"/>
  <pageSetup scale="56" fitToHeight="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tabSelected="1" workbookViewId="0">
      <selection sqref="A1:I1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97" t="s">
        <v>235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1</v>
      </c>
      <c r="B2" s="100"/>
      <c r="C2" s="109" t="str">
        <f>'Položkový soupis-k ocenění'!C2</f>
        <v>VÝMĚNA OSVĚTLENÍ NA STADIONU SRBSKÁ - BRNO</v>
      </c>
      <c r="D2" s="110"/>
      <c r="E2" s="104" t="s">
        <v>5</v>
      </c>
      <c r="F2" s="104" t="str">
        <f>'Položkový soupis-k ocenění'!I2</f>
        <v>STAREZ - SPORT, a.s.</v>
      </c>
      <c r="G2" s="100"/>
      <c r="H2" s="104" t="s">
        <v>191</v>
      </c>
      <c r="I2" s="106" t="s">
        <v>192</v>
      </c>
    </row>
    <row r="3" spans="1:9" ht="15" customHeight="1" x14ac:dyDescent="0.25">
      <c r="A3" s="101"/>
      <c r="B3" s="102"/>
      <c r="C3" s="111"/>
      <c r="D3" s="111"/>
      <c r="E3" s="102"/>
      <c r="F3" s="102"/>
      <c r="G3" s="102"/>
      <c r="H3" s="102"/>
      <c r="I3" s="107"/>
    </row>
    <row r="4" spans="1:9" x14ac:dyDescent="0.25">
      <c r="A4" s="103" t="s">
        <v>7</v>
      </c>
      <c r="B4" s="102"/>
      <c r="C4" s="105" t="str">
        <f>'Položkový soupis-k ocenění'!C4</f>
        <v>Stavba technické sportovní infrastruktury</v>
      </c>
      <c r="D4" s="102"/>
      <c r="E4" s="105" t="s">
        <v>11</v>
      </c>
      <c r="F4" s="105" t="str">
        <f>'Položkový soupis-k ocenění'!I4</f>
        <v>MV PROJEKTA s.r.o.</v>
      </c>
      <c r="G4" s="102"/>
      <c r="H4" s="105" t="s">
        <v>191</v>
      </c>
      <c r="I4" s="107" t="s">
        <v>193</v>
      </c>
    </row>
    <row r="5" spans="1:9" ht="15" customHeight="1" x14ac:dyDescent="0.25">
      <c r="A5" s="101"/>
      <c r="B5" s="102"/>
      <c r="C5" s="102"/>
      <c r="D5" s="102"/>
      <c r="E5" s="102"/>
      <c r="F5" s="102"/>
      <c r="G5" s="102"/>
      <c r="H5" s="102"/>
      <c r="I5" s="107"/>
    </row>
    <row r="6" spans="1:9" x14ac:dyDescent="0.25">
      <c r="A6" s="103" t="s">
        <v>13</v>
      </c>
      <c r="B6" s="102"/>
      <c r="C6" s="105" t="str">
        <f>'Položkový soupis-k ocenění'!C6</f>
        <v>Brno - Srbská ulice</v>
      </c>
      <c r="D6" s="102"/>
      <c r="E6" s="105" t="s">
        <v>17</v>
      </c>
      <c r="F6" s="105" t="str">
        <f>'Položkový soupis-k ocenění'!I6</f>
        <v> </v>
      </c>
      <c r="G6" s="102"/>
      <c r="H6" s="105" t="s">
        <v>191</v>
      </c>
      <c r="I6" s="107" t="s">
        <v>54</v>
      </c>
    </row>
    <row r="7" spans="1:9" ht="15" customHeight="1" x14ac:dyDescent="0.25">
      <c r="A7" s="101"/>
      <c r="B7" s="102"/>
      <c r="C7" s="102"/>
      <c r="D7" s="102"/>
      <c r="E7" s="102"/>
      <c r="F7" s="102"/>
      <c r="G7" s="102"/>
      <c r="H7" s="102"/>
      <c r="I7" s="107"/>
    </row>
    <row r="8" spans="1:9" x14ac:dyDescent="0.25">
      <c r="A8" s="103" t="s">
        <v>9</v>
      </c>
      <c r="B8" s="102"/>
      <c r="C8" s="105" t="str">
        <f>'Položkový soupis-k ocenění'!G4</f>
        <v>22.06.2026</v>
      </c>
      <c r="D8" s="102"/>
      <c r="E8" s="105" t="s">
        <v>15</v>
      </c>
      <c r="F8" s="105" t="str">
        <f>'Položkový soupis-k ocenění'!G6</f>
        <v>15.08.2026</v>
      </c>
      <c r="G8" s="102"/>
      <c r="H8" s="102" t="s">
        <v>194</v>
      </c>
      <c r="I8" s="108">
        <v>27</v>
      </c>
    </row>
    <row r="9" spans="1:9" x14ac:dyDescent="0.25">
      <c r="A9" s="101"/>
      <c r="B9" s="102"/>
      <c r="C9" s="102"/>
      <c r="D9" s="102"/>
      <c r="E9" s="102"/>
      <c r="F9" s="102"/>
      <c r="G9" s="102"/>
      <c r="H9" s="102"/>
      <c r="I9" s="107"/>
    </row>
    <row r="10" spans="1:9" x14ac:dyDescent="0.25">
      <c r="A10" s="103" t="s">
        <v>19</v>
      </c>
      <c r="B10" s="102"/>
      <c r="C10" s="105" t="str">
        <f>'Položkový soupis-k ocenění'!C8</f>
        <v>813397</v>
      </c>
      <c r="D10" s="102"/>
      <c r="E10" s="105" t="s">
        <v>23</v>
      </c>
      <c r="F10" s="105" t="str">
        <f>'Položkový soupis-k ocenění'!I8</f>
        <v>MV PROJEKTA s.r.o.</v>
      </c>
      <c r="G10" s="102"/>
      <c r="H10" s="102" t="s">
        <v>195</v>
      </c>
      <c r="I10" s="113" t="str">
        <f>'Položkový soupis-k ocenění'!G8</f>
        <v>19.11.2025</v>
      </c>
    </row>
    <row r="11" spans="1:9" x14ac:dyDescent="0.25">
      <c r="A11" s="118"/>
      <c r="B11" s="112"/>
      <c r="C11" s="112"/>
      <c r="D11" s="112"/>
      <c r="E11" s="112"/>
      <c r="F11" s="112"/>
      <c r="G11" s="112"/>
      <c r="H11" s="112"/>
      <c r="I11" s="114"/>
    </row>
    <row r="13" spans="1:9" ht="15.75" x14ac:dyDescent="0.25">
      <c r="A13" s="183" t="s">
        <v>236</v>
      </c>
      <c r="B13" s="183"/>
      <c r="C13" s="183"/>
      <c r="D13" s="183"/>
      <c r="E13" s="183"/>
    </row>
    <row r="14" spans="1:9" x14ac:dyDescent="0.25">
      <c r="A14" s="184" t="s">
        <v>237</v>
      </c>
      <c r="B14" s="185"/>
      <c r="C14" s="185"/>
      <c r="D14" s="185"/>
      <c r="E14" s="186"/>
      <c r="F14" s="88" t="s">
        <v>238</v>
      </c>
      <c r="G14" s="88" t="s">
        <v>239</v>
      </c>
      <c r="H14" s="88" t="s">
        <v>240</v>
      </c>
      <c r="I14" s="88" t="s">
        <v>238</v>
      </c>
    </row>
    <row r="15" spans="1:9" x14ac:dyDescent="0.25">
      <c r="A15" s="187" t="s">
        <v>204</v>
      </c>
      <c r="B15" s="188"/>
      <c r="C15" s="188"/>
      <c r="D15" s="188"/>
      <c r="E15" s="189"/>
      <c r="F15" s="89">
        <v>0</v>
      </c>
      <c r="G15" s="90" t="s">
        <v>54</v>
      </c>
      <c r="H15" s="90" t="s">
        <v>54</v>
      </c>
      <c r="I15" s="89">
        <f>F15</f>
        <v>0</v>
      </c>
    </row>
    <row r="16" spans="1:9" x14ac:dyDescent="0.25">
      <c r="A16" s="187" t="s">
        <v>206</v>
      </c>
      <c r="B16" s="188"/>
      <c r="C16" s="188"/>
      <c r="D16" s="188"/>
      <c r="E16" s="189"/>
      <c r="F16" s="89">
        <v>0</v>
      </c>
      <c r="G16" s="90" t="s">
        <v>54</v>
      </c>
      <c r="H16" s="90" t="s">
        <v>54</v>
      </c>
      <c r="I16" s="89">
        <f>F16</f>
        <v>0</v>
      </c>
    </row>
    <row r="17" spans="1:9" x14ac:dyDescent="0.25">
      <c r="A17" s="190" t="s">
        <v>209</v>
      </c>
      <c r="B17" s="191"/>
      <c r="C17" s="191"/>
      <c r="D17" s="191"/>
      <c r="E17" s="192"/>
      <c r="F17" s="91">
        <v>0</v>
      </c>
      <c r="G17" s="92" t="s">
        <v>54</v>
      </c>
      <c r="H17" s="92" t="s">
        <v>54</v>
      </c>
      <c r="I17" s="91">
        <f>F17</f>
        <v>0</v>
      </c>
    </row>
    <row r="18" spans="1:9" x14ac:dyDescent="0.25">
      <c r="A18" s="193" t="s">
        <v>241</v>
      </c>
      <c r="B18" s="194"/>
      <c r="C18" s="194"/>
      <c r="D18" s="194"/>
      <c r="E18" s="195"/>
      <c r="F18" s="93" t="s">
        <v>54</v>
      </c>
      <c r="G18" s="94" t="s">
        <v>54</v>
      </c>
      <c r="H18" s="94" t="s">
        <v>54</v>
      </c>
      <c r="I18" s="95">
        <f>SUM(I15:I17)</f>
        <v>0</v>
      </c>
    </row>
    <row r="20" spans="1:9" x14ac:dyDescent="0.25">
      <c r="A20" s="184" t="s">
        <v>202</v>
      </c>
      <c r="B20" s="185"/>
      <c r="C20" s="185"/>
      <c r="D20" s="185"/>
      <c r="E20" s="186"/>
      <c r="F20" s="88" t="s">
        <v>238</v>
      </c>
      <c r="G20" s="88" t="s">
        <v>239</v>
      </c>
      <c r="H20" s="88" t="s">
        <v>240</v>
      </c>
      <c r="I20" s="88" t="s">
        <v>238</v>
      </c>
    </row>
    <row r="21" spans="1:9" x14ac:dyDescent="0.25">
      <c r="A21" s="187" t="s">
        <v>205</v>
      </c>
      <c r="B21" s="188"/>
      <c r="C21" s="188"/>
      <c r="D21" s="188"/>
      <c r="E21" s="189"/>
      <c r="F21" s="89">
        <v>0</v>
      </c>
      <c r="G21" s="90" t="s">
        <v>54</v>
      </c>
      <c r="H21" s="90" t="s">
        <v>54</v>
      </c>
      <c r="I21" s="89">
        <f t="shared" ref="I21:I26" si="0">F21</f>
        <v>0</v>
      </c>
    </row>
    <row r="22" spans="1:9" x14ac:dyDescent="0.25">
      <c r="A22" s="187" t="s">
        <v>207</v>
      </c>
      <c r="B22" s="188"/>
      <c r="C22" s="188"/>
      <c r="D22" s="188"/>
      <c r="E22" s="189"/>
      <c r="F22" s="89">
        <v>0</v>
      </c>
      <c r="G22" s="90" t="s">
        <v>54</v>
      </c>
      <c r="H22" s="90" t="s">
        <v>54</v>
      </c>
      <c r="I22" s="89">
        <f t="shared" si="0"/>
        <v>0</v>
      </c>
    </row>
    <row r="23" spans="1:9" x14ac:dyDescent="0.25">
      <c r="A23" s="187" t="s">
        <v>210</v>
      </c>
      <c r="B23" s="188"/>
      <c r="C23" s="188"/>
      <c r="D23" s="188"/>
      <c r="E23" s="189"/>
      <c r="F23" s="89">
        <v>0</v>
      </c>
      <c r="G23" s="90" t="s">
        <v>54</v>
      </c>
      <c r="H23" s="90" t="s">
        <v>54</v>
      </c>
      <c r="I23" s="89">
        <f t="shared" si="0"/>
        <v>0</v>
      </c>
    </row>
    <row r="24" spans="1:9" x14ac:dyDescent="0.25">
      <c r="A24" s="187" t="s">
        <v>211</v>
      </c>
      <c r="B24" s="188"/>
      <c r="C24" s="188"/>
      <c r="D24" s="188"/>
      <c r="E24" s="189"/>
      <c r="F24" s="89">
        <v>0</v>
      </c>
      <c r="G24" s="90" t="s">
        <v>54</v>
      </c>
      <c r="H24" s="90" t="s">
        <v>54</v>
      </c>
      <c r="I24" s="89">
        <f t="shared" si="0"/>
        <v>0</v>
      </c>
    </row>
    <row r="25" spans="1:9" x14ac:dyDescent="0.25">
      <c r="A25" s="187" t="s">
        <v>213</v>
      </c>
      <c r="B25" s="188"/>
      <c r="C25" s="188"/>
      <c r="D25" s="188"/>
      <c r="E25" s="189"/>
      <c r="F25" s="89">
        <v>0</v>
      </c>
      <c r="G25" s="90" t="s">
        <v>54</v>
      </c>
      <c r="H25" s="90" t="s">
        <v>54</v>
      </c>
      <c r="I25" s="89">
        <f t="shared" si="0"/>
        <v>0</v>
      </c>
    </row>
    <row r="26" spans="1:9" x14ac:dyDescent="0.25">
      <c r="A26" s="190" t="s">
        <v>214</v>
      </c>
      <c r="B26" s="191"/>
      <c r="C26" s="191"/>
      <c r="D26" s="191"/>
      <c r="E26" s="192"/>
      <c r="F26" s="91">
        <v>0</v>
      </c>
      <c r="G26" s="92" t="s">
        <v>54</v>
      </c>
      <c r="H26" s="92" t="s">
        <v>54</v>
      </c>
      <c r="I26" s="91">
        <f t="shared" si="0"/>
        <v>0</v>
      </c>
    </row>
    <row r="27" spans="1:9" x14ac:dyDescent="0.25">
      <c r="A27" s="193" t="s">
        <v>242</v>
      </c>
      <c r="B27" s="194"/>
      <c r="C27" s="194"/>
      <c r="D27" s="194"/>
      <c r="E27" s="195"/>
      <c r="F27" s="93" t="s">
        <v>54</v>
      </c>
      <c r="G27" s="95">
        <v>4.3499999999999996</v>
      </c>
      <c r="H27" s="95">
        <f>'Krycí list soupisu'!C22</f>
        <v>0</v>
      </c>
      <c r="I27" s="95">
        <f>ROUND((G27/100)*H27,2)</f>
        <v>0</v>
      </c>
    </row>
    <row r="29" spans="1:9" ht="15.75" x14ac:dyDescent="0.25">
      <c r="A29" s="196" t="s">
        <v>243</v>
      </c>
      <c r="B29" s="197"/>
      <c r="C29" s="197"/>
      <c r="D29" s="197"/>
      <c r="E29" s="198"/>
      <c r="F29" s="199">
        <f>I18+I27</f>
        <v>0</v>
      </c>
      <c r="G29" s="200"/>
      <c r="H29" s="200"/>
      <c r="I29" s="201"/>
    </row>
    <row r="33" spans="1:9" ht="15.75" x14ac:dyDescent="0.25">
      <c r="A33" s="183" t="s">
        <v>244</v>
      </c>
      <c r="B33" s="183"/>
      <c r="C33" s="183"/>
      <c r="D33" s="183"/>
      <c r="E33" s="183"/>
    </row>
    <row r="34" spans="1:9" x14ac:dyDescent="0.25">
      <c r="A34" s="184" t="s">
        <v>245</v>
      </c>
      <c r="B34" s="185"/>
      <c r="C34" s="185"/>
      <c r="D34" s="185"/>
      <c r="E34" s="186"/>
      <c r="F34" s="88" t="s">
        <v>238</v>
      </c>
      <c r="G34" s="88" t="s">
        <v>239</v>
      </c>
      <c r="H34" s="88" t="s">
        <v>240</v>
      </c>
      <c r="I34" s="88" t="s">
        <v>238</v>
      </c>
    </row>
    <row r="35" spans="1:9" x14ac:dyDescent="0.25">
      <c r="A35" s="190" t="s">
        <v>54</v>
      </c>
      <c r="B35" s="191"/>
      <c r="C35" s="191"/>
      <c r="D35" s="191"/>
      <c r="E35" s="192"/>
      <c r="F35" s="91">
        <v>0</v>
      </c>
      <c r="G35" s="92" t="s">
        <v>54</v>
      </c>
      <c r="H35" s="92" t="s">
        <v>54</v>
      </c>
      <c r="I35" s="91">
        <f>F35</f>
        <v>0</v>
      </c>
    </row>
    <row r="36" spans="1:9" x14ac:dyDescent="0.25">
      <c r="A36" s="193" t="s">
        <v>246</v>
      </c>
      <c r="B36" s="194"/>
      <c r="C36" s="194"/>
      <c r="D36" s="194"/>
      <c r="E36" s="195"/>
      <c r="F36" s="93" t="s">
        <v>54</v>
      </c>
      <c r="G36" s="94" t="s">
        <v>54</v>
      </c>
      <c r="H36" s="94" t="s">
        <v>54</v>
      </c>
      <c r="I36" s="95">
        <f>SUM(I35:I35)</f>
        <v>0</v>
      </c>
    </row>
  </sheetData>
  <sheetProtection algorithmName="SHA-512" hashValue="bqEug5bJcBcuCcwVXMsOa4WeejB/l/+IhLTkjmaldzn3R72UVOkcl8RFNT1+aqg51y9LosBB2/3R1+HwkchfTQ==" saltValue="6v+onunfsSYvL93KsSy2sQ==" spinCount="100000" sheet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scale="92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soupisu</vt:lpstr>
      <vt:lpstr>Stavební rozpočet - součet</vt:lpstr>
      <vt:lpstr>Položkový soupis-k ocenění</vt:lpstr>
      <vt:lpstr>Výkaz výměr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Linhartová Malá Pavla (MMB_OI)</cp:lastModifiedBy>
  <cp:lastPrinted>2025-12-11T14:42:09Z</cp:lastPrinted>
  <dcterms:created xsi:type="dcterms:W3CDTF">2021-06-10T20:06:38Z</dcterms:created>
  <dcterms:modified xsi:type="dcterms:W3CDTF">2026-01-19T13:59:33Z</dcterms:modified>
</cp:coreProperties>
</file>