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3 Projekty Archív\Projekty 2024\S24-006 Červený Kopec\"/>
    </mc:Choice>
  </mc:AlternateContent>
  <xr:revisionPtr revIDLastSave="0" documentId="13_ncr:1_{9DA93F89-1521-4B06-B521-BFD7130073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ozpočet s výkazem výměr" sheetId="1" r:id="rId1"/>
  </sheets>
  <definedNames>
    <definedName name="_xlnm.Print_Titles" localSheetId="0">'Rozpočet s výkazem výměr'!$6:$6</definedName>
    <definedName name="_xlnm.Print_Area" localSheetId="0">'Rozpočet s výkazem výměr'!$A$1:$G$170</definedName>
  </definedNames>
  <calcPr calcId="191029"/>
</workbook>
</file>

<file path=xl/calcChain.xml><?xml version="1.0" encoding="utf-8"?>
<calcChain xmlns="http://schemas.openxmlformats.org/spreadsheetml/2006/main">
  <c r="E147" i="1" l="1"/>
  <c r="E161" i="1"/>
  <c r="E165" i="1"/>
  <c r="E164" i="1" s="1"/>
  <c r="G164" i="1" s="1"/>
  <c r="E153" i="1"/>
  <c r="E163" i="1" l="1"/>
  <c r="E162" i="1" s="1"/>
  <c r="G162" i="1" s="1"/>
  <c r="E148" i="1"/>
  <c r="E149" i="1"/>
  <c r="G142" i="1"/>
  <c r="E140" i="1"/>
  <c r="G140" i="1" s="1"/>
  <c r="A13" i="1"/>
  <c r="E137" i="1"/>
  <c r="G137" i="1" s="1"/>
  <c r="E130" i="1"/>
  <c r="E129" i="1" s="1"/>
  <c r="E135" i="1"/>
  <c r="G135" i="1" s="1"/>
  <c r="E134" i="1"/>
  <c r="E133" i="1" s="1"/>
  <c r="G133" i="1" s="1"/>
  <c r="E132" i="1"/>
  <c r="E131" i="1" s="1"/>
  <c r="E127" i="1"/>
  <c r="E125" i="1"/>
  <c r="E124" i="1" s="1"/>
  <c r="A15" i="1" l="1"/>
  <c r="A18" i="1" s="1"/>
  <c r="G124" i="1"/>
  <c r="G131" i="1"/>
  <c r="G129" i="1"/>
  <c r="G127" i="1"/>
  <c r="A20" i="1" l="1"/>
  <c r="G123" i="1"/>
  <c r="E121" i="1"/>
  <c r="G121" i="1" s="1"/>
  <c r="E119" i="1"/>
  <c r="G119" i="1" s="1"/>
  <c r="E118" i="1"/>
  <c r="E116" i="1"/>
  <c r="E115" i="1"/>
  <c r="E113" i="1"/>
  <c r="E112" i="1"/>
  <c r="E109" i="1"/>
  <c r="E108" i="1" s="1"/>
  <c r="E105" i="1"/>
  <c r="E104" i="1" s="1"/>
  <c r="G104" i="1" s="1"/>
  <c r="E107" i="1"/>
  <c r="E106" i="1" s="1"/>
  <c r="G106" i="1" s="1"/>
  <c r="E101" i="1"/>
  <c r="E57" i="1"/>
  <c r="E56" i="1" s="1"/>
  <c r="G56" i="1" s="1"/>
  <c r="E54" i="1"/>
  <c r="G54" i="1" s="1"/>
  <c r="E111" i="1" l="1"/>
  <c r="G111" i="1" s="1"/>
  <c r="A22" i="1"/>
  <c r="E114" i="1"/>
  <c r="G108" i="1"/>
  <c r="A24" i="1" l="1"/>
  <c r="E94" i="1"/>
  <c r="E92" i="1"/>
  <c r="G92" i="1" s="1"/>
  <c r="E90" i="1"/>
  <c r="E89" i="1"/>
  <c r="E88" i="1"/>
  <c r="E87" i="1"/>
  <c r="E86" i="1"/>
  <c r="E85" i="1"/>
  <c r="E83" i="1"/>
  <c r="E82" i="1" s="1"/>
  <c r="G82" i="1" s="1"/>
  <c r="E81" i="1"/>
  <c r="E80" i="1" s="1"/>
  <c r="G80" i="1" s="1"/>
  <c r="E79" i="1"/>
  <c r="E78" i="1" s="1"/>
  <c r="G78" i="1" s="1"/>
  <c r="E76" i="1"/>
  <c r="G76" i="1" s="1"/>
  <c r="E73" i="1"/>
  <c r="G73" i="1" s="1"/>
  <c r="E71" i="1"/>
  <c r="G71" i="1" s="1"/>
  <c r="E69" i="1"/>
  <c r="G69" i="1" s="1"/>
  <c r="G101" i="1"/>
  <c r="E66" i="1"/>
  <c r="G66" i="1" s="1"/>
  <c r="E64" i="1"/>
  <c r="E63" i="1"/>
  <c r="E59" i="1"/>
  <c r="E52" i="1"/>
  <c r="E49" i="1"/>
  <c r="E48" i="1" s="1"/>
  <c r="E46" i="1"/>
  <c r="E45" i="1" s="1"/>
  <c r="G45" i="1" s="1"/>
  <c r="A26" i="1" l="1"/>
  <c r="A28" i="1" s="1"/>
  <c r="A31" i="1" s="1"/>
  <c r="A35" i="1" s="1"/>
  <c r="E84" i="1"/>
  <c r="G84" i="1" s="1"/>
  <c r="G68" i="1" s="1"/>
  <c r="E43" i="1"/>
  <c r="G43" i="1" s="1"/>
  <c r="A38" i="1" l="1"/>
  <c r="A43" i="1" l="1"/>
  <c r="A45" i="1" l="1"/>
  <c r="A47" i="1" s="1"/>
  <c r="A49" i="1" s="1"/>
  <c r="A52" i="1" s="1"/>
  <c r="A54" i="1" s="1"/>
  <c r="A56" i="1" s="1"/>
  <c r="A58" i="1" s="1"/>
  <c r="A60" i="1" s="1"/>
  <c r="A62" i="1" s="1"/>
  <c r="A64" i="1" s="1"/>
  <c r="A66" i="1" s="1"/>
  <c r="A69" i="1" s="1"/>
  <c r="A71" i="1" s="1"/>
  <c r="A73" i="1" s="1"/>
  <c r="A76" i="1" s="1"/>
  <c r="A78" i="1" s="1"/>
  <c r="A80" i="1" s="1"/>
  <c r="A82" i="1" s="1"/>
  <c r="A84" i="1" s="1"/>
  <c r="A92" i="1" s="1"/>
  <c r="A94" i="1" s="1"/>
  <c r="A98" i="1" s="1"/>
  <c r="A101" i="1" s="1"/>
  <c r="A104" i="1" s="1"/>
  <c r="A106" i="1" s="1"/>
  <c r="A108" i="1" s="1"/>
  <c r="A111" i="1" s="1"/>
  <c r="A114" i="1" s="1"/>
  <c r="A119" i="1" s="1"/>
  <c r="A121" i="1" s="1"/>
  <c r="A124" i="1" s="1"/>
  <c r="A127" i="1" s="1"/>
  <c r="A129" i="1" s="1"/>
  <c r="A131" i="1" s="1"/>
  <c r="A133" i="1" s="1"/>
  <c r="A135" i="1" s="1"/>
  <c r="A137" i="1" s="1"/>
  <c r="A140" i="1" s="1"/>
  <c r="A142" i="1" s="1"/>
  <c r="A146" i="1" s="1"/>
  <c r="A152" i="1" s="1"/>
  <c r="A154" i="1" s="1"/>
  <c r="A156" i="1" s="1"/>
  <c r="A159" i="1" s="1"/>
  <c r="A162" i="1" s="1"/>
  <c r="A164" i="1" s="1"/>
  <c r="E39" i="1" l="1"/>
  <c r="E38" i="1" s="1"/>
  <c r="E36" i="1"/>
  <c r="E35" i="1" s="1"/>
  <c r="E28" i="1"/>
  <c r="G28" i="1" s="1"/>
  <c r="E24" i="1"/>
  <c r="G24" i="1" s="1"/>
  <c r="E22" i="1"/>
  <c r="G22" i="1" s="1"/>
  <c r="E20" i="1"/>
  <c r="G20" i="1" s="1"/>
  <c r="E18" i="1"/>
  <c r="G18" i="1" s="1"/>
  <c r="E13" i="1"/>
  <c r="E15" i="1"/>
  <c r="E9" i="1"/>
  <c r="E26" i="1" l="1"/>
  <c r="G26" i="1" s="1"/>
  <c r="G17" i="1" s="1"/>
  <c r="G9" i="1"/>
  <c r="E154" i="1"/>
  <c r="G154" i="1" s="1"/>
  <c r="E152" i="1"/>
  <c r="E98" i="1"/>
  <c r="E62" i="1"/>
  <c r="G62" i="1" s="1"/>
  <c r="E60" i="1"/>
  <c r="G60" i="1" s="1"/>
  <c r="E58" i="1"/>
  <c r="G58" i="1" s="1"/>
  <c r="G52" i="1"/>
  <c r="G49" i="1"/>
  <c r="G15" i="1"/>
  <c r="G13" i="1"/>
  <c r="G64" i="1"/>
  <c r="G152" i="1" l="1"/>
  <c r="G98" i="1"/>
  <c r="G114" i="1"/>
  <c r="G100" i="1" s="1"/>
  <c r="G8" i="1"/>
  <c r="G38" i="1"/>
  <c r="G94" i="1"/>
  <c r="G35" i="1"/>
  <c r="E47" i="1"/>
  <c r="G47" i="1" s="1"/>
  <c r="G42" i="1" s="1"/>
  <c r="E31" i="1"/>
  <c r="G31" i="1" l="1"/>
  <c r="G30" i="1" s="1"/>
  <c r="E150" i="1"/>
  <c r="E146" i="1" s="1"/>
  <c r="G91" i="1"/>
  <c r="G34" i="1"/>
  <c r="G146" i="1" l="1"/>
  <c r="G139" i="1" s="1"/>
  <c r="E157" i="1"/>
  <c r="E156" i="1" l="1"/>
  <c r="G156" i="1" s="1"/>
  <c r="E160" i="1"/>
  <c r="E159" i="1" s="1"/>
  <c r="G159" i="1" s="1"/>
  <c r="G151" i="1" l="1"/>
  <c r="F167" i="1" s="1"/>
</calcChain>
</file>

<file path=xl/sharedStrings.xml><?xml version="1.0" encoding="utf-8"?>
<sst xmlns="http://schemas.openxmlformats.org/spreadsheetml/2006/main" count="293" uniqueCount="223">
  <si>
    <t>ROZPOČET S VÝKAZEM VÝMĚR</t>
  </si>
  <si>
    <t>Č.</t>
  </si>
  <si>
    <t>Kód položky</t>
  </si>
  <si>
    <t>Popis</t>
  </si>
  <si>
    <t>MJ</t>
  </si>
  <si>
    <t>Množství celkem</t>
  </si>
  <si>
    <t>Cena jednotková</t>
  </si>
  <si>
    <t>Cena celkem</t>
  </si>
  <si>
    <t>155211112</t>
  </si>
  <si>
    <t xml:space="preserve">Očištění skalních ploch horolezeckou technikou odstranění vegetace včetně stažení k zemi, odklizení na hromady na vzdálenost do 50 m nebo na naložení na dopravní prostředek keřů a stromů do průměru 10 cm   </t>
  </si>
  <si>
    <t>m2</t>
  </si>
  <si>
    <t>155211311</t>
  </si>
  <si>
    <t xml:space="preserve">Odtěžení nestabilních hornin ze skalních stěn horolezeckou technikou s přehozením na vzdálenost do 3 m nebo s naložením na dopravní prostředek s použitím pneumatického nářadí   </t>
  </si>
  <si>
    <t>m3</t>
  </si>
  <si>
    <t>155211313</t>
  </si>
  <si>
    <t xml:space="preserve">Odtěžení nestabilních hornin ze skalních stěn horolezeckou technikou s přehozením na vzdálenost do 3 m nebo s naložením na dopravní prostředek hydraulickými klíny   </t>
  </si>
  <si>
    <t>034002000</t>
  </si>
  <si>
    <t xml:space="preserve">Zabezpečení staveniště   </t>
  </si>
  <si>
    <t>062002000</t>
  </si>
  <si>
    <t xml:space="preserve">Ztížené dopravní podmínky   </t>
  </si>
  <si>
    <t>kpl</t>
  </si>
  <si>
    <t>063002000</t>
  </si>
  <si>
    <t xml:space="preserve">Práce na těžce přístupných místech   </t>
  </si>
  <si>
    <t>155211122</t>
  </si>
  <si>
    <t xml:space="preserve">Očištění skalních ploch horolezeckou technikou očištění ručními nástroji motykami, páčidly   </t>
  </si>
  <si>
    <t>155212116</t>
  </si>
  <si>
    <t xml:space="preserve">Vrty do skalních stěn prováděné horolezeckou technikou hloubky do 5 m přenosnými vrtacími kladivy průměru do 56 mm, v hornině tř. V a VI   </t>
  </si>
  <si>
    <t>m</t>
  </si>
  <si>
    <t>155213112</t>
  </si>
  <si>
    <t xml:space="preserve">Trny z oceli prováděné horolezeckou technikou bez oka z celozávitové oceli pro uchycení sítí zainjektované cementovou maltou délky do 3 m, průměru přes 20 do 26 mm   </t>
  </si>
  <si>
    <t>kus</t>
  </si>
  <si>
    <t>155213612</t>
  </si>
  <si>
    <t xml:space="preserve">Trny z injekčních zavrtávacích tyčí prováděné horolezeckou technikou zainjektované cementovou maltou průměru 32 mm včetně vrtů přenosnými vrtacími kladivy na ztracenou korunku průměru 51 mm, délky přes 2 do 3 m   </t>
  </si>
  <si>
    <t>466986221</t>
  </si>
  <si>
    <t xml:space="preserve">Haťová podélná nebo příčná konstrukce na suchu nebo ve vodě  složená z vrstev vrbového klestu, utaženého povázkami a z vrstev výplně z kamene nebo jiné sypaniny typ moravský nebo bukovínský, s výplní ze sypaniny získané na staveništi   </t>
  </si>
  <si>
    <t>467951120</t>
  </si>
  <si>
    <t>789324210</t>
  </si>
  <si>
    <t xml:space="preserve">Zhotovení nátěru ocelových konstrukcí  třídy IV dvousložkového základního, tloušťky do 40 µm   </t>
  </si>
  <si>
    <t>24629111</t>
  </si>
  <si>
    <t xml:space="preserve">hmota nátěrová PUR základní na ocelové konstrukce   </t>
  </si>
  <si>
    <t>kg</t>
  </si>
  <si>
    <t>789324220</t>
  </si>
  <si>
    <t xml:space="preserve">Zhotovení nátěru ocelových konstrukcí  třídy IV dvousložkového krycího (vrchního), tloušťky do 40 µm   </t>
  </si>
  <si>
    <t>24613582</t>
  </si>
  <si>
    <t xml:space="preserve">hmota nátěrová PUR krycí (email) na kovy   </t>
  </si>
  <si>
    <t>161111512</t>
  </si>
  <si>
    <t xml:space="preserve">Svislé přemístění výkopku nošením bez naložení, avšak s vyprázdněním nádoby na hromady nebo do dopravního prostředku z horniny třídy těžitelnosti II skupiny 4 a 5, při hloubce výkopu přes 3 do 6 m   </t>
  </si>
  <si>
    <t>162211211</t>
  </si>
  <si>
    <t xml:space="preserve">Vodorovné přemístění výkopku nebo sypaniny nošením s vyprázdněním nádoby na hromady nebo do dopravního prostředku na vzdálenost do 10 m z horniny třídy těžitelnosti II, skupiny 4 a 5   </t>
  </si>
  <si>
    <t xml:space="preserve">Stavba:   </t>
  </si>
  <si>
    <t xml:space="preserve">Zadavatel:   </t>
  </si>
  <si>
    <t>Statutární město Brno, magistrát města Brna</t>
  </si>
  <si>
    <t xml:space="preserve">"ztížené podmínky na umístění výkonného kompresoru, hadic délky nad 200 m a pomocných rozdělovačů vzduchu a zásobníků"1   </t>
  </si>
  <si>
    <t>Statické zajištění svahu Červený kopec</t>
  </si>
  <si>
    <t>SOUBOR 10</t>
  </si>
  <si>
    <t xml:space="preserve">"ohraničení a zajištění staveniště proti vstupu nepovolaných osob"400   </t>
  </si>
  <si>
    <t>"výstražné tabulky a pásky v terénu" 30</t>
  </si>
  <si>
    <t xml:space="preserve">"Zajištění pohybu osob po svahu, kotevní prvky pro práce ve výškách dle NV č. 362/205 Sb."2990"plocha dle zákresu dotčeného území prací"   </t>
  </si>
  <si>
    <t>SOUBOR 01</t>
  </si>
  <si>
    <t>Odstranění vegetace</t>
  </si>
  <si>
    <t>112151012</t>
  </si>
  <si>
    <t xml:space="preserve">Volné kácení stromů s rozřezáním a odvětvením D kmene přes 200 do 300 mm   </t>
  </si>
  <si>
    <t>112151013</t>
  </si>
  <si>
    <t xml:space="preserve">Volné kácení stromů s rozřezáním a odvětvením D kmene přes 300 do 400 mm   </t>
  </si>
  <si>
    <t>112251101</t>
  </si>
  <si>
    <t xml:space="preserve">Odstranění pařezů průměru přes 100 do 300 mm   </t>
  </si>
  <si>
    <t>112251102</t>
  </si>
  <si>
    <t xml:space="preserve">Odstranění pařezů průměru přes 300 do 500 mm   </t>
  </si>
  <si>
    <t>"kácení určených stromů na pozemku parc. č. 1048/1, 1048/3, 1047, 1365/2" 65</t>
  </si>
  <si>
    <t>"kácení určených stromů na pozemku parc. č. 1048/1, 1048/3, 1047, 1365/2" 40</t>
  </si>
  <si>
    <t>"odstranění pařezů po kácených stromech a staré kusy"55</t>
  </si>
  <si>
    <t>"odstranění pařezů po kácených stromech a staré kusy"10</t>
  </si>
  <si>
    <t>agreg.</t>
  </si>
  <si>
    <t>Ochranné dřevěné obložení stromů, které nebudou káceny a budou chráněny po dobu stavby</t>
  </si>
  <si>
    <t>SOUBOR 02</t>
  </si>
  <si>
    <t>Očištění skalního svahu</t>
  </si>
  <si>
    <t>"očištění skalních svahu nad cyklostezkou, do hl. 0,35 m"</t>
  </si>
  <si>
    <t>"očištění skalních svahů ve vysoké lokaci do hloubky 0,45 - 0,65 m"</t>
  </si>
  <si>
    <t>SOUBOR 03</t>
  </si>
  <si>
    <t>Odtěžení bloků</t>
  </si>
  <si>
    <t>"rezervní položka na neurčené pozice dle stavu masivu"3,5</t>
  </si>
  <si>
    <t>"druhotné rozpojování nadměrných bloků"3,15</t>
  </si>
  <si>
    <t>"rezervní položka na neurčené pozice dle stavu masivu" 2</t>
  </si>
  <si>
    <t>"odtěžení bloků v rozsahu dle D.1.1.2.1, celkový rozsah prací 25%"36*0,25</t>
  </si>
  <si>
    <t>SOUBOR 04</t>
  </si>
  <si>
    <t>Zajištění skalního svahu sítěmi</t>
  </si>
  <si>
    <t>155214111</t>
  </si>
  <si>
    <t>Síťování skalních stěn prováděné horolezeckou technikou montáž pásů ocelové sítě</t>
  </si>
  <si>
    <t>"zajištění skalního svahu ochrannou clonou dle D.1.1.2.1"550</t>
  </si>
  <si>
    <t>31319111</t>
  </si>
  <si>
    <t xml:space="preserve">síť na skálu s oky 80x100mm povrch galfan D 2,7mm   </t>
  </si>
  <si>
    <t>"dodání specifikované ocelové sítě s technologickým navýšením 25%"550*1,25"zakrouhleno na celo stovky m2"</t>
  </si>
  <si>
    <t>"kotevní prvky sítí CKT S670 H pr. 30 mm, dl. 3,0 m"</t>
  </si>
  <si>
    <t>"kotevní prvky lokálního kotvení bloků CKT S670 H pr. 30 mm, dl. 3,0 m"</t>
  </si>
  <si>
    <t>"Vrty pro kotevní prvky CKT délky 3,0 m, délka vrtu * počet kusů"2,8*90</t>
  </si>
  <si>
    <t>"kotevní prvky sítí R32/380 , dl. 3,0 m"</t>
  </si>
  <si>
    <t xml:space="preserve">"nátěr všech kotevních prvků včetně matek a podložek"(0,2*0,2*2+0,01+0,0125)*(90+70)   </t>
  </si>
  <si>
    <t>"spotřeba hmoty cca 1 kg/4m2"</t>
  </si>
  <si>
    <t>"specifikovaná barva RAL 9005, nátěr matný, množství na konečné nátěry"</t>
  </si>
  <si>
    <t>Betonové prvky pro zatížení sítí 20 - 35 kg</t>
  </si>
  <si>
    <t>Zařízení a zajištění staveniště, přípravné práce</t>
  </si>
  <si>
    <t>"určené stromy budou do výšky 1,5 m od terénu chráněny dřevěným obkladem proti poškození po dobu stavby, průměr kmene stromů 200 - 450 mm"40</t>
  </si>
  <si>
    <t>"odtěžení bloků v rozsahu dle D.1.1.2.1, celkový rozsah prací 75%"36*0,75</t>
  </si>
  <si>
    <t>"dodání a osazení betonových prvků do spodního lemu sítí, cca 1 ks na 3 m"</t>
  </si>
  <si>
    <t>SOUBOR 05</t>
  </si>
  <si>
    <t>Zemní valy a konstrukce</t>
  </si>
  <si>
    <t>171151324</t>
  </si>
  <si>
    <t xml:space="preserve">Strmý svah ze zemin vyztužených prefabrikovaným prvkem z ocelové dvouzákrutové sítě s pohledovou plochou sklonu 60, 65 a 70° z ocelové sítě vyplněné kamenivem, výšky přes 6 do 8 m   </t>
  </si>
  <si>
    <t>171151311</t>
  </si>
  <si>
    <t xml:space="preserve">Strmý svah ze zemin vyztužených prefabrikovaným prvkem z ocelové dvouzákrutové sítě s pohledovou plochou sklonu 60, 65 a 70° z ocelové sítě pro zatravnění, výšky do 2 m   </t>
  </si>
  <si>
    <t>171151312</t>
  </si>
  <si>
    <t xml:space="preserve">Strmý svah ze zemin vyztužených prefabrikovaným prvkem z ocelové dvouzákrutové sítě s pohledovou plochou sklonu 60, 65 a 70° z ocelové sítě pro zatravnění, výšky přes 2 do 4 m   </t>
  </si>
  <si>
    <t>"strmý svah ochranného valu č. 1 - 027 - 048, plocha dle D.1.1.2.1"56</t>
  </si>
  <si>
    <t xml:space="preserve">Strmý svah ze zemin vyztužených prefabrikovaným prvkem z ocelové dvouzákrutové sítě s pohledovou plochou sklonu 60, 65 a 70° z ocelové sítě pro zatravnění, výšky přes 4 do 6 m   </t>
  </si>
  <si>
    <t>"strmý svah ochranného valu č. 4 - 250 - 270, plocha dle D.1.1.2.1"83</t>
  </si>
  <si>
    <t>"strmý svah ochranného valu č. 2 - 070 - 118, plocha dle D.1.1.2.1"221</t>
  </si>
  <si>
    <t>"strmý svah ochranného valu č. 3 - 175 - 205, plocha dle D.1.1.2.1"246</t>
  </si>
  <si>
    <t>171151131</t>
  </si>
  <si>
    <t xml:space="preserve">Uložení sypanin do násypů strojně s rozprostřením sypaniny ve vrstvách a s hrubým urovnáním zhutněných z hornin nesoudržných a soudržných střídavě ukládaných   </t>
  </si>
  <si>
    <t xml:space="preserve">Zřízení vrstvy z geotextilie  filtrační, separační, odvodňovací, ochranné, výztužné nebo protierozní v rovině nebo ve sklonu do 1:5, šířky přes 3 do 6 m   </t>
  </si>
  <si>
    <t>564871111</t>
  </si>
  <si>
    <t xml:space="preserve">Podklad ze štěrkodrti ŠD  s rozprostřením a zhutněním, po zhutnění tl. 250 mm   </t>
  </si>
  <si>
    <t>58344171</t>
  </si>
  <si>
    <t xml:space="preserve">štěrkodrť frakce 0/32   </t>
  </si>
  <si>
    <t>t</t>
  </si>
  <si>
    <t xml:space="preserve">"zřízení separační vrstvy pod základovou vrstvou valů, předpoklad separace cca 40% plochy, půdorysná plocha 305 m2, profilace a zpětné zatžení"305*0,4*1,25"zaokrouhleno"   </t>
  </si>
  <si>
    <t>"dodání specifikované geotextilie včetně překryvů"160*1,25+"zaokrouhlení"</t>
  </si>
  <si>
    <t>"doplnění a úprava základové vrstvy valů"500 * 0,45</t>
  </si>
  <si>
    <t>"uložení zemin pro ochranný val č. 1"</t>
  </si>
  <si>
    <t>"uložení zemin pro ochranný val č. 2"</t>
  </si>
  <si>
    <t>"uložení zemin pro ochranný val č. 3"</t>
  </si>
  <si>
    <t>"uložení zemin pro ochranný val č. 4"</t>
  </si>
  <si>
    <t>"doplňující zemní práce a uložení zemin do valů"</t>
  </si>
  <si>
    <t>"zřízení základové vrstvy valů"500 m2, 0,65% 0,25 tl.</t>
  </si>
  <si>
    <t>SOUBOR 06</t>
  </si>
  <si>
    <t>Ochranné palisády a hatě</t>
  </si>
  <si>
    <t>Práh dřevěný z výřezů pro stavební účely  zajištění na vzdušné straně pilotami O od 150 do 190 mm, délky od 1,5 do 1,8 m, zaraženými v osové vzdálenosti od 1 do 3 m jednoduchý z kulatiny pr. od 200 do 290 mm</t>
  </si>
  <si>
    <t>"Dodání a montáž kulatiny do ochranných palisád dle technické dokumentace - sloupky pr. 200 mm, délky 1 m, vč vrtu pr. 35 mm"270</t>
  </si>
  <si>
    <r>
      <t xml:space="preserve">"Dodání a montáž kulatiny do ochranných palisád dle technické dokumentace - vodorovné pažiny pr. 150 - 200 mm, délky 2 m, vč. opracování"
</t>
    </r>
    <r>
      <rPr>
        <b/>
        <sz val="10"/>
        <color rgb="FF333333"/>
        <rFont val="Calibri"/>
        <family val="2"/>
        <charset val="238"/>
        <scheme val="minor"/>
      </rPr>
      <t>"každé pole s minimálně 4 ks vodorovných prvků!"</t>
    </r>
  </si>
  <si>
    <t xml:space="preserve">"Dodání dřevěných prvků včetně trvalého ochranného nátěru" </t>
  </si>
  <si>
    <t>155214212</t>
  </si>
  <si>
    <t xml:space="preserve">Síťování skalních stěn prováděné horolezeckou technikou montáž ocelového lana pro uchycení sítě průměru přes 10 mm   </t>
  </si>
  <si>
    <t>31452113</t>
  </si>
  <si>
    <t xml:space="preserve">lano ocelové šestipramenné Pz+PVC 6x19 drátů D 12,5/14,5mm   </t>
  </si>
  <si>
    <t>"montáž obvodového a stabilizačního lana sítí a bloků"250</t>
  </si>
  <si>
    <t xml:space="preserve">"dodání ocelových lan dle specifikace, koeficient dodávky 1,2"250*1,2   </t>
  </si>
  <si>
    <t>"Dodání a provedení protierozních hatí ve svahu dle D.1.1.2.1"80</t>
  </si>
  <si>
    <t>"kotevní prvky sítí R32/380 , dl. 2,0 m, včetně antikorozního nátěru dle D.1.1.1."</t>
  </si>
  <si>
    <t>SOUBOR 07</t>
  </si>
  <si>
    <t>Stabilizace krajnice</t>
  </si>
  <si>
    <t>"strmý svah stabilizace krajnice 181 - 205, plocha dle D.1.1.2.1"36</t>
  </si>
  <si>
    <t>"strmý svah stabilizace krajnice 260 - 275, plocha dle D.1.1.2.1"21</t>
  </si>
  <si>
    <t xml:space="preserve">"zřízení separační vrstvy pod základovou vrstvou valů, předpoklad separace cca 60% plochy, půdorysná plocha 150 m2, profilace a zpětné zatžení"150*0,6*1,25"zaokrouhleno"   </t>
  </si>
  <si>
    <t>"dodání specifikované geotextilie včetně překryvů"113*1,25+"zaokrouhlení"</t>
  </si>
  <si>
    <t>"doplnění a úprava základové vrstvy"150*0,5</t>
  </si>
  <si>
    <t>"konstrukční vrstvy a vyrovnávací vrstvy cyklostezky"150</t>
  </si>
  <si>
    <t>"zřízení základové vrstvy"150 m2, 0,5 0,25 tl.</t>
  </si>
  <si>
    <t>"doplňující zemní práce a uložení zemin u stabilizace krajnice"</t>
  </si>
  <si>
    <t>"uložení zemin pro stabilizaci krajnice 181 - 205"</t>
  </si>
  <si>
    <t>"uložení zemin pro stabilizaci krajnice 260 - 275"</t>
  </si>
  <si>
    <t>Odstranění stávajícího asfaltového krytu cyklostezky</t>
  </si>
  <si>
    <t>"řezání asfaltu do 150 mm, odstranění krytu z obalovaného kameniva a asfaltobetonu v tl.  Do 250 mm, s naložením na dopravní prostředek"</t>
  </si>
  <si>
    <t>Zřízení nového krytu cyklostezky - ABJ II tl. 50 mm, Rmat tl. 50 mm, spojovací postřiky</t>
  </si>
  <si>
    <t>"realizace krytu cyklostezky dle D.1.1.1 , TP 170 dodatek č. 1, kat. list D2-N-3 / CH</t>
  </si>
  <si>
    <t>SOUBOR 08</t>
  </si>
  <si>
    <t>Odvodnění</t>
  </si>
  <si>
    <t>geotextilie netkaná separační, ochranná, filtrační, drenážní PP 200g/m2</t>
  </si>
  <si>
    <t>175151101</t>
  </si>
  <si>
    <t>Obsypání potrubí strojně sypaninou bez prohození, uloženou do 3 m</t>
  </si>
  <si>
    <t>kamenivo drcené hrubé frakce 16/32</t>
  </si>
  <si>
    <t>212752522</t>
  </si>
  <si>
    <t>Trativod z drenážních trubek korugovaných PP SN 8 perforace 120° včetně lože otevřený výkop DN 200 pro liniové stavby</t>
  </si>
  <si>
    <t>Zásyp jam, šachet rýh nebo kolem objektů sypaninou se zhutněním</t>
  </si>
  <si>
    <t>174151101</t>
  </si>
  <si>
    <t>894812315</t>
  </si>
  <si>
    <t>Revizní a čistící šachta z PP typ DN 600/200 šachtové dno průtočné</t>
  </si>
  <si>
    <t>ks</t>
  </si>
  <si>
    <t>122452204</t>
  </si>
  <si>
    <t xml:space="preserve">Odkopávky a prokopávky nezapažené pro silnice a dálnice strojně v hornině třídy těžitelnosti II přes 100 do 500 m3   </t>
  </si>
  <si>
    <t>"výkop pro odvodnění, délka do 80 m, šířky do 0,8 m, hl. 0,6 - 1,0 m"</t>
  </si>
  <si>
    <t>"dodání a osazení drenážních trubek do trativodu, včetně lože z nepropustné zeminy"80</t>
  </si>
  <si>
    <t>"obsyp trativodu v rozsahu 70% objemu rýhy"51,20*0,7</t>
  </si>
  <si>
    <t>"dodání štěrkodrti ŠD 16/32 do zásypu odvodnění"36*1,75</t>
  </si>
  <si>
    <t xml:space="preserve">"výkop pro úpravu vsakování" </t>
  </si>
  <si>
    <t>"dodání a vystrojení rýhy trativodu geotextilií, cca 5m2/3 m"150+80</t>
  </si>
  <si>
    <t>SOUBOR 09</t>
  </si>
  <si>
    <t>Souběžné stavební práce</t>
  </si>
  <si>
    <t xml:space="preserve">Demontáž stávajícího zábradlí s rozřezáním na díly </t>
  </si>
  <si>
    <t>bm</t>
  </si>
  <si>
    <t xml:space="preserve">Obnova zábradlí atypické konstrukce včetně základových prvků </t>
  </si>
  <si>
    <t>"dodání a výroba nového zábradlí v délce 20 m"</t>
  </si>
  <si>
    <t>"povrchová úprava a nátěr celého zábradlí stavby 300 bm, RAL 2022, dle D.1.1.2.1</t>
  </si>
  <si>
    <t>"odkopávky akumulací a svahových kuželů dle D.1.1.2.1"</t>
  </si>
  <si>
    <t>"odkopávky pro zemní ochranné valy dle D.1.1.2.1"</t>
  </si>
  <si>
    <t>"odkopávky pro stabilizaci krajnice dle D.1.1.2.1"</t>
  </si>
  <si>
    <t>"odkopávky ze souborů 02 a 03"</t>
  </si>
  <si>
    <t>Přesuny hmot</t>
  </si>
  <si>
    <t>171201231</t>
  </si>
  <si>
    <t xml:space="preserve">Poplatek za uložení stavebního odpadu na recyklační skládce (skládkovné) zeminy a kamení zatříděného do Katalogu odpadů pod kódem 17 05 04   </t>
  </si>
  <si>
    <t xml:space="preserve">"svislé přemístění rubaniny do valů a hatí či do kamenných valů, cca 35% z těžby"0,45*(30,50+9+2)+bloky ve svahu cca 5,5 m3   </t>
  </si>
  <si>
    <t>"roznos ruční po svahu do kamenných valů, z těžby bloků, očisty a odkopávek"</t>
  </si>
  <si>
    <t>167151112</t>
  </si>
  <si>
    <t xml:space="preserve">Nakládání, skládání a překládání neulehlého výkopku nebo sypaniny strojně nakládání, množství přes 100 m3, z hornin třídy těžitelnosti II, skupiny 4 a 5   </t>
  </si>
  <si>
    <t>997002511</t>
  </si>
  <si>
    <t xml:space="preserve">Vodorovné přemístění suti a vybouraných hmot bez naložení, se složením a hrubým urovnáním na vzdálenost do 1 km   </t>
  </si>
  <si>
    <t>997002519</t>
  </si>
  <si>
    <t xml:space="preserve">Vodorovné přemístění suti a vybouraných hmot bez naložení, se složením a hrubým urovnáním Příplatek k ceně za každý další započatý 1 km přes 1 km   </t>
  </si>
  <si>
    <t>"nakládání odkopů, opakované pro zpětné uložení"</t>
  </si>
  <si>
    <t>"nakládání suti a vybouraných hmot na odvoz na skládku"</t>
  </si>
  <si>
    <t>"vodorovný přesun po stavbě, omezení techniky s nosností do 8,5 t,1,8 t/m3, pro odkopy a zpětné uložení do valů"</t>
  </si>
  <si>
    <t>"vodorovný přesun suti na skládku, omezení techniky s nosností do 8,5 t,1,8 t/m3, znečištěná zemina a suť"</t>
  </si>
  <si>
    <t>"příplatek na odvoz suti na skládku do 30 km"</t>
  </si>
  <si>
    <t>"poplatek za uložení znečištěné zeminy ze stavby"</t>
  </si>
  <si>
    <t>"dodání štěrkodrti ŠD 0/32 do základové vrstvy ochranných valů"225*0,15*1,75</t>
  </si>
  <si>
    <t>"dodání štěrkodrti ŠD 0/32 do základové vrstvy ochranných valů"75*0,15*1,75</t>
  </si>
  <si>
    <t>"dodání štěrkodrti ŠD 0/32 do vyrovnávací a konstrukční vrsrtvy"150*0,3*1,75</t>
  </si>
  <si>
    <t>"provedení zásypu rýhy trativodu a úprava propustných podmínek štěrkodrtí a zeminou"</t>
  </si>
  <si>
    <t>"provedení zásypu rýhy trativodu štěrkodrtí a zeminou"</t>
  </si>
  <si>
    <t>"demontáž stávajícího zábradlí rozřezáním na díly po 1 m, včetně demolice základových patek, naložení suti, přesunu dílů zábradlí na dočasnou deponii"18+24</t>
  </si>
  <si>
    <t>"zpětná instalace demontovaných prvků, svaření a povrchová úprava na místě v délce 42 m"</t>
  </si>
  <si>
    <t xml:space="preserve">Celkem bez DPH  </t>
  </si>
  <si>
    <t xml:space="preserve">"dočasné plochy zařízení stavby"350   </t>
  </si>
  <si>
    <t>"celková plocha dotčená zásahem cca 2500 m2, hustota porostu je cca 0,38, včetně štěpkování s uložením na stavbě"950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</si>
</sst>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_ ;\-#,##0.00\ "/>
  </numFmts>
  <fonts count="21" x14ac:knownFonts="1">
    <font>
      <sz val="8"/>
      <name val="MS Sans Serif"/>
      <charset val="1"/>
    </font>
    <font>
      <sz val="10"/>
      <name val="Arial CE"/>
      <family val="2"/>
      <charset val="238"/>
    </font>
    <font>
      <sz val="8"/>
      <name val="MS Sans Serif"/>
      <charset val="1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0"/>
      <color rgb="FF33333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indexed="63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0" fontId="2" fillId="0" borderId="0" applyAlignment="0">
      <alignment vertical="top" wrapText="1"/>
      <protection locked="0"/>
    </xf>
    <xf numFmtId="0" fontId="19" fillId="0" borderId="0">
      <alignment vertical="center"/>
    </xf>
    <xf numFmtId="0" fontId="20" fillId="0" borderId="0" applyAlignment="0">
      <alignment vertical="top"/>
      <protection locked="0"/>
    </xf>
    <xf numFmtId="0" fontId="19" fillId="0" borderId="0">
      <alignment vertical="center"/>
    </xf>
  </cellStyleXfs>
  <cellXfs count="80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vertical="top" wrapText="1"/>
    </xf>
    <xf numFmtId="164" fontId="5" fillId="0" borderId="0" xfId="0" applyNumberFormat="1" applyFont="1" applyAlignment="1" applyProtection="1">
      <alignment horizontal="right" vertical="top"/>
    </xf>
    <xf numFmtId="39" fontId="7" fillId="0" borderId="0" xfId="0" applyNumberFormat="1" applyFont="1" applyAlignment="1" applyProtection="1">
      <alignment horizontal="right" vertical="top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37" fontId="8" fillId="0" borderId="1" xfId="0" applyNumberFormat="1" applyFont="1" applyBorder="1" applyAlignment="1">
      <alignment horizontal="center" vertical="top"/>
      <protection locked="0"/>
    </xf>
    <xf numFmtId="0" fontId="8" fillId="0" borderId="1" xfId="0" applyFont="1" applyBorder="1" applyAlignment="1">
      <alignment horizontal="center" vertical="top" wrapText="1"/>
      <protection locked="0"/>
    </xf>
    <xf numFmtId="0" fontId="8" fillId="0" borderId="1" xfId="0" applyFont="1" applyBorder="1" applyAlignment="1">
      <alignment horizontal="left" vertical="top" wrapText="1"/>
      <protection locked="0"/>
    </xf>
    <xf numFmtId="164" fontId="8" fillId="0" borderId="1" xfId="0" applyNumberFormat="1" applyFont="1" applyBorder="1" applyAlignment="1">
      <alignment horizontal="right" vertical="top"/>
      <protection locked="0"/>
    </xf>
    <xf numFmtId="39" fontId="4" fillId="0" borderId="1" xfId="0" applyNumberFormat="1" applyFont="1" applyBorder="1" applyAlignment="1">
      <alignment horizontal="right" vertical="top"/>
      <protection locked="0"/>
    </xf>
    <xf numFmtId="37" fontId="10" fillId="0" borderId="0" xfId="0" applyNumberFormat="1" applyFont="1" applyAlignment="1">
      <alignment horizontal="center" vertical="top"/>
      <protection locked="0"/>
    </xf>
    <xf numFmtId="0" fontId="10" fillId="0" borderId="0" xfId="0" applyFont="1" applyAlignment="1">
      <alignment horizontal="center" vertical="top" wrapText="1"/>
      <protection locked="0"/>
    </xf>
    <xf numFmtId="0" fontId="10" fillId="0" borderId="0" xfId="0" applyFont="1" applyAlignment="1">
      <alignment horizontal="left" vertical="top" wrapText="1"/>
      <protection locked="0"/>
    </xf>
    <xf numFmtId="164" fontId="10" fillId="0" borderId="0" xfId="0" applyNumberFormat="1" applyFont="1" applyAlignment="1">
      <alignment horizontal="right" vertical="top"/>
      <protection locked="0"/>
    </xf>
    <xf numFmtId="39" fontId="10" fillId="0" borderId="0" xfId="0" applyNumberFormat="1" applyFont="1" applyAlignment="1">
      <alignment horizontal="right" vertical="top"/>
      <protection locked="0"/>
    </xf>
    <xf numFmtId="37" fontId="5" fillId="0" borderId="0" xfId="0" applyNumberFormat="1" applyFont="1" applyAlignment="1">
      <alignment horizontal="center" vertical="top"/>
      <protection locked="0"/>
    </xf>
    <xf numFmtId="39" fontId="5" fillId="0" borderId="0" xfId="0" applyNumberFormat="1" applyFont="1" applyAlignment="1">
      <alignment horizontal="right" vertical="top"/>
      <protection locked="0"/>
    </xf>
    <xf numFmtId="37" fontId="4" fillId="4" borderId="2" xfId="0" applyNumberFormat="1" applyFont="1" applyFill="1" applyBorder="1" applyAlignment="1">
      <alignment horizontal="center" vertical="top"/>
      <protection locked="0"/>
    </xf>
    <xf numFmtId="0" fontId="4" fillId="4" borderId="3" xfId="0" applyFont="1" applyFill="1" applyBorder="1" applyAlignment="1">
      <alignment horizontal="center" vertical="top" wrapText="1"/>
      <protection locked="0"/>
    </xf>
    <xf numFmtId="164" fontId="4" fillId="4" borderId="3" xfId="0" applyNumberFormat="1" applyFont="1" applyFill="1" applyBorder="1" applyAlignment="1">
      <alignment horizontal="right" vertical="top"/>
      <protection locked="0"/>
    </xf>
    <xf numFmtId="0" fontId="8" fillId="0" borderId="0" xfId="0" applyFont="1" applyAlignment="1" applyProtection="1">
      <alignment horizontal="center"/>
    </xf>
    <xf numFmtId="37" fontId="8" fillId="0" borderId="5" xfId="0" applyNumberFormat="1" applyFont="1" applyBorder="1" applyAlignment="1">
      <alignment horizontal="center" vertical="top"/>
      <protection locked="0"/>
    </xf>
    <xf numFmtId="0" fontId="8" fillId="0" borderId="5" xfId="0" applyFont="1" applyBorder="1" applyAlignment="1">
      <alignment horizontal="center" vertical="top" wrapText="1"/>
      <protection locked="0"/>
    </xf>
    <xf numFmtId="0" fontId="8" fillId="0" borderId="5" xfId="0" applyFont="1" applyBorder="1" applyAlignment="1">
      <alignment horizontal="left" vertical="top" wrapText="1"/>
      <protection locked="0"/>
    </xf>
    <xf numFmtId="164" fontId="8" fillId="0" borderId="5" xfId="0" applyNumberFormat="1" applyFont="1" applyBorder="1" applyAlignment="1">
      <alignment horizontal="right" vertical="top"/>
      <protection locked="0"/>
    </xf>
    <xf numFmtId="39" fontId="4" fillId="0" borderId="5" xfId="0" applyNumberFormat="1" applyFont="1" applyBorder="1" applyAlignment="1">
      <alignment horizontal="right" vertical="top"/>
      <protection locked="0"/>
    </xf>
    <xf numFmtId="0" fontId="12" fillId="5" borderId="3" xfId="0" applyFont="1" applyFill="1" applyBorder="1" applyAlignment="1" applyProtection="1">
      <alignment horizontal="center"/>
    </xf>
    <xf numFmtId="0" fontId="14" fillId="5" borderId="3" xfId="0" applyFont="1" applyFill="1" applyBorder="1" applyAlignment="1" applyProtection="1">
      <alignment horizontal="center"/>
    </xf>
    <xf numFmtId="165" fontId="12" fillId="5" borderId="4" xfId="0" applyNumberFormat="1" applyFont="1" applyFill="1" applyBorder="1" applyAlignment="1" applyProtection="1">
      <alignment horizontal="right"/>
    </xf>
    <xf numFmtId="0" fontId="15" fillId="0" borderId="0" xfId="0" applyFont="1" applyAlignment="1" applyProtection="1">
      <alignment horizontal="left"/>
    </xf>
    <xf numFmtId="0" fontId="16" fillId="0" borderId="0" xfId="0" applyFont="1" applyAlignment="1">
      <alignment horizontal="center" vertical="top" wrapText="1"/>
      <protection locked="0"/>
    </xf>
    <xf numFmtId="37" fontId="15" fillId="0" borderId="0" xfId="0" applyNumberFormat="1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0" fontId="8" fillId="0" borderId="0" xfId="0" applyFont="1" applyAlignment="1">
      <alignment horizontal="center" vertical="top" wrapText="1"/>
      <protection locked="0"/>
    </xf>
    <xf numFmtId="164" fontId="8" fillId="0" borderId="0" xfId="0" applyNumberFormat="1" applyFont="1" applyAlignment="1">
      <alignment horizontal="right" vertical="top"/>
      <protection locked="0"/>
    </xf>
    <xf numFmtId="39" fontId="8" fillId="0" borderId="0" xfId="0" applyNumberFormat="1" applyFont="1" applyAlignment="1">
      <alignment horizontal="right" vertical="top"/>
      <protection locked="0"/>
    </xf>
    <xf numFmtId="0" fontId="17" fillId="0" borderId="0" xfId="0" applyFont="1" applyAlignment="1">
      <alignment horizontal="left" wrapText="1"/>
      <protection locked="0"/>
    </xf>
    <xf numFmtId="39" fontId="17" fillId="0" borderId="0" xfId="0" applyNumberFormat="1" applyFont="1" applyAlignment="1">
      <alignment horizontal="right"/>
      <protection locked="0"/>
    </xf>
    <xf numFmtId="0" fontId="8" fillId="0" borderId="9" xfId="0" applyFont="1" applyBorder="1" applyAlignment="1">
      <alignment horizontal="center" vertical="top" wrapText="1"/>
      <protection locked="0"/>
    </xf>
    <xf numFmtId="0" fontId="8" fillId="0" borderId="9" xfId="0" applyFont="1" applyBorder="1" applyAlignment="1">
      <alignment horizontal="left" vertical="top" wrapText="1"/>
      <protection locked="0"/>
    </xf>
    <xf numFmtId="164" fontId="8" fillId="0" borderId="9" xfId="0" applyNumberFormat="1" applyFont="1" applyBorder="1" applyAlignment="1">
      <alignment horizontal="right" vertical="top"/>
      <protection locked="0"/>
    </xf>
    <xf numFmtId="39" fontId="4" fillId="0" borderId="9" xfId="0" applyNumberFormat="1" applyFont="1" applyBorder="1" applyAlignment="1">
      <alignment horizontal="right" vertical="top"/>
      <protection locked="0"/>
    </xf>
    <xf numFmtId="0" fontId="1" fillId="0" borderId="0" xfId="0" applyFont="1" applyAlignment="1">
      <alignment horizontal="left" wrapText="1"/>
      <protection locked="0"/>
    </xf>
    <xf numFmtId="39" fontId="1" fillId="0" borderId="0" xfId="0" applyNumberFormat="1" applyFont="1" applyAlignment="1">
      <alignment horizontal="right"/>
      <protection locked="0"/>
    </xf>
    <xf numFmtId="0" fontId="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center"/>
      <protection locked="0"/>
    </xf>
    <xf numFmtId="0" fontId="18" fillId="0" borderId="0" xfId="0" applyFont="1" applyAlignment="1">
      <alignment horizontal="center" vertical="center"/>
      <protection locked="0"/>
    </xf>
    <xf numFmtId="0" fontId="3" fillId="4" borderId="3" xfId="0" applyFont="1" applyFill="1" applyBorder="1" applyAlignment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39" fontId="8" fillId="6" borderId="5" xfId="0" applyNumberFormat="1" applyFont="1" applyFill="1" applyBorder="1" applyAlignment="1">
      <alignment horizontal="right" vertical="top"/>
      <protection locked="0"/>
    </xf>
    <xf numFmtId="164" fontId="8" fillId="0" borderId="10" xfId="0" applyNumberFormat="1" applyFont="1" applyBorder="1" applyAlignment="1">
      <alignment horizontal="right" vertical="top"/>
      <protection locked="0"/>
    </xf>
    <xf numFmtId="39" fontId="4" fillId="0" borderId="11" xfId="0" applyNumberFormat="1" applyFont="1" applyBorder="1" applyAlignment="1">
      <alignment horizontal="right" vertical="top"/>
      <protection locked="0"/>
    </xf>
    <xf numFmtId="39" fontId="8" fillId="6" borderId="9" xfId="0" applyNumberFormat="1" applyFont="1" applyFill="1" applyBorder="1" applyAlignment="1">
      <alignment horizontal="right" vertical="top"/>
      <protection locked="0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39" fontId="3" fillId="4" borderId="3" xfId="0" applyNumberFormat="1" applyFont="1" applyFill="1" applyBorder="1" applyAlignment="1">
      <alignment horizontal="center" vertical="top"/>
      <protection locked="0"/>
    </xf>
    <xf numFmtId="39" fontId="3" fillId="4" borderId="4" xfId="0" applyNumberFormat="1" applyFont="1" applyFill="1" applyBorder="1" applyAlignment="1">
      <alignment horizontal="center" vertical="top"/>
      <protection locked="0"/>
    </xf>
    <xf numFmtId="0" fontId="12" fillId="5" borderId="2" xfId="0" applyFont="1" applyFill="1" applyBorder="1" applyAlignment="1" applyProtection="1">
      <alignment horizontal="center"/>
    </xf>
    <xf numFmtId="0" fontId="12" fillId="5" borderId="3" xfId="0" applyFont="1" applyFill="1" applyBorder="1" applyAlignment="1" applyProtection="1">
      <alignment horizontal="center"/>
    </xf>
  </cellXfs>
  <cellStyles count="5">
    <cellStyle name="Normální" xfId="0" builtinId="0"/>
    <cellStyle name="normální 10" xfId="3" xr:uid="{70FC84E0-8AFE-4056-8F88-F413C4794E25}"/>
    <cellStyle name="Normální 2" xfId="1" xr:uid="{0B51E174-F81A-4C37-92B6-35E79B7F1A55}"/>
    <cellStyle name="Normální 3" xfId="2" xr:uid="{37E175AC-2582-44B7-9784-5DFCA9D58834}"/>
    <cellStyle name="Normální 3 10" xfId="4" xr:uid="{5B50F96A-37D1-41DA-AB50-E587A63DD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showGridLines="0" tabSelected="1" zoomScale="110" zoomScaleNormal="110" zoomScaleSheetLayoutView="100" workbookViewId="0">
      <pane ySplit="6" topLeftCell="A139" activePane="bottomLeft" state="frozenSplit"/>
      <selection pane="bottomLeft" activeCell="L146" sqref="L146"/>
    </sheetView>
  </sheetViews>
  <sheetFormatPr defaultColWidth="10.5" defaultRowHeight="12" customHeight="1" x14ac:dyDescent="0.15"/>
  <cols>
    <col min="1" max="1" width="5" style="5" customWidth="1"/>
    <col min="2" max="2" width="15.83203125" style="6" customWidth="1"/>
    <col min="3" max="3" width="98.6640625" style="2" customWidth="1"/>
    <col min="4" max="4" width="6.6640625" style="6" customWidth="1"/>
    <col min="5" max="5" width="11.6640625" style="3" customWidth="1"/>
    <col min="6" max="6" width="12" style="4" customWidth="1"/>
    <col min="7" max="7" width="18" style="4" customWidth="1"/>
    <col min="8" max="16384" width="10.5" style="1"/>
  </cols>
  <sheetData>
    <row r="1" spans="1:7" ht="27.75" customHeight="1" thickBot="1" x14ac:dyDescent="0.2">
      <c r="A1" s="73" t="s">
        <v>0</v>
      </c>
      <c r="B1" s="74"/>
      <c r="C1" s="74"/>
      <c r="D1" s="74"/>
      <c r="E1" s="74"/>
      <c r="F1" s="74"/>
      <c r="G1" s="75"/>
    </row>
    <row r="2" spans="1:7" ht="15.75" x14ac:dyDescent="0.25">
      <c r="A2" s="41" t="s">
        <v>49</v>
      </c>
      <c r="B2" s="42"/>
      <c r="C2" s="41" t="s">
        <v>53</v>
      </c>
      <c r="D2" s="8"/>
      <c r="E2" s="9"/>
      <c r="F2" s="9"/>
      <c r="G2" s="9"/>
    </row>
    <row r="3" spans="1:7" ht="5.0999999999999996" customHeight="1" x14ac:dyDescent="0.15">
      <c r="A3" s="43"/>
      <c r="B3" s="42"/>
      <c r="C3" s="44"/>
      <c r="D3" s="10"/>
      <c r="E3" s="11"/>
      <c r="F3" s="12"/>
      <c r="G3" s="12"/>
    </row>
    <row r="4" spans="1:7" ht="15.75" x14ac:dyDescent="0.25">
      <c r="A4" s="45" t="s">
        <v>50</v>
      </c>
      <c r="B4" s="42"/>
      <c r="C4" s="45" t="s">
        <v>51</v>
      </c>
      <c r="D4" s="13"/>
      <c r="E4" s="14"/>
      <c r="F4" s="14"/>
      <c r="G4" s="14"/>
    </row>
    <row r="5" spans="1:7" ht="6" customHeight="1" thickBot="1" x14ac:dyDescent="0.2">
      <c r="A5" s="15"/>
      <c r="B5" s="15"/>
      <c r="C5" s="16"/>
      <c r="D5" s="15"/>
      <c r="E5" s="16"/>
      <c r="F5" s="16"/>
      <c r="G5" s="16"/>
    </row>
    <row r="6" spans="1:7" ht="26.25" thickBot="1" x14ac:dyDescent="0.2">
      <c r="A6" s="46" t="s">
        <v>1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8" t="s">
        <v>7</v>
      </c>
    </row>
    <row r="7" spans="1:7" ht="5.0999999999999996" customHeight="1" thickBot="1" x14ac:dyDescent="0.2">
      <c r="A7" s="66"/>
      <c r="B7" s="67"/>
      <c r="C7" s="67"/>
      <c r="D7" s="67"/>
      <c r="E7" s="67"/>
      <c r="F7" s="67"/>
      <c r="G7" s="68"/>
    </row>
    <row r="8" spans="1:7" ht="15.75" thickBot="1" x14ac:dyDescent="0.3">
      <c r="A8" s="78" t="s">
        <v>54</v>
      </c>
      <c r="B8" s="79"/>
      <c r="C8" s="38" t="s">
        <v>100</v>
      </c>
      <c r="D8" s="39"/>
      <c r="E8" s="39"/>
      <c r="F8" s="39"/>
      <c r="G8" s="40">
        <f>G9+G13+G15</f>
        <v>0</v>
      </c>
    </row>
    <row r="9" spans="1:7" ht="12.75" x14ac:dyDescent="0.15">
      <c r="A9" s="33">
        <v>1</v>
      </c>
      <c r="B9" s="34" t="s">
        <v>16</v>
      </c>
      <c r="C9" s="35" t="s">
        <v>17</v>
      </c>
      <c r="D9" s="34" t="s">
        <v>10</v>
      </c>
      <c r="E9" s="36">
        <f>E10+E12+E11</f>
        <v>780</v>
      </c>
      <c r="F9" s="69"/>
      <c r="G9" s="37">
        <f>F9*E9</f>
        <v>0</v>
      </c>
    </row>
    <row r="10" spans="1:7" ht="12.75" x14ac:dyDescent="0.15">
      <c r="A10" s="22"/>
      <c r="B10" s="23"/>
      <c r="C10" s="24" t="s">
        <v>55</v>
      </c>
      <c r="D10" s="23"/>
      <c r="E10" s="25">
        <v>400</v>
      </c>
      <c r="F10" s="26"/>
      <c r="G10" s="26"/>
    </row>
    <row r="11" spans="1:7" ht="12.75" x14ac:dyDescent="0.15">
      <c r="A11" s="22"/>
      <c r="B11" s="23"/>
      <c r="C11" s="24" t="s">
        <v>56</v>
      </c>
      <c r="D11" s="23"/>
      <c r="E11" s="25">
        <v>30</v>
      </c>
      <c r="F11" s="26"/>
      <c r="G11" s="26"/>
    </row>
    <row r="12" spans="1:7" ht="12.75" x14ac:dyDescent="0.15">
      <c r="A12" s="22"/>
      <c r="B12" s="23"/>
      <c r="C12" s="24" t="s">
        <v>221</v>
      </c>
      <c r="D12" s="23"/>
      <c r="E12" s="25">
        <v>350</v>
      </c>
      <c r="F12" s="26"/>
      <c r="G12" s="26"/>
    </row>
    <row r="13" spans="1:7" ht="12.75" x14ac:dyDescent="0.15">
      <c r="A13" s="17">
        <f>1+MAX($A$9:A12)</f>
        <v>2</v>
      </c>
      <c r="B13" s="18" t="s">
        <v>18</v>
      </c>
      <c r="C13" s="19" t="s">
        <v>19</v>
      </c>
      <c r="D13" s="18" t="s">
        <v>20</v>
      </c>
      <c r="E13" s="70">
        <f>E14</f>
        <v>2</v>
      </c>
      <c r="F13" s="72"/>
      <c r="G13" s="71">
        <f>F13*E13</f>
        <v>0</v>
      </c>
    </row>
    <row r="14" spans="1:7" ht="25.5" x14ac:dyDescent="0.15">
      <c r="A14" s="22"/>
      <c r="B14" s="23"/>
      <c r="C14" s="24" t="s">
        <v>52</v>
      </c>
      <c r="D14" s="23"/>
      <c r="E14" s="25">
        <v>2</v>
      </c>
      <c r="F14" s="26"/>
      <c r="G14" s="26"/>
    </row>
    <row r="15" spans="1:7" ht="12.75" x14ac:dyDescent="0.15">
      <c r="A15" s="17">
        <f>1+MAX($A$9:A14)</f>
        <v>3</v>
      </c>
      <c r="B15" s="18" t="s">
        <v>21</v>
      </c>
      <c r="C15" s="19" t="s">
        <v>22</v>
      </c>
      <c r="D15" s="18" t="s">
        <v>10</v>
      </c>
      <c r="E15" s="20">
        <f>E16</f>
        <v>2990</v>
      </c>
      <c r="F15" s="72"/>
      <c r="G15" s="21">
        <f>F15*E15</f>
        <v>0</v>
      </c>
    </row>
    <row r="16" spans="1:7" ht="26.25" thickBot="1" x14ac:dyDescent="0.2">
      <c r="A16" s="22"/>
      <c r="B16" s="23"/>
      <c r="C16" s="24" t="s">
        <v>57</v>
      </c>
      <c r="D16" s="23"/>
      <c r="E16" s="25">
        <v>2990</v>
      </c>
      <c r="F16" s="26"/>
      <c r="G16" s="26"/>
    </row>
    <row r="17" spans="1:7" ht="15.75" thickBot="1" x14ac:dyDescent="0.3">
      <c r="A17" s="78" t="s">
        <v>58</v>
      </c>
      <c r="B17" s="79"/>
      <c r="C17" s="38" t="s">
        <v>59</v>
      </c>
      <c r="D17" s="39"/>
      <c r="E17" s="39"/>
      <c r="F17" s="39"/>
      <c r="G17" s="40">
        <f>SUM(G18:G29)</f>
        <v>0</v>
      </c>
    </row>
    <row r="18" spans="1:7" ht="12.75" x14ac:dyDescent="0.15">
      <c r="A18" s="17">
        <f>1+MAX($A$9:A17)</f>
        <v>4</v>
      </c>
      <c r="B18" s="19" t="s">
        <v>60</v>
      </c>
      <c r="C18" s="19" t="s">
        <v>61</v>
      </c>
      <c r="D18" s="18" t="s">
        <v>30</v>
      </c>
      <c r="E18" s="20">
        <f>E19</f>
        <v>65</v>
      </c>
      <c r="F18" s="72"/>
      <c r="G18" s="21">
        <f>F18*E18</f>
        <v>0</v>
      </c>
    </row>
    <row r="19" spans="1:7" ht="12.75" x14ac:dyDescent="0.2">
      <c r="A19" s="32"/>
      <c r="B19" s="49"/>
      <c r="C19" s="50" t="s">
        <v>68</v>
      </c>
      <c r="D19" s="49"/>
      <c r="E19" s="25">
        <v>65</v>
      </c>
      <c r="F19" s="50"/>
      <c r="G19" s="50"/>
    </row>
    <row r="20" spans="1:7" ht="12.75" x14ac:dyDescent="0.15">
      <c r="A20" s="17">
        <f>1+MAX($A$9:A19)</f>
        <v>5</v>
      </c>
      <c r="B20" s="19" t="s">
        <v>62</v>
      </c>
      <c r="C20" s="19" t="s">
        <v>63</v>
      </c>
      <c r="D20" s="18" t="s">
        <v>30</v>
      </c>
      <c r="E20" s="20">
        <f>E21</f>
        <v>40</v>
      </c>
      <c r="F20" s="72"/>
      <c r="G20" s="21">
        <f>F20*E20</f>
        <v>0</v>
      </c>
    </row>
    <row r="21" spans="1:7" ht="12.75" x14ac:dyDescent="0.2">
      <c r="A21" s="32"/>
      <c r="B21" s="49"/>
      <c r="C21" s="50" t="s">
        <v>69</v>
      </c>
      <c r="D21" s="49"/>
      <c r="E21" s="25">
        <v>40</v>
      </c>
      <c r="F21" s="50"/>
      <c r="G21" s="50"/>
    </row>
    <row r="22" spans="1:7" ht="12.75" x14ac:dyDescent="0.15">
      <c r="A22" s="17">
        <f>1+MAX($A$9:A21)</f>
        <v>6</v>
      </c>
      <c r="B22" s="19" t="s">
        <v>64</v>
      </c>
      <c r="C22" s="19" t="s">
        <v>65</v>
      </c>
      <c r="D22" s="18" t="s">
        <v>30</v>
      </c>
      <c r="E22" s="20">
        <f>E23</f>
        <v>55</v>
      </c>
      <c r="F22" s="72"/>
      <c r="G22" s="21">
        <f>F22*E22</f>
        <v>0</v>
      </c>
    </row>
    <row r="23" spans="1:7" ht="12.75" x14ac:dyDescent="0.2">
      <c r="A23" s="32"/>
      <c r="B23" s="49"/>
      <c r="C23" s="50" t="s">
        <v>70</v>
      </c>
      <c r="D23" s="49"/>
      <c r="E23" s="25">
        <v>55</v>
      </c>
      <c r="F23" s="50"/>
      <c r="G23" s="50"/>
    </row>
    <row r="24" spans="1:7" ht="12.75" x14ac:dyDescent="0.15">
      <c r="A24" s="17">
        <f>1+MAX($A$9:A23)</f>
        <v>7</v>
      </c>
      <c r="B24" s="19" t="s">
        <v>66</v>
      </c>
      <c r="C24" s="19" t="s">
        <v>67</v>
      </c>
      <c r="D24" s="18" t="s">
        <v>30</v>
      </c>
      <c r="E24" s="20">
        <f>E25</f>
        <v>10</v>
      </c>
      <c r="F24" s="72"/>
      <c r="G24" s="21">
        <f>F24*E24</f>
        <v>0</v>
      </c>
    </row>
    <row r="25" spans="1:7" ht="12.75" x14ac:dyDescent="0.2">
      <c r="A25" s="32"/>
      <c r="B25" s="49"/>
      <c r="C25" s="50" t="s">
        <v>71</v>
      </c>
      <c r="D25" s="49"/>
      <c r="E25" s="25">
        <v>10</v>
      </c>
      <c r="F25" s="50"/>
      <c r="G25" s="50"/>
    </row>
    <row r="26" spans="1:7" ht="38.25" x14ac:dyDescent="0.15">
      <c r="A26" s="17">
        <f>1+MAX($A$9:A25)</f>
        <v>8</v>
      </c>
      <c r="B26" s="18" t="s">
        <v>8</v>
      </c>
      <c r="C26" s="19" t="s">
        <v>9</v>
      </c>
      <c r="D26" s="18" t="s">
        <v>10</v>
      </c>
      <c r="E26" s="20">
        <f>E27+E28+E29</f>
        <v>1030</v>
      </c>
      <c r="F26" s="72"/>
      <c r="G26" s="21">
        <f>F26*E26</f>
        <v>0</v>
      </c>
    </row>
    <row r="27" spans="1:7" ht="25.5" x14ac:dyDescent="0.2">
      <c r="A27" s="32"/>
      <c r="B27" s="23"/>
      <c r="C27" s="24" t="s">
        <v>222</v>
      </c>
      <c r="D27" s="23"/>
      <c r="E27" s="25">
        <v>950</v>
      </c>
      <c r="F27" s="26"/>
      <c r="G27" s="26"/>
    </row>
    <row r="28" spans="1:7" ht="12.75" x14ac:dyDescent="0.15">
      <c r="A28" s="17">
        <f>1+MAX($A$9:A27)</f>
        <v>9</v>
      </c>
      <c r="B28" s="18" t="s">
        <v>72</v>
      </c>
      <c r="C28" s="19" t="s">
        <v>73</v>
      </c>
      <c r="D28" s="18" t="s">
        <v>30</v>
      </c>
      <c r="E28" s="20">
        <f>E29</f>
        <v>40</v>
      </c>
      <c r="F28" s="72"/>
      <c r="G28" s="21">
        <f>F28*E28</f>
        <v>0</v>
      </c>
    </row>
    <row r="29" spans="1:7" ht="26.25" thickBot="1" x14ac:dyDescent="0.2">
      <c r="A29" s="1"/>
      <c r="B29" s="23"/>
      <c r="C29" s="24" t="s">
        <v>101</v>
      </c>
      <c r="D29" s="23"/>
      <c r="E29" s="25">
        <v>40</v>
      </c>
      <c r="F29" s="26"/>
      <c r="G29" s="26"/>
    </row>
    <row r="30" spans="1:7" ht="15.75" thickBot="1" x14ac:dyDescent="0.3">
      <c r="A30" s="78" t="s">
        <v>74</v>
      </c>
      <c r="B30" s="79"/>
      <c r="C30" s="38" t="s">
        <v>75</v>
      </c>
      <c r="D30" s="39"/>
      <c r="E30" s="39"/>
      <c r="F30" s="39"/>
      <c r="G30" s="40">
        <f>SUM(G31:G33)</f>
        <v>0</v>
      </c>
    </row>
    <row r="31" spans="1:7" ht="12.75" x14ac:dyDescent="0.15">
      <c r="A31" s="17">
        <f>1+MAX($A$9:A30)</f>
        <v>10</v>
      </c>
      <c r="B31" s="18" t="s">
        <v>23</v>
      </c>
      <c r="C31" s="19" t="s">
        <v>24</v>
      </c>
      <c r="D31" s="18" t="s">
        <v>13</v>
      </c>
      <c r="E31" s="20">
        <f>SUM(E32:E34)</f>
        <v>105</v>
      </c>
      <c r="F31" s="72"/>
      <c r="G31" s="21">
        <f>F31*E31</f>
        <v>0</v>
      </c>
    </row>
    <row r="32" spans="1:7" ht="12.75" x14ac:dyDescent="0.15">
      <c r="A32" s="22"/>
      <c r="B32" s="23"/>
      <c r="C32" s="24" t="s">
        <v>77</v>
      </c>
      <c r="D32" s="23"/>
      <c r="E32" s="25">
        <v>74</v>
      </c>
      <c r="F32" s="26"/>
      <c r="G32" s="26"/>
    </row>
    <row r="33" spans="1:7" ht="13.5" thickBot="1" x14ac:dyDescent="0.2">
      <c r="A33" s="22"/>
      <c r="B33" s="23"/>
      <c r="C33" s="24" t="s">
        <v>76</v>
      </c>
      <c r="D33" s="23"/>
      <c r="E33" s="25">
        <v>31</v>
      </c>
      <c r="F33" s="26"/>
      <c r="G33" s="26"/>
    </row>
    <row r="34" spans="1:7" ht="15.75" thickBot="1" x14ac:dyDescent="0.3">
      <c r="A34" s="78" t="s">
        <v>78</v>
      </c>
      <c r="B34" s="79"/>
      <c r="C34" s="38" t="s">
        <v>79</v>
      </c>
      <c r="D34" s="39"/>
      <c r="E34" s="39"/>
      <c r="F34" s="39"/>
      <c r="G34" s="40">
        <f>SUM(G35:G38)</f>
        <v>0</v>
      </c>
    </row>
    <row r="35" spans="1:7" ht="25.5" x14ac:dyDescent="0.15">
      <c r="A35" s="17">
        <f>1+MAX($A$9:A34)</f>
        <v>11</v>
      </c>
      <c r="B35" s="18" t="s">
        <v>11</v>
      </c>
      <c r="C35" s="19" t="s">
        <v>12</v>
      </c>
      <c r="D35" s="18" t="s">
        <v>13</v>
      </c>
      <c r="E35" s="20">
        <f>E36+E37</f>
        <v>30.5</v>
      </c>
      <c r="F35" s="72"/>
      <c r="G35" s="21">
        <f>F35*E35</f>
        <v>0</v>
      </c>
    </row>
    <row r="36" spans="1:7" ht="12.75" x14ac:dyDescent="0.15">
      <c r="A36" s="22"/>
      <c r="B36" s="23"/>
      <c r="C36" s="24" t="s">
        <v>102</v>
      </c>
      <c r="D36" s="23"/>
      <c r="E36" s="25">
        <f>36*0.75</f>
        <v>27</v>
      </c>
      <c r="F36" s="26"/>
      <c r="G36" s="26"/>
    </row>
    <row r="37" spans="1:7" ht="12.75" x14ac:dyDescent="0.15">
      <c r="A37" s="22"/>
      <c r="B37" s="23"/>
      <c r="C37" s="24" t="s">
        <v>80</v>
      </c>
      <c r="D37" s="23"/>
      <c r="E37" s="25">
        <v>3.5</v>
      </c>
      <c r="F37" s="26"/>
      <c r="G37" s="26"/>
    </row>
    <row r="38" spans="1:7" ht="25.5" x14ac:dyDescent="0.15">
      <c r="A38" s="17">
        <f>1+MAX($A$9:A37)</f>
        <v>12</v>
      </c>
      <c r="B38" s="18" t="s">
        <v>14</v>
      </c>
      <c r="C38" s="19" t="s">
        <v>15</v>
      </c>
      <c r="D38" s="18" t="s">
        <v>13</v>
      </c>
      <c r="E38" s="20">
        <f>E39+E40+E41</f>
        <v>14.15</v>
      </c>
      <c r="F38" s="72"/>
      <c r="G38" s="21">
        <f>F38*E38</f>
        <v>0</v>
      </c>
    </row>
    <row r="39" spans="1:7" ht="12.75" x14ac:dyDescent="0.15">
      <c r="A39" s="27"/>
      <c r="B39" s="7"/>
      <c r="C39" s="24" t="s">
        <v>83</v>
      </c>
      <c r="D39" s="1"/>
      <c r="E39" s="25">
        <f>36*0.25</f>
        <v>9</v>
      </c>
      <c r="F39" s="28"/>
      <c r="G39" s="28"/>
    </row>
    <row r="40" spans="1:7" ht="12.75" x14ac:dyDescent="0.15">
      <c r="A40" s="22"/>
      <c r="B40" s="23"/>
      <c r="C40" s="24" t="s">
        <v>82</v>
      </c>
      <c r="D40" s="7"/>
      <c r="E40" s="25">
        <v>2</v>
      </c>
      <c r="F40" s="26"/>
      <c r="G40" s="26"/>
    </row>
    <row r="41" spans="1:7" ht="13.5" thickBot="1" x14ac:dyDescent="0.2">
      <c r="A41" s="22"/>
      <c r="B41" s="23"/>
      <c r="C41" s="24" t="s">
        <v>81</v>
      </c>
      <c r="D41" s="23"/>
      <c r="E41" s="25">
        <v>3.15</v>
      </c>
      <c r="F41" s="26"/>
      <c r="G41" s="26"/>
    </row>
    <row r="42" spans="1:7" ht="15.75" thickBot="1" x14ac:dyDescent="0.3">
      <c r="A42" s="78" t="s">
        <v>84</v>
      </c>
      <c r="B42" s="79"/>
      <c r="C42" s="38" t="s">
        <v>85</v>
      </c>
      <c r="D42" s="39"/>
      <c r="E42" s="39"/>
      <c r="F42" s="39"/>
      <c r="G42" s="40">
        <f>SUM(G43:G66)</f>
        <v>0</v>
      </c>
    </row>
    <row r="43" spans="1:7" ht="12.75" x14ac:dyDescent="0.15">
      <c r="A43" s="17">
        <f>1+MAX($A$9:A42)</f>
        <v>13</v>
      </c>
      <c r="B43" s="18" t="s">
        <v>86</v>
      </c>
      <c r="C43" s="19" t="s">
        <v>87</v>
      </c>
      <c r="D43" s="18" t="s">
        <v>10</v>
      </c>
      <c r="E43" s="20">
        <f>E44</f>
        <v>550</v>
      </c>
      <c r="F43" s="72"/>
      <c r="G43" s="21">
        <f>ROUND(F43*E43,2)</f>
        <v>0</v>
      </c>
    </row>
    <row r="44" spans="1:7" ht="12.75" x14ac:dyDescent="0.15">
      <c r="A44" s="1"/>
      <c r="B44" s="1"/>
      <c r="C44" s="24" t="s">
        <v>88</v>
      </c>
      <c r="D44" s="1"/>
      <c r="E44" s="25">
        <v>550</v>
      </c>
      <c r="F44" s="1"/>
      <c r="G44" s="1"/>
    </row>
    <row r="45" spans="1:7" ht="12.75" x14ac:dyDescent="0.15">
      <c r="A45" s="17">
        <f>1+MAX($A$9:A44)</f>
        <v>14</v>
      </c>
      <c r="B45" s="18" t="s">
        <v>89</v>
      </c>
      <c r="C45" s="19" t="s">
        <v>90</v>
      </c>
      <c r="D45" s="18" t="s">
        <v>10</v>
      </c>
      <c r="E45" s="20">
        <f>E46</f>
        <v>700</v>
      </c>
      <c r="F45" s="72"/>
      <c r="G45" s="21">
        <f>ROUND(F45*E45,2)</f>
        <v>0</v>
      </c>
    </row>
    <row r="46" spans="1:7" ht="25.5" x14ac:dyDescent="0.15">
      <c r="A46" s="1"/>
      <c r="B46" s="1"/>
      <c r="C46" s="24" t="s">
        <v>91</v>
      </c>
      <c r="D46" s="1"/>
      <c r="E46" s="25">
        <f>550*1.25+12.5</f>
        <v>700</v>
      </c>
      <c r="F46" s="1"/>
      <c r="G46" s="1"/>
    </row>
    <row r="47" spans="1:7" ht="25.5" x14ac:dyDescent="0.15">
      <c r="A47" s="17">
        <f>1+MAX($A$9:A46)</f>
        <v>15</v>
      </c>
      <c r="B47" s="18" t="s">
        <v>25</v>
      </c>
      <c r="C47" s="19" t="s">
        <v>26</v>
      </c>
      <c r="D47" s="18" t="s">
        <v>27</v>
      </c>
      <c r="E47" s="20">
        <f>E48</f>
        <v>251.99999999999997</v>
      </c>
      <c r="F47" s="72"/>
      <c r="G47" s="21">
        <f>F47*E47</f>
        <v>0</v>
      </c>
    </row>
    <row r="48" spans="1:7" ht="12.75" x14ac:dyDescent="0.15">
      <c r="A48" s="22"/>
      <c r="B48" s="23"/>
      <c r="C48" s="24" t="s">
        <v>94</v>
      </c>
      <c r="D48" s="23"/>
      <c r="E48" s="25">
        <f>E49*2.8</f>
        <v>251.99999999999997</v>
      </c>
      <c r="F48" s="26"/>
      <c r="G48" s="26"/>
    </row>
    <row r="49" spans="1:7" ht="25.5" x14ac:dyDescent="0.15">
      <c r="A49" s="17">
        <f>1+MAX($A$9:A48)</f>
        <v>16</v>
      </c>
      <c r="B49" s="18" t="s">
        <v>28</v>
      </c>
      <c r="C49" s="19" t="s">
        <v>29</v>
      </c>
      <c r="D49" s="18" t="s">
        <v>30</v>
      </c>
      <c r="E49" s="20">
        <f>E50+E51</f>
        <v>90</v>
      </c>
      <c r="F49" s="72"/>
      <c r="G49" s="21">
        <f>F49*E49</f>
        <v>0</v>
      </c>
    </row>
    <row r="50" spans="1:7" ht="12.75" x14ac:dyDescent="0.15">
      <c r="A50" s="22"/>
      <c r="B50" s="23"/>
      <c r="C50" s="24" t="s">
        <v>92</v>
      </c>
      <c r="D50" s="23"/>
      <c r="E50" s="25">
        <v>70</v>
      </c>
      <c r="F50" s="26"/>
      <c r="G50" s="26"/>
    </row>
    <row r="51" spans="1:7" ht="12.75" x14ac:dyDescent="0.15">
      <c r="A51" s="22"/>
      <c r="B51" s="23"/>
      <c r="C51" s="24" t="s">
        <v>93</v>
      </c>
      <c r="D51" s="23"/>
      <c r="E51" s="25">
        <v>20</v>
      </c>
      <c r="F51" s="26"/>
      <c r="G51" s="26"/>
    </row>
    <row r="52" spans="1:7" ht="38.25" x14ac:dyDescent="0.15">
      <c r="A52" s="17">
        <f>1+MAX($A$9:A51)</f>
        <v>17</v>
      </c>
      <c r="B52" s="18" t="s">
        <v>31</v>
      </c>
      <c r="C52" s="19" t="s">
        <v>32</v>
      </c>
      <c r="D52" s="18" t="s">
        <v>30</v>
      </c>
      <c r="E52" s="20">
        <f>E53</f>
        <v>70</v>
      </c>
      <c r="F52" s="72"/>
      <c r="G52" s="21">
        <f>F52*E52</f>
        <v>0</v>
      </c>
    </row>
    <row r="53" spans="1:7" ht="12.75" x14ac:dyDescent="0.15">
      <c r="A53" s="22"/>
      <c r="B53" s="23"/>
      <c r="C53" s="24" t="s">
        <v>95</v>
      </c>
      <c r="D53" s="23"/>
      <c r="E53" s="25">
        <v>70</v>
      </c>
      <c r="F53" s="26"/>
      <c r="G53" s="26"/>
    </row>
    <row r="54" spans="1:7" ht="25.5" x14ac:dyDescent="0.15">
      <c r="A54" s="17">
        <f>1+MAX($A$9:A53)</f>
        <v>18</v>
      </c>
      <c r="B54" s="18" t="s">
        <v>140</v>
      </c>
      <c r="C54" s="19" t="s">
        <v>141</v>
      </c>
      <c r="D54" s="18" t="s">
        <v>27</v>
      </c>
      <c r="E54" s="20">
        <f>E55</f>
        <v>250</v>
      </c>
      <c r="F54" s="72"/>
      <c r="G54" s="21">
        <f>F54*E54</f>
        <v>0</v>
      </c>
    </row>
    <row r="55" spans="1:7" ht="12.75" x14ac:dyDescent="0.15">
      <c r="A55" s="22"/>
      <c r="B55" s="63"/>
      <c r="C55" s="24" t="s">
        <v>144</v>
      </c>
      <c r="D55" s="64"/>
      <c r="E55" s="25">
        <v>250</v>
      </c>
      <c r="F55" s="64"/>
      <c r="G55" s="1"/>
    </row>
    <row r="56" spans="1:7" ht="12.75" x14ac:dyDescent="0.15">
      <c r="A56" s="17">
        <f>1+MAX($A$9:A55)</f>
        <v>19</v>
      </c>
      <c r="B56" s="18" t="s">
        <v>142</v>
      </c>
      <c r="C56" s="19" t="s">
        <v>143</v>
      </c>
      <c r="D56" s="18" t="s">
        <v>27</v>
      </c>
      <c r="E56" s="20">
        <f>E57</f>
        <v>300</v>
      </c>
      <c r="F56" s="72"/>
      <c r="G56" s="21">
        <f>F56*E56</f>
        <v>0</v>
      </c>
    </row>
    <row r="57" spans="1:7" ht="12.75" x14ac:dyDescent="0.15">
      <c r="A57" s="22"/>
      <c r="B57" s="63"/>
      <c r="C57" s="24" t="s">
        <v>145</v>
      </c>
      <c r="D57" s="64"/>
      <c r="E57" s="25">
        <f>250*1.2</f>
        <v>300</v>
      </c>
      <c r="F57" s="64"/>
      <c r="G57" s="1"/>
    </row>
    <row r="58" spans="1:7" ht="12.75" x14ac:dyDescent="0.15">
      <c r="A58" s="17">
        <f>1+MAX($A$9:A57)</f>
        <v>20</v>
      </c>
      <c r="B58" s="18" t="s">
        <v>36</v>
      </c>
      <c r="C58" s="19" t="s">
        <v>37</v>
      </c>
      <c r="D58" s="18" t="s">
        <v>10</v>
      </c>
      <c r="E58" s="20">
        <f>E59</f>
        <v>16.400000000000002</v>
      </c>
      <c r="F58" s="72"/>
      <c r="G58" s="21">
        <f>F58*E58</f>
        <v>0</v>
      </c>
    </row>
    <row r="59" spans="1:7" ht="12.75" x14ac:dyDescent="0.15">
      <c r="A59" s="22"/>
      <c r="B59" s="23"/>
      <c r="C59" s="24" t="s">
        <v>96</v>
      </c>
      <c r="D59" s="23"/>
      <c r="E59" s="25">
        <f>(0.2*0.2*2+0.01+0.0125)*(90+70)</f>
        <v>16.400000000000002</v>
      </c>
      <c r="F59" s="26"/>
      <c r="G59" s="26"/>
    </row>
    <row r="60" spans="1:7" ht="12.75" x14ac:dyDescent="0.15">
      <c r="A60" s="17">
        <f>1+MAX($A$9:A59)</f>
        <v>21</v>
      </c>
      <c r="B60" s="18" t="s">
        <v>38</v>
      </c>
      <c r="C60" s="19" t="s">
        <v>39</v>
      </c>
      <c r="D60" s="18" t="s">
        <v>40</v>
      </c>
      <c r="E60" s="20">
        <f>E61</f>
        <v>1</v>
      </c>
      <c r="F60" s="72"/>
      <c r="G60" s="21">
        <f>F60*E60</f>
        <v>0</v>
      </c>
    </row>
    <row r="61" spans="1:7" ht="12.75" x14ac:dyDescent="0.15">
      <c r="A61" s="22"/>
      <c r="B61" s="23"/>
      <c r="C61" s="24" t="s">
        <v>97</v>
      </c>
      <c r="D61" s="51"/>
      <c r="E61" s="52">
        <v>1</v>
      </c>
      <c r="F61" s="53"/>
      <c r="G61" s="26"/>
    </row>
    <row r="62" spans="1:7" ht="12.75" x14ac:dyDescent="0.15">
      <c r="A62" s="17">
        <f>1+MAX($A$9:A61)</f>
        <v>22</v>
      </c>
      <c r="B62" s="18" t="s">
        <v>41</v>
      </c>
      <c r="C62" s="19" t="s">
        <v>42</v>
      </c>
      <c r="D62" s="18" t="s">
        <v>10</v>
      </c>
      <c r="E62" s="20">
        <f>E63</f>
        <v>16.400000000000002</v>
      </c>
      <c r="F62" s="72"/>
      <c r="G62" s="21">
        <f>F62*E62</f>
        <v>0</v>
      </c>
    </row>
    <row r="63" spans="1:7" ht="12.75" x14ac:dyDescent="0.15">
      <c r="A63" s="22"/>
      <c r="B63" s="23"/>
      <c r="C63" s="24" t="s">
        <v>96</v>
      </c>
      <c r="D63" s="51"/>
      <c r="E63" s="52">
        <f>(0.2*0.2*2+0.01+0.0125)*(90+70)</f>
        <v>16.400000000000002</v>
      </c>
      <c r="F63" s="53"/>
      <c r="G63" s="26"/>
    </row>
    <row r="64" spans="1:7" ht="12.75" x14ac:dyDescent="0.15">
      <c r="A64" s="17">
        <f>1+MAX($A$9:A63)</f>
        <v>23</v>
      </c>
      <c r="B64" s="18" t="s">
        <v>43</v>
      </c>
      <c r="C64" s="19" t="s">
        <v>44</v>
      </c>
      <c r="D64" s="18" t="s">
        <v>40</v>
      </c>
      <c r="E64" s="20">
        <f>E65</f>
        <v>1.5</v>
      </c>
      <c r="F64" s="72"/>
      <c r="G64" s="21">
        <f>F64*E64</f>
        <v>0</v>
      </c>
    </row>
    <row r="65" spans="1:7" ht="12.75" x14ac:dyDescent="0.15">
      <c r="A65" s="22"/>
      <c r="B65" s="23"/>
      <c r="C65" s="24" t="s">
        <v>98</v>
      </c>
      <c r="D65" s="23"/>
      <c r="E65" s="25">
        <v>1.5</v>
      </c>
      <c r="F65" s="26"/>
      <c r="G65" s="26"/>
    </row>
    <row r="66" spans="1:7" ht="12.75" x14ac:dyDescent="0.15">
      <c r="A66" s="17">
        <f>1+MAX($A$9:A65)</f>
        <v>24</v>
      </c>
      <c r="B66" s="18" t="s">
        <v>72</v>
      </c>
      <c r="C66" s="19" t="s">
        <v>99</v>
      </c>
      <c r="D66" s="18" t="s">
        <v>30</v>
      </c>
      <c r="E66" s="20">
        <f>E67</f>
        <v>23</v>
      </c>
      <c r="F66" s="72"/>
      <c r="G66" s="21">
        <f>F66*E66</f>
        <v>0</v>
      </c>
    </row>
    <row r="67" spans="1:7" ht="13.5" thickBot="1" x14ac:dyDescent="0.2">
      <c r="A67" s="1"/>
      <c r="B67" s="23"/>
      <c r="C67" s="24" t="s">
        <v>103</v>
      </c>
      <c r="D67" s="23"/>
      <c r="E67" s="25">
        <v>23</v>
      </c>
      <c r="F67" s="26"/>
      <c r="G67" s="26"/>
    </row>
    <row r="68" spans="1:7" ht="15.75" thickBot="1" x14ac:dyDescent="0.3">
      <c r="A68" s="78" t="s">
        <v>104</v>
      </c>
      <c r="B68" s="79"/>
      <c r="C68" s="38" t="s">
        <v>105</v>
      </c>
      <c r="D68" s="39"/>
      <c r="E68" s="39"/>
      <c r="F68" s="39"/>
      <c r="G68" s="40">
        <f>SUM(G69:G87)</f>
        <v>0</v>
      </c>
    </row>
    <row r="69" spans="1:7" ht="25.5" x14ac:dyDescent="0.15">
      <c r="A69" s="17">
        <f>1+MAX($A$9:A68)</f>
        <v>25</v>
      </c>
      <c r="B69" s="56" t="s">
        <v>110</v>
      </c>
      <c r="C69" s="57" t="s">
        <v>111</v>
      </c>
      <c r="D69" s="56" t="s">
        <v>10</v>
      </c>
      <c r="E69" s="58">
        <f>E70</f>
        <v>56</v>
      </c>
      <c r="F69" s="72"/>
      <c r="G69" s="59">
        <f>F69*E69</f>
        <v>0</v>
      </c>
    </row>
    <row r="70" spans="1:7" ht="12.75" x14ac:dyDescent="0.15">
      <c r="A70" s="22"/>
      <c r="B70" s="23"/>
      <c r="C70" s="24" t="s">
        <v>112</v>
      </c>
      <c r="D70" s="51"/>
      <c r="E70" s="52">
        <v>56</v>
      </c>
      <c r="F70" s="53"/>
      <c r="G70" s="26"/>
    </row>
    <row r="71" spans="1:7" ht="25.5" x14ac:dyDescent="0.15">
      <c r="A71" s="17">
        <f>1+MAX($A$9:A70)</f>
        <v>26</v>
      </c>
      <c r="B71" s="56">
        <v>171151313</v>
      </c>
      <c r="C71" s="57" t="s">
        <v>113</v>
      </c>
      <c r="D71" s="56" t="s">
        <v>10</v>
      </c>
      <c r="E71" s="58">
        <f>E72</f>
        <v>83</v>
      </c>
      <c r="F71" s="72"/>
      <c r="G71" s="59">
        <f>F71*E71</f>
        <v>0</v>
      </c>
    </row>
    <row r="72" spans="1:7" ht="12.75" x14ac:dyDescent="0.15">
      <c r="A72" s="22"/>
      <c r="B72" s="23"/>
      <c r="C72" s="24" t="s">
        <v>114</v>
      </c>
      <c r="D72" s="51"/>
      <c r="E72" s="52">
        <v>83</v>
      </c>
      <c r="F72" s="53"/>
      <c r="G72" s="26"/>
    </row>
    <row r="73" spans="1:7" ht="25.5" x14ac:dyDescent="0.15">
      <c r="A73" s="17">
        <f>1+MAX($A$9:A72)</f>
        <v>27</v>
      </c>
      <c r="B73" s="56" t="s">
        <v>106</v>
      </c>
      <c r="C73" s="57" t="s">
        <v>107</v>
      </c>
      <c r="D73" s="56" t="s">
        <v>10</v>
      </c>
      <c r="E73" s="58">
        <f>E74+E75</f>
        <v>467</v>
      </c>
      <c r="F73" s="72"/>
      <c r="G73" s="59">
        <f>F73*E73</f>
        <v>0</v>
      </c>
    </row>
    <row r="74" spans="1:7" ht="12.75" x14ac:dyDescent="0.15">
      <c r="A74" s="22"/>
      <c r="B74" s="23"/>
      <c r="C74" s="24" t="s">
        <v>115</v>
      </c>
      <c r="D74" s="51"/>
      <c r="E74" s="52">
        <v>221</v>
      </c>
      <c r="F74" s="53"/>
      <c r="G74" s="26"/>
    </row>
    <row r="75" spans="1:7" ht="12.75" x14ac:dyDescent="0.15">
      <c r="A75" s="1"/>
      <c r="B75" s="1"/>
      <c r="C75" s="24" t="s">
        <v>116</v>
      </c>
      <c r="D75" s="1"/>
      <c r="E75" s="52">
        <v>246</v>
      </c>
      <c r="F75" s="1"/>
      <c r="G75" s="1"/>
    </row>
    <row r="76" spans="1:7" ht="25.5" x14ac:dyDescent="0.15">
      <c r="A76" s="17">
        <f>1+MAX($A$9:A75)</f>
        <v>28</v>
      </c>
      <c r="B76" s="56">
        <v>213141112</v>
      </c>
      <c r="C76" s="57" t="s">
        <v>119</v>
      </c>
      <c r="D76" s="56" t="s">
        <v>10</v>
      </c>
      <c r="E76" s="58">
        <f>E77</f>
        <v>160</v>
      </c>
      <c r="F76" s="72"/>
      <c r="G76" s="59">
        <f>F76*E76</f>
        <v>0</v>
      </c>
    </row>
    <row r="77" spans="1:7" ht="25.5" x14ac:dyDescent="0.2">
      <c r="A77" s="1"/>
      <c r="B77" s="54"/>
      <c r="C77" s="24" t="s">
        <v>125</v>
      </c>
      <c r="D77" s="54"/>
      <c r="E77" s="52">
        <v>160</v>
      </c>
      <c r="F77" s="55"/>
      <c r="G77" s="1"/>
    </row>
    <row r="78" spans="1:7" ht="12.75" x14ac:dyDescent="0.15">
      <c r="A78" s="17">
        <f>1+MAX($A$9:A77)</f>
        <v>29</v>
      </c>
      <c r="B78" s="18">
        <v>69311060</v>
      </c>
      <c r="C78" s="19" t="s">
        <v>166</v>
      </c>
      <c r="D78" s="18" t="s">
        <v>10</v>
      </c>
      <c r="E78" s="20">
        <f>E79</f>
        <v>200</v>
      </c>
      <c r="F78" s="72"/>
      <c r="G78" s="21">
        <f>F78*E78</f>
        <v>0</v>
      </c>
    </row>
    <row r="79" spans="1:7" ht="12.75" x14ac:dyDescent="0.2">
      <c r="A79" s="1"/>
      <c r="B79" s="54"/>
      <c r="C79" s="24" t="s">
        <v>126</v>
      </c>
      <c r="D79" s="60"/>
      <c r="E79" s="52">
        <f>160*1.25</f>
        <v>200</v>
      </c>
      <c r="F79" s="61"/>
      <c r="G79" s="1"/>
    </row>
    <row r="80" spans="1:7" ht="12.75" x14ac:dyDescent="0.15">
      <c r="A80" s="17">
        <f>1+MAX($A$9:A79)</f>
        <v>30</v>
      </c>
      <c r="B80" s="56" t="s">
        <v>120</v>
      </c>
      <c r="C80" s="57" t="s">
        <v>121</v>
      </c>
      <c r="D80" s="56" t="s">
        <v>10</v>
      </c>
      <c r="E80" s="58">
        <f>E81</f>
        <v>225</v>
      </c>
      <c r="F80" s="72"/>
      <c r="G80" s="59">
        <f>F80*E80</f>
        <v>0</v>
      </c>
    </row>
    <row r="81" spans="1:7" ht="12.75" x14ac:dyDescent="0.2">
      <c r="A81" s="1"/>
      <c r="B81" s="54"/>
      <c r="C81" s="24" t="s">
        <v>127</v>
      </c>
      <c r="D81" s="60"/>
      <c r="E81" s="52">
        <f>500*0.45</f>
        <v>225</v>
      </c>
      <c r="F81" s="61"/>
      <c r="G81" s="1"/>
    </row>
    <row r="82" spans="1:7" ht="12.75" x14ac:dyDescent="0.15">
      <c r="A82" s="17">
        <f>1+MAX($A$9:A81)</f>
        <v>31</v>
      </c>
      <c r="B82" s="56" t="s">
        <v>122</v>
      </c>
      <c r="C82" s="57" t="s">
        <v>123</v>
      </c>
      <c r="D82" s="56" t="s">
        <v>124</v>
      </c>
      <c r="E82" s="58">
        <f>E83</f>
        <v>59.0625</v>
      </c>
      <c r="F82" s="72"/>
      <c r="G82" s="59">
        <f>F82*E82</f>
        <v>0</v>
      </c>
    </row>
    <row r="83" spans="1:7" ht="12.75" x14ac:dyDescent="0.2">
      <c r="A83" s="1"/>
      <c r="B83" s="54"/>
      <c r="C83" s="24" t="s">
        <v>213</v>
      </c>
      <c r="D83" s="54"/>
      <c r="E83" s="52">
        <f>225*0.15*1.75</f>
        <v>59.0625</v>
      </c>
      <c r="F83" s="55"/>
      <c r="G83" s="1"/>
    </row>
    <row r="84" spans="1:7" ht="25.5" x14ac:dyDescent="0.15">
      <c r="A84" s="17">
        <f>1+MAX($A$9:A83)</f>
        <v>32</v>
      </c>
      <c r="B84" s="18" t="s">
        <v>117</v>
      </c>
      <c r="C84" s="19" t="s">
        <v>118</v>
      </c>
      <c r="D84" s="18" t="s">
        <v>13</v>
      </c>
      <c r="E84" s="20">
        <f>E85+E86+E87+E88+E89+E90</f>
        <v>3070</v>
      </c>
      <c r="F84" s="72"/>
      <c r="G84" s="59">
        <f>F84*E84</f>
        <v>0</v>
      </c>
    </row>
    <row r="85" spans="1:7" ht="12.75" x14ac:dyDescent="0.15">
      <c r="A85" s="1"/>
      <c r="B85" s="24"/>
      <c r="C85" s="24" t="s">
        <v>128</v>
      </c>
      <c r="D85" s="24"/>
      <c r="E85" s="25">
        <f>E70*4.43</f>
        <v>248.07999999999998</v>
      </c>
      <c r="F85" s="26"/>
      <c r="G85" s="1"/>
    </row>
    <row r="86" spans="1:7" ht="12.75" x14ac:dyDescent="0.15">
      <c r="A86" s="1"/>
      <c r="B86" s="24"/>
      <c r="C86" s="24" t="s">
        <v>129</v>
      </c>
      <c r="D86" s="24"/>
      <c r="E86" s="25">
        <f>E74*4.43</f>
        <v>979.03</v>
      </c>
      <c r="F86" s="26"/>
      <c r="G86" s="1"/>
    </row>
    <row r="87" spans="1:7" ht="12.75" x14ac:dyDescent="0.15">
      <c r="A87" s="1"/>
      <c r="B87" s="24"/>
      <c r="C87" s="24" t="s">
        <v>130</v>
      </c>
      <c r="D87" s="24"/>
      <c r="E87" s="25">
        <f>E75*4.43</f>
        <v>1089.78</v>
      </c>
      <c r="F87" s="26"/>
      <c r="G87" s="1"/>
    </row>
    <row r="88" spans="1:7" ht="12.75" x14ac:dyDescent="0.15">
      <c r="A88" s="1"/>
      <c r="B88" s="24"/>
      <c r="C88" s="24" t="s">
        <v>131</v>
      </c>
      <c r="D88" s="24"/>
      <c r="E88" s="25">
        <f>E72*4.43</f>
        <v>367.69</v>
      </c>
      <c r="F88" s="26"/>
      <c r="G88" s="1"/>
    </row>
    <row r="89" spans="1:7" ht="12.75" x14ac:dyDescent="0.15">
      <c r="A89" s="1"/>
      <c r="B89" s="1"/>
      <c r="C89" s="24" t="s">
        <v>132</v>
      </c>
      <c r="D89" s="1"/>
      <c r="E89" s="25">
        <f>300</f>
        <v>300</v>
      </c>
      <c r="F89" s="1"/>
      <c r="G89" s="1"/>
    </row>
    <row r="90" spans="1:7" ht="13.5" thickBot="1" x14ac:dyDescent="0.25">
      <c r="A90" s="62"/>
      <c r="B90" s="62"/>
      <c r="C90" s="24" t="s">
        <v>133</v>
      </c>
      <c r="D90" s="60"/>
      <c r="E90" s="52">
        <f>500*0.65*0.25+4.17</f>
        <v>85.42</v>
      </c>
      <c r="F90" s="62"/>
      <c r="G90" s="62"/>
    </row>
    <row r="91" spans="1:7" ht="15.75" thickBot="1" x14ac:dyDescent="0.3">
      <c r="A91" s="78" t="s">
        <v>134</v>
      </c>
      <c r="B91" s="79"/>
      <c r="C91" s="38" t="s">
        <v>135</v>
      </c>
      <c r="D91" s="39"/>
      <c r="E91" s="39"/>
      <c r="F91" s="39"/>
      <c r="G91" s="40">
        <f>SUM(G92:G98)</f>
        <v>0</v>
      </c>
    </row>
    <row r="92" spans="1:7" ht="38.25" x14ac:dyDescent="0.15">
      <c r="A92" s="17">
        <f>1+MAX($A$9:A91)</f>
        <v>33</v>
      </c>
      <c r="B92" s="18" t="s">
        <v>31</v>
      </c>
      <c r="C92" s="19" t="s">
        <v>32</v>
      </c>
      <c r="D92" s="18" t="s">
        <v>30</v>
      </c>
      <c r="E92" s="20">
        <f>E93</f>
        <v>270</v>
      </c>
      <c r="F92" s="72"/>
      <c r="G92" s="21">
        <f>F92*E92</f>
        <v>0</v>
      </c>
    </row>
    <row r="93" spans="1:7" ht="12.75" x14ac:dyDescent="0.15">
      <c r="A93" s="22"/>
      <c r="B93" s="23"/>
      <c r="C93" s="24" t="s">
        <v>147</v>
      </c>
      <c r="D93" s="23"/>
      <c r="E93" s="25">
        <v>270</v>
      </c>
      <c r="F93" s="26"/>
      <c r="G93" s="26"/>
    </row>
    <row r="94" spans="1:7" ht="38.25" x14ac:dyDescent="0.15">
      <c r="A94" s="17">
        <f>1+MAX($A$9:A93)</f>
        <v>34</v>
      </c>
      <c r="B94" s="18" t="s">
        <v>35</v>
      </c>
      <c r="C94" s="19" t="s">
        <v>136</v>
      </c>
      <c r="D94" s="18" t="s">
        <v>27</v>
      </c>
      <c r="E94" s="20">
        <f>E95+E96</f>
        <v>1370</v>
      </c>
      <c r="F94" s="72"/>
      <c r="G94" s="21">
        <f>F94*E94</f>
        <v>0</v>
      </c>
    </row>
    <row r="95" spans="1:7" ht="25.5" x14ac:dyDescent="0.15">
      <c r="A95" s="22"/>
      <c r="B95" s="23"/>
      <c r="C95" s="24" t="s">
        <v>137</v>
      </c>
      <c r="D95" s="23"/>
      <c r="E95" s="25">
        <v>270</v>
      </c>
      <c r="F95" s="26"/>
      <c r="G95" s="26"/>
    </row>
    <row r="96" spans="1:7" ht="38.25" x14ac:dyDescent="0.15">
      <c r="A96" s="22"/>
      <c r="B96" s="23"/>
      <c r="C96" s="24" t="s">
        <v>138</v>
      </c>
      <c r="D96" s="23"/>
      <c r="E96" s="25">
        <v>1100</v>
      </c>
      <c r="F96" s="26"/>
      <c r="G96" s="26"/>
    </row>
    <row r="97" spans="1:7" ht="12.75" x14ac:dyDescent="0.15">
      <c r="A97" s="22"/>
      <c r="B97" s="23"/>
      <c r="C97" s="24" t="s">
        <v>139</v>
      </c>
      <c r="D97" s="23"/>
      <c r="E97" s="25"/>
      <c r="F97" s="26"/>
      <c r="G97" s="26"/>
    </row>
    <row r="98" spans="1:7" ht="38.25" x14ac:dyDescent="0.15">
      <c r="A98" s="17">
        <f>1+MAX($A$9:A97)</f>
        <v>35</v>
      </c>
      <c r="B98" s="18" t="s">
        <v>33</v>
      </c>
      <c r="C98" s="19" t="s">
        <v>34</v>
      </c>
      <c r="D98" s="18" t="s">
        <v>13</v>
      </c>
      <c r="E98" s="20">
        <f>E99</f>
        <v>80</v>
      </c>
      <c r="F98" s="72"/>
      <c r="G98" s="21">
        <f>F98*E98</f>
        <v>0</v>
      </c>
    </row>
    <row r="99" spans="1:7" ht="13.5" thickBot="1" x14ac:dyDescent="0.2">
      <c r="A99" s="22"/>
      <c r="B99" s="23"/>
      <c r="C99" s="24" t="s">
        <v>146</v>
      </c>
      <c r="D99" s="23"/>
      <c r="E99" s="25">
        <v>80</v>
      </c>
      <c r="F99" s="26"/>
      <c r="G99" s="26"/>
    </row>
    <row r="100" spans="1:7" ht="15.75" thickBot="1" x14ac:dyDescent="0.3">
      <c r="A100" s="78" t="s">
        <v>148</v>
      </c>
      <c r="B100" s="79"/>
      <c r="C100" s="38" t="s">
        <v>149</v>
      </c>
      <c r="D100" s="39"/>
      <c r="E100" s="39"/>
      <c r="F100" s="39"/>
      <c r="G100" s="40">
        <f>SUM(G101:G122)</f>
        <v>0</v>
      </c>
    </row>
    <row r="101" spans="1:7" ht="25.5" x14ac:dyDescent="0.15">
      <c r="A101" s="17">
        <f>1+MAX($A$9:A100)</f>
        <v>36</v>
      </c>
      <c r="B101" s="56" t="s">
        <v>108</v>
      </c>
      <c r="C101" s="57" t="s">
        <v>109</v>
      </c>
      <c r="D101" s="56" t="s">
        <v>10</v>
      </c>
      <c r="E101" s="58">
        <f>E102+E103</f>
        <v>57</v>
      </c>
      <c r="F101" s="72"/>
      <c r="G101" s="59">
        <f>F101*E101</f>
        <v>0</v>
      </c>
    </row>
    <row r="102" spans="1:7" ht="12.75" x14ac:dyDescent="0.15">
      <c r="A102" s="62"/>
      <c r="B102" s="23"/>
      <c r="C102" s="24" t="s">
        <v>150</v>
      </c>
      <c r="D102" s="51"/>
      <c r="E102" s="52">
        <v>36</v>
      </c>
      <c r="F102" s="53"/>
      <c r="G102" s="26"/>
    </row>
    <row r="103" spans="1:7" ht="12.75" x14ac:dyDescent="0.15">
      <c r="A103" s="62"/>
      <c r="B103" s="62"/>
      <c r="C103" s="24" t="s">
        <v>151</v>
      </c>
      <c r="D103" s="62"/>
      <c r="E103" s="52">
        <v>21</v>
      </c>
      <c r="F103" s="62"/>
      <c r="G103" s="62"/>
    </row>
    <row r="104" spans="1:7" ht="25.5" x14ac:dyDescent="0.15">
      <c r="A104" s="17">
        <f>1+MAX($A$9:A103)</f>
        <v>37</v>
      </c>
      <c r="B104" s="56">
        <v>213141112</v>
      </c>
      <c r="C104" s="57" t="s">
        <v>119</v>
      </c>
      <c r="D104" s="56" t="s">
        <v>10</v>
      </c>
      <c r="E104" s="58">
        <f>E105</f>
        <v>113</v>
      </c>
      <c r="F104" s="72"/>
      <c r="G104" s="59">
        <f>F104*E104</f>
        <v>0</v>
      </c>
    </row>
    <row r="105" spans="1:7" ht="25.5" x14ac:dyDescent="0.2">
      <c r="A105" s="62"/>
      <c r="B105" s="54"/>
      <c r="C105" s="24" t="s">
        <v>152</v>
      </c>
      <c r="D105" s="54"/>
      <c r="E105" s="52">
        <f>150*0.6*1.25+0.5</f>
        <v>113</v>
      </c>
      <c r="F105" s="55"/>
      <c r="G105" s="1"/>
    </row>
    <row r="106" spans="1:7" ht="12.75" x14ac:dyDescent="0.15">
      <c r="A106" s="17">
        <f>1+MAX($A$9:A105)</f>
        <v>38</v>
      </c>
      <c r="B106" s="18">
        <v>69311060</v>
      </c>
      <c r="C106" s="19" t="s">
        <v>166</v>
      </c>
      <c r="D106" s="56" t="s">
        <v>10</v>
      </c>
      <c r="E106" s="58">
        <f>E107</f>
        <v>150</v>
      </c>
      <c r="F106" s="72"/>
      <c r="G106" s="59">
        <f>F106*E106</f>
        <v>0</v>
      </c>
    </row>
    <row r="107" spans="1:7" ht="12.75" x14ac:dyDescent="0.2">
      <c r="A107" s="62"/>
      <c r="B107" s="54"/>
      <c r="C107" s="24" t="s">
        <v>153</v>
      </c>
      <c r="D107" s="60"/>
      <c r="E107" s="52">
        <f>113*1.25+8.75</f>
        <v>150</v>
      </c>
      <c r="F107" s="61"/>
      <c r="G107" s="1"/>
    </row>
    <row r="108" spans="1:7" ht="12.75" x14ac:dyDescent="0.15">
      <c r="A108" s="17">
        <f>1+MAX($A$9:A107)</f>
        <v>39</v>
      </c>
      <c r="B108" s="56" t="s">
        <v>120</v>
      </c>
      <c r="C108" s="57" t="s">
        <v>121</v>
      </c>
      <c r="D108" s="56" t="s">
        <v>10</v>
      </c>
      <c r="E108" s="58">
        <f>E109+E110</f>
        <v>225</v>
      </c>
      <c r="F108" s="72"/>
      <c r="G108" s="59">
        <f>F108*E108</f>
        <v>0</v>
      </c>
    </row>
    <row r="109" spans="1:7" ht="12.75" x14ac:dyDescent="0.2">
      <c r="A109" s="62"/>
      <c r="B109" s="54"/>
      <c r="C109" s="24" t="s">
        <v>154</v>
      </c>
      <c r="D109" s="60"/>
      <c r="E109" s="52">
        <f>150*0.5</f>
        <v>75</v>
      </c>
      <c r="F109" s="61"/>
      <c r="G109" s="1"/>
    </row>
    <row r="110" spans="1:7" ht="12.75" x14ac:dyDescent="0.2">
      <c r="A110" s="62"/>
      <c r="B110" s="54"/>
      <c r="C110" s="24" t="s">
        <v>155</v>
      </c>
      <c r="D110" s="60"/>
      <c r="E110" s="52">
        <v>150</v>
      </c>
      <c r="F110" s="61"/>
      <c r="G110" s="1"/>
    </row>
    <row r="111" spans="1:7" ht="12.75" x14ac:dyDescent="0.15">
      <c r="A111" s="17">
        <f>1+MAX($A$9:A110)</f>
        <v>40</v>
      </c>
      <c r="B111" s="56" t="s">
        <v>122</v>
      </c>
      <c r="C111" s="57" t="s">
        <v>123</v>
      </c>
      <c r="D111" s="56" t="s">
        <v>124</v>
      </c>
      <c r="E111" s="58">
        <f>E112+E113</f>
        <v>98.4375</v>
      </c>
      <c r="F111" s="72"/>
      <c r="G111" s="59">
        <f>F111*E111</f>
        <v>0</v>
      </c>
    </row>
    <row r="112" spans="1:7" ht="12.75" x14ac:dyDescent="0.2">
      <c r="A112" s="62"/>
      <c r="B112" s="54"/>
      <c r="C112" s="24" t="s">
        <v>214</v>
      </c>
      <c r="D112" s="54"/>
      <c r="E112" s="52">
        <f>75*0.15*1.75</f>
        <v>19.6875</v>
      </c>
      <c r="F112" s="55"/>
      <c r="G112" s="1"/>
    </row>
    <row r="113" spans="1:7" ht="12.75" x14ac:dyDescent="0.2">
      <c r="A113" s="62"/>
      <c r="B113" s="54"/>
      <c r="C113" s="24" t="s">
        <v>215</v>
      </c>
      <c r="D113" s="54"/>
      <c r="E113" s="52">
        <f>150*0.3*1.75</f>
        <v>78.75</v>
      </c>
      <c r="F113" s="55"/>
      <c r="G113" s="1"/>
    </row>
    <row r="114" spans="1:7" ht="25.5" x14ac:dyDescent="0.15">
      <c r="A114" s="17">
        <f>1+MAX($A$9:A113)</f>
        <v>41</v>
      </c>
      <c r="B114" s="18" t="s">
        <v>117</v>
      </c>
      <c r="C114" s="19" t="s">
        <v>118</v>
      </c>
      <c r="D114" s="18" t="s">
        <v>13</v>
      </c>
      <c r="E114" s="20">
        <f>E115+E116+E117+E118</f>
        <v>214.5</v>
      </c>
      <c r="F114" s="72"/>
      <c r="G114" s="59">
        <f>F114*E114</f>
        <v>0</v>
      </c>
    </row>
    <row r="115" spans="1:7" ht="12.75" x14ac:dyDescent="0.15">
      <c r="A115" s="62"/>
      <c r="B115" s="24"/>
      <c r="C115" s="24" t="s">
        <v>158</v>
      </c>
      <c r="D115" s="24"/>
      <c r="E115" s="25">
        <f>E102*3.3+0.2</f>
        <v>119</v>
      </c>
      <c r="F115" s="26"/>
      <c r="G115" s="1"/>
    </row>
    <row r="116" spans="1:7" ht="12.75" x14ac:dyDescent="0.15">
      <c r="A116" s="62"/>
      <c r="B116" s="24"/>
      <c r="C116" s="24" t="s">
        <v>159</v>
      </c>
      <c r="D116" s="24"/>
      <c r="E116" s="25">
        <f>21*3.3+0.7</f>
        <v>70</v>
      </c>
      <c r="F116" s="26"/>
      <c r="G116" s="1"/>
    </row>
    <row r="117" spans="1:7" ht="12.75" x14ac:dyDescent="0.15">
      <c r="A117" s="62"/>
      <c r="B117" s="1"/>
      <c r="C117" s="24" t="s">
        <v>157</v>
      </c>
      <c r="D117" s="1"/>
      <c r="E117" s="25">
        <v>6.5</v>
      </c>
      <c r="F117" s="1"/>
      <c r="G117" s="1"/>
    </row>
    <row r="118" spans="1:7" ht="12.75" x14ac:dyDescent="0.2">
      <c r="A118" s="62"/>
      <c r="B118" s="62"/>
      <c r="C118" s="24" t="s">
        <v>156</v>
      </c>
      <c r="D118" s="60"/>
      <c r="E118" s="52">
        <f>150*0.5*0.25+0.25</f>
        <v>19</v>
      </c>
      <c r="F118" s="62"/>
      <c r="G118" s="62"/>
    </row>
    <row r="119" spans="1:7" ht="12.95" customHeight="1" x14ac:dyDescent="0.15">
      <c r="A119" s="17">
        <f>1+MAX($A$9:A118)</f>
        <v>42</v>
      </c>
      <c r="B119" s="18" t="s">
        <v>72</v>
      </c>
      <c r="C119" s="19" t="s">
        <v>160</v>
      </c>
      <c r="D119" s="18" t="s">
        <v>10</v>
      </c>
      <c r="E119" s="20">
        <f>E120</f>
        <v>150</v>
      </c>
      <c r="F119" s="72"/>
      <c r="G119" s="21">
        <f>F119*E119</f>
        <v>0</v>
      </c>
    </row>
    <row r="120" spans="1:7" ht="25.5" x14ac:dyDescent="0.15">
      <c r="A120" s="62"/>
      <c r="B120" s="23"/>
      <c r="C120" s="24" t="s">
        <v>161</v>
      </c>
      <c r="D120" s="23"/>
      <c r="E120" s="25">
        <v>150</v>
      </c>
      <c r="F120" s="26"/>
      <c r="G120" s="26"/>
    </row>
    <row r="121" spans="1:7" ht="12.95" customHeight="1" x14ac:dyDescent="0.15">
      <c r="A121" s="17">
        <f>1+MAX($A$9:A120)</f>
        <v>43</v>
      </c>
      <c r="B121" s="18" t="s">
        <v>72</v>
      </c>
      <c r="C121" s="19" t="s">
        <v>162</v>
      </c>
      <c r="D121" s="18" t="s">
        <v>10</v>
      </c>
      <c r="E121" s="20">
        <f>E122</f>
        <v>150</v>
      </c>
      <c r="F121" s="72"/>
      <c r="G121" s="21">
        <f>F121*E121</f>
        <v>0</v>
      </c>
    </row>
    <row r="122" spans="1:7" ht="12.95" customHeight="1" thickBot="1" x14ac:dyDescent="0.2">
      <c r="A122" s="62"/>
      <c r="B122" s="23"/>
      <c r="C122" s="24" t="s">
        <v>163</v>
      </c>
      <c r="D122" s="23"/>
      <c r="E122" s="25">
        <v>150</v>
      </c>
      <c r="F122" s="26"/>
      <c r="G122" s="26"/>
    </row>
    <row r="123" spans="1:7" ht="15.75" thickBot="1" x14ac:dyDescent="0.3">
      <c r="A123" s="78" t="s">
        <v>164</v>
      </c>
      <c r="B123" s="79"/>
      <c r="C123" s="38" t="s">
        <v>165</v>
      </c>
      <c r="D123" s="39"/>
      <c r="E123" s="39"/>
      <c r="F123" s="39"/>
      <c r="G123" s="40">
        <f>SUM(G124:G138)</f>
        <v>0</v>
      </c>
    </row>
    <row r="124" spans="1:7" ht="12.95" customHeight="1" x14ac:dyDescent="0.15">
      <c r="A124" s="17">
        <f>1+MAX($A$9:A123)</f>
        <v>44</v>
      </c>
      <c r="B124" s="18" t="s">
        <v>177</v>
      </c>
      <c r="C124" s="19" t="s">
        <v>178</v>
      </c>
      <c r="D124" s="18" t="s">
        <v>13</v>
      </c>
      <c r="E124" s="20">
        <f>E125+E126</f>
        <v>56.2</v>
      </c>
      <c r="F124" s="72"/>
      <c r="G124" s="21">
        <f>F124*E124</f>
        <v>0</v>
      </c>
    </row>
    <row r="125" spans="1:7" ht="12.95" customHeight="1" x14ac:dyDescent="0.15">
      <c r="A125" s="62"/>
      <c r="B125" s="24"/>
      <c r="C125" s="24" t="s">
        <v>179</v>
      </c>
      <c r="D125" s="24"/>
      <c r="E125" s="25">
        <f>80*0.8*0.8</f>
        <v>51.2</v>
      </c>
      <c r="F125" s="26"/>
      <c r="G125" s="1"/>
    </row>
    <row r="126" spans="1:7" ht="12.95" customHeight="1" x14ac:dyDescent="0.15">
      <c r="A126" s="62"/>
      <c r="B126" s="24"/>
      <c r="C126" s="24" t="s">
        <v>183</v>
      </c>
      <c r="D126" s="24"/>
      <c r="E126" s="25">
        <v>5</v>
      </c>
      <c r="F126" s="26"/>
      <c r="G126" s="1"/>
    </row>
    <row r="127" spans="1:7" ht="12.95" customHeight="1" x14ac:dyDescent="0.15">
      <c r="A127" s="17">
        <f>1+MAX($A$9:A126)</f>
        <v>45</v>
      </c>
      <c r="B127" s="18" t="s">
        <v>170</v>
      </c>
      <c r="C127" s="19" t="s">
        <v>171</v>
      </c>
      <c r="D127" s="18" t="s">
        <v>27</v>
      </c>
      <c r="E127" s="20">
        <f>E128</f>
        <v>80</v>
      </c>
      <c r="F127" s="72"/>
      <c r="G127" s="21">
        <f>F127*E127</f>
        <v>0</v>
      </c>
    </row>
    <row r="128" spans="1:7" ht="12.95" customHeight="1" x14ac:dyDescent="0.15">
      <c r="A128" s="62"/>
      <c r="B128" s="24"/>
      <c r="C128" s="24" t="s">
        <v>180</v>
      </c>
      <c r="D128" s="24"/>
      <c r="E128" s="25">
        <v>80</v>
      </c>
      <c r="F128" s="26"/>
      <c r="G128" s="1"/>
    </row>
    <row r="129" spans="1:7" ht="12.95" customHeight="1" x14ac:dyDescent="0.15">
      <c r="A129" s="17">
        <f>1+MAX($A$9:A128)</f>
        <v>46</v>
      </c>
      <c r="B129" s="18">
        <v>69311060</v>
      </c>
      <c r="C129" s="19" t="s">
        <v>166</v>
      </c>
      <c r="D129" s="18" t="s">
        <v>10</v>
      </c>
      <c r="E129" s="20">
        <f>E130</f>
        <v>230</v>
      </c>
      <c r="F129" s="72"/>
      <c r="G129" s="21">
        <f>F129*E129</f>
        <v>0</v>
      </c>
    </row>
    <row r="130" spans="1:7" ht="12.95" customHeight="1" x14ac:dyDescent="0.15">
      <c r="A130" s="62"/>
      <c r="B130" s="24"/>
      <c r="C130" s="24" t="s">
        <v>184</v>
      </c>
      <c r="D130" s="24"/>
      <c r="E130" s="25">
        <f>150+80</f>
        <v>230</v>
      </c>
      <c r="F130" s="26"/>
      <c r="G130" s="1"/>
    </row>
    <row r="131" spans="1:7" ht="12.95" customHeight="1" x14ac:dyDescent="0.15">
      <c r="A131" s="17">
        <f>1+MAX($A$9:A130)</f>
        <v>47</v>
      </c>
      <c r="B131" s="18" t="s">
        <v>167</v>
      </c>
      <c r="C131" s="19" t="s">
        <v>168</v>
      </c>
      <c r="D131" s="18" t="s">
        <v>13</v>
      </c>
      <c r="E131" s="20">
        <f>E132</f>
        <v>35.839999999999996</v>
      </c>
      <c r="F131" s="72"/>
      <c r="G131" s="21">
        <f>F131*E131</f>
        <v>0</v>
      </c>
    </row>
    <row r="132" spans="1:7" ht="12.95" customHeight="1" x14ac:dyDescent="0.15">
      <c r="A132" s="62"/>
      <c r="B132" s="24"/>
      <c r="C132" s="24" t="s">
        <v>181</v>
      </c>
      <c r="D132" s="24"/>
      <c r="E132" s="25">
        <f>51.2*0.7</f>
        <v>35.839999999999996</v>
      </c>
      <c r="F132" s="26"/>
      <c r="G132" s="1"/>
    </row>
    <row r="133" spans="1:7" ht="12.75" x14ac:dyDescent="0.15">
      <c r="A133" s="17">
        <f>1+MAX($A$9:A132)</f>
        <v>48</v>
      </c>
      <c r="B133" s="18">
        <v>58343930</v>
      </c>
      <c r="C133" s="19" t="s">
        <v>169</v>
      </c>
      <c r="D133" s="18" t="s">
        <v>124</v>
      </c>
      <c r="E133" s="20">
        <f>E134</f>
        <v>63</v>
      </c>
      <c r="F133" s="72"/>
      <c r="G133" s="21">
        <f>F133*E133</f>
        <v>0</v>
      </c>
    </row>
    <row r="134" spans="1:7" ht="12.75" x14ac:dyDescent="0.2">
      <c r="A134" s="1"/>
      <c r="B134" s="54"/>
      <c r="C134" s="24" t="s">
        <v>182</v>
      </c>
      <c r="D134" s="54"/>
      <c r="E134" s="52">
        <f>36*1.75</f>
        <v>63</v>
      </c>
      <c r="F134" s="55"/>
      <c r="G134" s="1"/>
    </row>
    <row r="135" spans="1:7" ht="12.95" customHeight="1" x14ac:dyDescent="0.15">
      <c r="A135" s="17">
        <f>1+MAX($A$9:A134)</f>
        <v>49</v>
      </c>
      <c r="B135" s="18" t="s">
        <v>173</v>
      </c>
      <c r="C135" s="19" t="s">
        <v>172</v>
      </c>
      <c r="D135" s="18" t="s">
        <v>13</v>
      </c>
      <c r="E135" s="20">
        <f>E136</f>
        <v>60</v>
      </c>
      <c r="F135" s="72"/>
      <c r="G135" s="21">
        <f>F135*E135</f>
        <v>0</v>
      </c>
    </row>
    <row r="136" spans="1:7" ht="12.95" customHeight="1" x14ac:dyDescent="0.2">
      <c r="A136" s="1"/>
      <c r="B136" s="54"/>
      <c r="C136" s="24" t="s">
        <v>216</v>
      </c>
      <c r="D136" s="54"/>
      <c r="E136" s="52">
        <v>60</v>
      </c>
      <c r="F136" s="55"/>
      <c r="G136" s="1"/>
    </row>
    <row r="137" spans="1:7" ht="12.95" customHeight="1" x14ac:dyDescent="0.15">
      <c r="A137" s="17">
        <f>1+MAX($A$9:A136)</f>
        <v>50</v>
      </c>
      <c r="B137" s="18" t="s">
        <v>174</v>
      </c>
      <c r="C137" s="19" t="s">
        <v>175</v>
      </c>
      <c r="D137" s="18" t="s">
        <v>176</v>
      </c>
      <c r="E137" s="20">
        <f>E138</f>
        <v>3</v>
      </c>
      <c r="F137" s="72"/>
      <c r="G137" s="21">
        <f>F137*E137</f>
        <v>0</v>
      </c>
    </row>
    <row r="138" spans="1:7" ht="12.95" customHeight="1" thickBot="1" x14ac:dyDescent="0.25">
      <c r="A138" s="1"/>
      <c r="B138" s="54"/>
      <c r="C138" s="24" t="s">
        <v>217</v>
      </c>
      <c r="D138" s="54"/>
      <c r="E138" s="52">
        <v>3</v>
      </c>
      <c r="F138" s="55"/>
      <c r="G138" s="1"/>
    </row>
    <row r="139" spans="1:7" ht="15.75" thickBot="1" x14ac:dyDescent="0.3">
      <c r="A139" s="78" t="s">
        <v>185</v>
      </c>
      <c r="B139" s="79"/>
      <c r="C139" s="38" t="s">
        <v>186</v>
      </c>
      <c r="D139" s="39"/>
      <c r="E139" s="39"/>
      <c r="F139" s="39"/>
      <c r="G139" s="40">
        <f>SUM(G140:G146)</f>
        <v>0</v>
      </c>
    </row>
    <row r="140" spans="1:7" ht="12.95" customHeight="1" x14ac:dyDescent="0.15">
      <c r="A140" s="17">
        <f>1+MAX($A$9:A139)</f>
        <v>51</v>
      </c>
      <c r="B140" s="18" t="s">
        <v>72</v>
      </c>
      <c r="C140" s="19" t="s">
        <v>187</v>
      </c>
      <c r="D140" s="18" t="s">
        <v>188</v>
      </c>
      <c r="E140" s="20">
        <f>E141</f>
        <v>42</v>
      </c>
      <c r="F140" s="72"/>
      <c r="G140" s="21">
        <f>F140*E140</f>
        <v>0</v>
      </c>
    </row>
    <row r="141" spans="1:7" ht="25.5" x14ac:dyDescent="0.15">
      <c r="A141" s="1"/>
      <c r="B141" s="23"/>
      <c r="C141" s="24" t="s">
        <v>218</v>
      </c>
      <c r="D141" s="23"/>
      <c r="E141" s="25">
        <v>42</v>
      </c>
      <c r="F141" s="26"/>
      <c r="G141" s="26"/>
    </row>
    <row r="142" spans="1:7" ht="12.95" customHeight="1" x14ac:dyDescent="0.15">
      <c r="A142" s="17">
        <f>1+MAX($A$9:A141)</f>
        <v>52</v>
      </c>
      <c r="B142" s="18" t="s">
        <v>72</v>
      </c>
      <c r="C142" s="19" t="s">
        <v>189</v>
      </c>
      <c r="D142" s="18" t="s">
        <v>124</v>
      </c>
      <c r="E142" s="20">
        <v>1.75</v>
      </c>
      <c r="F142" s="72"/>
      <c r="G142" s="21">
        <f>F142*E142</f>
        <v>0</v>
      </c>
    </row>
    <row r="143" spans="1:7" ht="12.95" customHeight="1" x14ac:dyDescent="0.15">
      <c r="A143" s="1"/>
      <c r="B143" s="1"/>
      <c r="C143" s="24" t="s">
        <v>219</v>
      </c>
      <c r="D143" s="1"/>
      <c r="E143" s="1"/>
      <c r="F143" s="1"/>
      <c r="G143" s="1"/>
    </row>
    <row r="144" spans="1:7" ht="12.95" customHeight="1" x14ac:dyDescent="0.15">
      <c r="A144" s="1"/>
      <c r="B144" s="1"/>
      <c r="C144" s="24" t="s">
        <v>190</v>
      </c>
      <c r="D144" s="1"/>
      <c r="E144" s="1"/>
      <c r="F144" s="1"/>
      <c r="G144" s="1"/>
    </row>
    <row r="145" spans="1:7" ht="12.95" customHeight="1" x14ac:dyDescent="0.15">
      <c r="A145" s="1"/>
      <c r="B145" s="1"/>
      <c r="C145" s="24" t="s">
        <v>191</v>
      </c>
      <c r="D145" s="1"/>
      <c r="E145" s="1"/>
      <c r="F145" s="1"/>
      <c r="G145" s="1"/>
    </row>
    <row r="146" spans="1:7" ht="25.5" x14ac:dyDescent="0.15">
      <c r="A146" s="17">
        <f>1+MAX($A$9:A145)</f>
        <v>53</v>
      </c>
      <c r="B146" s="18" t="s">
        <v>177</v>
      </c>
      <c r="C146" s="19" t="s">
        <v>178</v>
      </c>
      <c r="D146" s="18" t="s">
        <v>13</v>
      </c>
      <c r="E146" s="20">
        <f>SUM(E147:E155)</f>
        <v>3302.3095000000008</v>
      </c>
      <c r="F146" s="72"/>
      <c r="G146" s="21">
        <f>F146*E146</f>
        <v>0</v>
      </c>
    </row>
    <row r="147" spans="1:7" ht="12.95" customHeight="1" x14ac:dyDescent="0.15">
      <c r="A147" s="1"/>
      <c r="B147" s="1"/>
      <c r="C147" s="24" t="s">
        <v>192</v>
      </c>
      <c r="D147" s="1"/>
      <c r="E147" s="52">
        <f>151*0.1+87*0.6+205*0.65+170*0.45+15*0.3+445</f>
        <v>726.55</v>
      </c>
      <c r="F147" s="1"/>
      <c r="G147" s="1"/>
    </row>
    <row r="148" spans="1:7" ht="12.95" customHeight="1" x14ac:dyDescent="0.15">
      <c r="A148" s="1"/>
      <c r="B148" s="1"/>
      <c r="C148" s="24" t="s">
        <v>193</v>
      </c>
      <c r="D148" s="1"/>
      <c r="E148" s="52">
        <f>205*1.25*0.55+19*23+23*3.5+21*23+11*23+673</f>
        <v>2067.4375</v>
      </c>
      <c r="F148" s="1"/>
      <c r="G148" s="1"/>
    </row>
    <row r="149" spans="1:7" ht="12.95" customHeight="1" x14ac:dyDescent="0.15">
      <c r="A149" s="1"/>
      <c r="B149" s="1"/>
      <c r="C149" s="24" t="s">
        <v>194</v>
      </c>
      <c r="D149" s="1"/>
      <c r="E149" s="52">
        <f>6*16+7*22+3.5</f>
        <v>253.5</v>
      </c>
      <c r="F149" s="1"/>
      <c r="G149" s="1"/>
    </row>
    <row r="150" spans="1:7" ht="12.95" customHeight="1" thickBot="1" x14ac:dyDescent="0.2">
      <c r="A150" s="1"/>
      <c r="B150" s="1"/>
      <c r="C150" s="24" t="s">
        <v>195</v>
      </c>
      <c r="D150" s="1"/>
      <c r="E150" s="52">
        <f>E31+E35+E38</f>
        <v>149.65</v>
      </c>
      <c r="F150" s="1"/>
      <c r="G150" s="1"/>
    </row>
    <row r="151" spans="1:7" ht="15.75" thickBot="1" x14ac:dyDescent="0.3">
      <c r="A151" s="78" t="s">
        <v>54</v>
      </c>
      <c r="B151" s="79"/>
      <c r="C151" s="38" t="s">
        <v>196</v>
      </c>
      <c r="D151" s="39"/>
      <c r="E151" s="39"/>
      <c r="F151" s="39"/>
      <c r="G151" s="40">
        <f>SUM(G152:G165)</f>
        <v>0</v>
      </c>
    </row>
    <row r="152" spans="1:7" ht="25.5" x14ac:dyDescent="0.15">
      <c r="A152" s="17">
        <f>1+MAX($A$9:A150)</f>
        <v>54</v>
      </c>
      <c r="B152" s="18" t="s">
        <v>45</v>
      </c>
      <c r="C152" s="19" t="s">
        <v>46</v>
      </c>
      <c r="D152" s="18" t="s">
        <v>13</v>
      </c>
      <c r="E152" s="20">
        <f>E153</f>
        <v>24.175000000000001</v>
      </c>
      <c r="F152" s="72"/>
      <c r="G152" s="21">
        <f>F152*E152</f>
        <v>0</v>
      </c>
    </row>
    <row r="153" spans="1:7" ht="25.5" x14ac:dyDescent="0.15">
      <c r="A153" s="1"/>
      <c r="B153" s="23"/>
      <c r="C153" s="24" t="s">
        <v>199</v>
      </c>
      <c r="D153" s="23"/>
      <c r="E153" s="25">
        <f>0.45*(30.5+9+2)+5.5</f>
        <v>24.175000000000001</v>
      </c>
      <c r="F153" s="26"/>
      <c r="G153" s="26"/>
    </row>
    <row r="154" spans="1:7" ht="25.5" x14ac:dyDescent="0.15">
      <c r="A154" s="17">
        <f>1+MAX($A$9:A153)</f>
        <v>55</v>
      </c>
      <c r="B154" s="18" t="s">
        <v>47</v>
      </c>
      <c r="C154" s="19" t="s">
        <v>48</v>
      </c>
      <c r="D154" s="18" t="s">
        <v>13</v>
      </c>
      <c r="E154" s="20">
        <f>E155</f>
        <v>28.411000000000001</v>
      </c>
      <c r="F154" s="72"/>
      <c r="G154" s="21">
        <f>F154*E154</f>
        <v>0</v>
      </c>
    </row>
    <row r="155" spans="1:7" ht="12.75" x14ac:dyDescent="0.15">
      <c r="A155" s="1"/>
      <c r="B155" s="23"/>
      <c r="C155" s="24" t="s">
        <v>200</v>
      </c>
      <c r="D155" s="23"/>
      <c r="E155" s="25">
        <v>28.411000000000001</v>
      </c>
      <c r="F155" s="26"/>
      <c r="G155" s="26"/>
    </row>
    <row r="156" spans="1:7" ht="25.5" x14ac:dyDescent="0.15">
      <c r="A156" s="17">
        <f>1+MAX($A$9:A155)</f>
        <v>56</v>
      </c>
      <c r="B156" s="18" t="s">
        <v>201</v>
      </c>
      <c r="C156" s="19" t="s">
        <v>202</v>
      </c>
      <c r="D156" s="18" t="s">
        <v>13</v>
      </c>
      <c r="E156" s="20">
        <f>E157+E158</f>
        <v>7218.3209000000015</v>
      </c>
      <c r="F156" s="72"/>
      <c r="G156" s="21">
        <f>F156*E156</f>
        <v>0</v>
      </c>
    </row>
    <row r="157" spans="1:7" ht="12.75" x14ac:dyDescent="0.15">
      <c r="A157" s="1"/>
      <c r="B157" s="1"/>
      <c r="C157" s="24" t="s">
        <v>207</v>
      </c>
      <c r="D157" s="1"/>
      <c r="E157" s="25">
        <f>(E124+E146-142)*2.2</f>
        <v>7076.3209000000015</v>
      </c>
      <c r="F157" s="1"/>
      <c r="G157" s="1"/>
    </row>
    <row r="158" spans="1:7" ht="12.75" x14ac:dyDescent="0.15">
      <c r="A158" s="1"/>
      <c r="B158" s="1"/>
      <c r="C158" s="24" t="s">
        <v>208</v>
      </c>
      <c r="D158" s="1"/>
      <c r="E158" s="25">
        <v>142</v>
      </c>
      <c r="F158" s="1"/>
      <c r="G158" s="1"/>
    </row>
    <row r="159" spans="1:7" ht="25.5" x14ac:dyDescent="0.15">
      <c r="A159" s="17">
        <f>1+MAX($A$9:A157)</f>
        <v>57</v>
      </c>
      <c r="B159" s="18" t="s">
        <v>203</v>
      </c>
      <c r="C159" s="19" t="s">
        <v>204</v>
      </c>
      <c r="D159" s="18" t="s">
        <v>124</v>
      </c>
      <c r="E159" s="20">
        <f>E160+E161</f>
        <v>13353.893665000005</v>
      </c>
      <c r="F159" s="72"/>
      <c r="G159" s="21">
        <f>F159*E159</f>
        <v>0</v>
      </c>
    </row>
    <row r="160" spans="1:7" ht="25.5" x14ac:dyDescent="0.15">
      <c r="A160" s="1"/>
      <c r="B160" s="1"/>
      <c r="C160" s="24" t="s">
        <v>209</v>
      </c>
      <c r="D160" s="1"/>
      <c r="E160" s="25">
        <f>E157*1.85</f>
        <v>13091.193665000004</v>
      </c>
      <c r="F160" s="1"/>
      <c r="G160" s="1"/>
    </row>
    <row r="161" spans="1:7" ht="25.5" x14ac:dyDescent="0.15">
      <c r="A161" s="1"/>
      <c r="B161" s="1"/>
      <c r="C161" s="24" t="s">
        <v>210</v>
      </c>
      <c r="D161" s="1"/>
      <c r="E161" s="25">
        <f>142*1.85</f>
        <v>262.7</v>
      </c>
      <c r="F161" s="1"/>
      <c r="G161" s="1"/>
    </row>
    <row r="162" spans="1:7" ht="25.5" x14ac:dyDescent="0.15">
      <c r="A162" s="17">
        <f>1+MAX($A$9:A159)</f>
        <v>58</v>
      </c>
      <c r="B162" s="18" t="s">
        <v>205</v>
      </c>
      <c r="C162" s="19" t="s">
        <v>206</v>
      </c>
      <c r="D162" s="18" t="s">
        <v>124</v>
      </c>
      <c r="E162" s="20">
        <f>E163</f>
        <v>7881</v>
      </c>
      <c r="F162" s="72"/>
      <c r="G162" s="21">
        <f>F162*E162</f>
        <v>0</v>
      </c>
    </row>
    <row r="163" spans="1:7" ht="12.75" x14ac:dyDescent="0.15">
      <c r="A163" s="1"/>
      <c r="B163" s="1"/>
      <c r="C163" s="24" t="s">
        <v>211</v>
      </c>
      <c r="D163" s="1"/>
      <c r="E163" s="25">
        <f>E161*30</f>
        <v>7881</v>
      </c>
      <c r="F163" s="1"/>
      <c r="G163" s="1"/>
    </row>
    <row r="164" spans="1:7" ht="25.5" x14ac:dyDescent="0.15">
      <c r="A164" s="17">
        <f>1+MAX($A$9:A162)</f>
        <v>59</v>
      </c>
      <c r="B164" s="18" t="s">
        <v>197</v>
      </c>
      <c r="C164" s="19" t="s">
        <v>198</v>
      </c>
      <c r="D164" s="18" t="s">
        <v>124</v>
      </c>
      <c r="E164" s="20">
        <f>E165</f>
        <v>262.7</v>
      </c>
      <c r="F164" s="72"/>
      <c r="G164" s="21">
        <f>F164*E164</f>
        <v>0</v>
      </c>
    </row>
    <row r="165" spans="1:7" ht="12.75" x14ac:dyDescent="0.15">
      <c r="A165" s="1"/>
      <c r="B165" s="1"/>
      <c r="C165" s="24" t="s">
        <v>212</v>
      </c>
      <c r="D165" s="1"/>
      <c r="E165" s="25">
        <f>E161</f>
        <v>262.7</v>
      </c>
      <c r="F165" s="1"/>
      <c r="G165" s="1"/>
    </row>
    <row r="166" spans="1:7" ht="11.25" thickBot="1" x14ac:dyDescent="0.2">
      <c r="A166" s="1"/>
      <c r="B166" s="1"/>
      <c r="C166" s="1"/>
      <c r="D166" s="1"/>
      <c r="E166" s="1"/>
      <c r="F166" s="1"/>
      <c r="G166" s="1"/>
    </row>
    <row r="167" spans="1:7" ht="19.5" thickBot="1" x14ac:dyDescent="0.2">
      <c r="A167" s="29"/>
      <c r="B167" s="30"/>
      <c r="C167" s="65" t="s">
        <v>220</v>
      </c>
      <c r="D167" s="30"/>
      <c r="E167" s="31"/>
      <c r="F167" s="76">
        <f>G8+G17+G30+G34+G42+G68+G91+G100+G123+G139+G151</f>
        <v>0</v>
      </c>
      <c r="G167" s="77"/>
    </row>
    <row r="168" spans="1:7" ht="10.5" x14ac:dyDescent="0.15"/>
    <row r="169" spans="1:7" ht="10.5" x14ac:dyDescent="0.15"/>
    <row r="172" spans="1:7" ht="10.5" x14ac:dyDescent="0.15">
      <c r="B172" s="1"/>
      <c r="C172" s="1"/>
      <c r="D172" s="1"/>
      <c r="E172" s="1"/>
      <c r="F172" s="1"/>
      <c r="G172" s="1"/>
    </row>
    <row r="173" spans="1:7" ht="10.5" x14ac:dyDescent="0.15">
      <c r="B173" s="1"/>
      <c r="C173" s="1"/>
      <c r="D173" s="1"/>
      <c r="E173" s="1"/>
      <c r="F173" s="1"/>
      <c r="G173" s="1"/>
    </row>
    <row r="174" spans="1:7" ht="10.5" x14ac:dyDescent="0.15">
      <c r="B174" s="1"/>
      <c r="C174" s="1"/>
      <c r="D174" s="1"/>
      <c r="E174" s="1"/>
      <c r="F174" s="1"/>
      <c r="G174" s="1"/>
    </row>
    <row r="175" spans="1:7" ht="10.5" x14ac:dyDescent="0.15">
      <c r="B175" s="1"/>
      <c r="C175" s="1"/>
      <c r="D175" s="1"/>
      <c r="E175" s="1"/>
      <c r="F175" s="1"/>
      <c r="G175" s="1"/>
    </row>
    <row r="176" spans="1:7" ht="10.5" x14ac:dyDescent="0.15">
      <c r="B176" s="1"/>
      <c r="C176" s="1"/>
      <c r="D176" s="1"/>
      <c r="E176" s="1"/>
      <c r="F176" s="1"/>
      <c r="G176" s="1"/>
    </row>
  </sheetData>
  <mergeCells count="13">
    <mergeCell ref="A1:G1"/>
    <mergeCell ref="F167:G167"/>
    <mergeCell ref="A8:B8"/>
    <mergeCell ref="A17:B17"/>
    <mergeCell ref="A30:B30"/>
    <mergeCell ref="A34:B34"/>
    <mergeCell ref="A42:B42"/>
    <mergeCell ref="A68:B68"/>
    <mergeCell ref="A91:B91"/>
    <mergeCell ref="A100:B100"/>
    <mergeCell ref="A123:B123"/>
    <mergeCell ref="A139:B139"/>
    <mergeCell ref="A151:B151"/>
  </mergeCells>
  <printOptions horizontalCentered="1"/>
  <pageMargins left="0.59055118110236227" right="0.59055118110236227" top="0.59055118110236227" bottom="0.59055118110236227" header="0" footer="0"/>
  <pageSetup paperSize="9" scale="94" fitToHeight="100" orientation="landscape" verticalDpi="1200" r:id="rId1"/>
  <headerFooter alignWithMargins="0">
    <oddFooter>&amp;C   Strana &amp;P  z &amp;N</oddFooter>
  </headerFooter>
  <rowBreaks count="5" manualBreakCount="5">
    <brk id="33" max="6" man="1"/>
    <brk id="61" max="6" man="1"/>
    <brk id="90" max="6" man="1"/>
    <brk id="113" max="6" man="1"/>
    <brk id="1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 s výkazem výměr</vt:lpstr>
      <vt:lpstr>'Rozpočet s výkazem výměr'!Názvy_tisku</vt:lpstr>
      <vt:lpstr>'Rozpočet s výkazem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Štábl</dc:creator>
  <cp:lastModifiedBy>Stanislav Štábl</cp:lastModifiedBy>
  <cp:lastPrinted>2024-11-01T09:15:38Z</cp:lastPrinted>
  <dcterms:created xsi:type="dcterms:W3CDTF">2023-09-30T15:41:16Z</dcterms:created>
  <dcterms:modified xsi:type="dcterms:W3CDTF">2025-05-05T14:24:06Z</dcterms:modified>
</cp:coreProperties>
</file>