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mc:AlternateContent xmlns:mc="http://schemas.openxmlformats.org/markup-compatibility/2006">
    <mc:Choice Requires="x15">
      <x15ac:absPath xmlns:x15ac="http://schemas.microsoft.com/office/spreadsheetml/2010/11/ac" url="https://mmbonline-my.sharepoint.com/personal/tomasek_martin_brno_cz/Documents/Plocha/"/>
    </mc:Choice>
  </mc:AlternateContent>
  <xr:revisionPtr revIDLastSave="0" documentId="11_68AF56DB9F79C7EB446D6D6A496AF788A04411DB" xr6:coauthVersionLast="47" xr6:coauthVersionMax="47" xr10:uidLastSave="{00000000-0000-0000-0000-000000000000}"/>
  <bookViews>
    <workbookView xWindow="-120" yWindow="-120" windowWidth="29040" windowHeight="15720" xr2:uid="{00000000-000D-0000-FFFF-FFFF00000000}"/>
  </bookViews>
  <sheets>
    <sheet name="Krycí list" sheetId="1" r:id="rId1"/>
    <sheet name="D.1.2.6 Soupis prací s VV" sheetId="2" r:id="rId2"/>
  </sheets>
  <definedNames>
    <definedName name="__xlnm.Print_Area_2">'D.1.2.6 Soupis prací s VV'!$B$1:$I$3</definedName>
    <definedName name="_xlnm.Print_Titles" localSheetId="1">'D.1.2.6 Soupis prací s VV'!$3:$3</definedName>
    <definedName name="_xlnm.Print_Area" localSheetId="1">'D.1.2.6 Soupis prací s VV'!$B$1:$I$147</definedName>
    <definedName name="_xlnm.Print_Area" localSheetId="0">'Krycí list'!$A$2:$D$26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0" i="2" l="1"/>
  <c r="G17" i="2" l="1"/>
  <c r="G11" i="2"/>
  <c r="G14" i="2" l="1"/>
  <c r="G98" i="2" l="1"/>
  <c r="G86" i="2"/>
  <c r="G70" i="2"/>
  <c r="G52" i="2"/>
  <c r="G73" i="2" s="1"/>
  <c r="G30" i="2"/>
  <c r="G36" i="2"/>
  <c r="A15" i="1"/>
  <c r="G5" i="2"/>
  <c r="G8" i="2"/>
  <c r="C12" i="1"/>
  <c r="C13" i="1"/>
  <c r="C14" i="1"/>
  <c r="C15" i="1"/>
  <c r="C16" i="1"/>
  <c r="G133" i="2"/>
  <c r="D12" i="1" s="1"/>
  <c r="G24" i="2"/>
  <c r="G27" i="2" s="1"/>
  <c r="G43" i="2" l="1"/>
  <c r="G58" i="2"/>
  <c r="G64" i="2"/>
  <c r="G126" i="2"/>
  <c r="A14" i="1" l="1"/>
  <c r="G101" i="2"/>
  <c r="G104" i="2" s="1"/>
  <c r="G95" i="2" l="1"/>
  <c r="G80" i="2"/>
  <c r="G89" i="2"/>
  <c r="G92" i="2" s="1"/>
  <c r="G77" i="2"/>
  <c r="G83" i="2" l="1"/>
  <c r="G111" i="2"/>
  <c r="G39" i="2" l="1"/>
  <c r="G120" i="2" s="1"/>
  <c r="B14" i="1" l="1"/>
  <c r="G49" i="2" l="1"/>
  <c r="G46" i="2"/>
  <c r="G114" i="2" l="1"/>
  <c r="A13" i="1" l="1"/>
  <c r="B5" i="2" l="1"/>
  <c r="G55" i="2" l="1"/>
  <c r="B8" i="2" l="1"/>
  <c r="B11" i="2" l="1"/>
  <c r="B14" i="2" l="1"/>
  <c r="B17" i="2" l="1"/>
  <c r="B20" i="2" s="1"/>
  <c r="B24" i="2" l="1"/>
  <c r="B27" i="2" s="1"/>
  <c r="G67" i="2"/>
  <c r="G61" i="2" l="1"/>
  <c r="G108" i="2" s="1"/>
  <c r="G145" i="2" l="1"/>
  <c r="G142" i="2"/>
  <c r="A12" i="1" l="1"/>
  <c r="G33" i="2" l="1"/>
  <c r="G123" i="2" s="1"/>
  <c r="G117" i="2" s="1"/>
  <c r="B30" i="2" l="1"/>
  <c r="B33" i="2" l="1"/>
  <c r="B36" i="2" s="1"/>
  <c r="B39" i="2" s="1"/>
  <c r="B12" i="1"/>
  <c r="D15" i="1"/>
  <c r="D16" i="1"/>
  <c r="B43" i="2" l="1"/>
  <c r="B46" i="2" s="1"/>
  <c r="B49" i="2" l="1"/>
  <c r="B52" i="2" s="1"/>
  <c r="B55" i="2" l="1"/>
  <c r="B58" i="2" s="1"/>
  <c r="B61" i="2" l="1"/>
  <c r="B64" i="2" s="1"/>
  <c r="B67" i="2" s="1"/>
  <c r="B7" i="1"/>
  <c r="B70" i="2" l="1"/>
  <c r="B73" i="2" s="1"/>
  <c r="B77" i="2" s="1"/>
  <c r="B80" i="2" s="1"/>
  <c r="B83" i="2" s="1"/>
  <c r="B86" i="2" s="1"/>
  <c r="B89" i="2" s="1"/>
  <c r="B92" i="2" s="1"/>
  <c r="B95" i="2" s="1"/>
  <c r="B98" i="2" s="1"/>
  <c r="B101" i="2" s="1"/>
  <c r="B104" i="2" s="1"/>
  <c r="C11" i="1"/>
  <c r="G130" i="2" l="1"/>
  <c r="D11" i="1" l="1"/>
  <c r="G136" i="2" l="1"/>
  <c r="D13" i="1" s="1"/>
  <c r="G139" i="2" l="1"/>
  <c r="D14" i="1" s="1"/>
  <c r="D17" i="1" l="1"/>
  <c r="A11" i="1" l="1"/>
  <c r="D25" i="1" l="1"/>
  <c r="B11" i="1" l="1"/>
  <c r="B15" i="1" l="1"/>
  <c r="B108" i="2"/>
  <c r="B111" i="2" s="1"/>
  <c r="B13" i="1"/>
  <c r="B114" i="2" l="1"/>
  <c r="B117" i="2" s="1"/>
  <c r="B120" i="2" s="1"/>
  <c r="B123" i="2" s="1"/>
  <c r="B126" i="2" s="1"/>
  <c r="B130" i="2" l="1"/>
  <c r="B133" i="2" s="1"/>
  <c r="B136" i="2" s="1"/>
  <c r="B17" i="1"/>
  <c r="B19" i="1" s="1"/>
  <c r="B20" i="1" s="1"/>
  <c r="B22" i="1" s="1"/>
  <c r="B139" i="2" l="1"/>
  <c r="B142" i="2" s="1"/>
  <c r="B145" i="2" s="1"/>
</calcChain>
</file>

<file path=xl/sharedStrings.xml><?xml version="1.0" encoding="utf-8"?>
<sst xmlns="http://schemas.openxmlformats.org/spreadsheetml/2006/main" count="287" uniqueCount="193">
  <si>
    <t>Datum:</t>
  </si>
  <si>
    <t>ROZPOČTOVÉ NÁKLADY</t>
  </si>
  <si>
    <t>Jméno:</t>
  </si>
  <si>
    <t>Podpis, razítko:</t>
  </si>
  <si>
    <t>Základ pro DPH</t>
  </si>
  <si>
    <t>Zadavatel:</t>
  </si>
  <si>
    <t>MJ</t>
  </si>
  <si>
    <t>Cena celkem</t>
  </si>
  <si>
    <t>m</t>
  </si>
  <si>
    <t>Cena MJ</t>
  </si>
  <si>
    <t>Zpracovatel:</t>
  </si>
  <si>
    <t>Hlavní části stavby:</t>
  </si>
  <si>
    <t>CENA ZA STAVBU CELKEM</t>
  </si>
  <si>
    <t>Celkem hlavní části stavby:</t>
  </si>
  <si>
    <t>Ostatní náklady stavby</t>
  </si>
  <si>
    <t>Ing. Ondřej Holý</t>
  </si>
  <si>
    <t>DPH 21%</t>
  </si>
  <si>
    <t>Ostatní náklady stavby:</t>
  </si>
  <si>
    <t>Název stavby:</t>
  </si>
  <si>
    <t>Č.</t>
  </si>
  <si>
    <t>Celkem ostatní části stavby:</t>
  </si>
  <si>
    <t>Vypracoval:</t>
  </si>
  <si>
    <r>
      <t>m</t>
    </r>
    <r>
      <rPr>
        <vertAlign val="superscript"/>
        <sz val="9"/>
        <rFont val="Calibri"/>
        <family val="2"/>
        <charset val="238"/>
        <scheme val="minor"/>
      </rPr>
      <t>2</t>
    </r>
  </si>
  <si>
    <t>Geodetické práce před výstavbou</t>
  </si>
  <si>
    <t>soubor</t>
  </si>
  <si>
    <t>Geodetické práce po výstavbě</t>
  </si>
  <si>
    <t>Vybavení staveniště, přenosné zdroje, zabezpečení staveniště, sociální zařízení, včetně jeho odstranění</t>
  </si>
  <si>
    <t>Projektová dokumentace skutečného provedení stavby - DSPS</t>
  </si>
  <si>
    <t>Geotechnický dozor stavby</t>
  </si>
  <si>
    <t>Přípravné a přidružené práce a dočasné zajištění staveniště</t>
  </si>
  <si>
    <t>Geotechnika Holý</t>
  </si>
  <si>
    <t>agreg.</t>
  </si>
  <si>
    <t>Trny z oceli prováděné horolezeckou technikou, zainjektované cem. maltou - statická zatěžovací zkouška</t>
  </si>
  <si>
    <t>Zhotovení nátěru ocelových konstrukcí třídy I, jednosložkového, krycího (vrchního), tloušťky do 40 μm</t>
  </si>
  <si>
    <t xml:space="preserve">Montáž ocelové sítě na skalní stěnu prováděná horolezeckou technikou   </t>
  </si>
  <si>
    <t>Montáž ocelového lana pro uchycení sítě, prováděná horolezeckou technikou, pr. do 10 mm</t>
  </si>
  <si>
    <t>Lano ocelové, šestipramenné 6 x 19 drátů, pozinkované, 1 770 Mpa, D 10 mm</t>
  </si>
  <si>
    <r>
      <t>m</t>
    </r>
    <r>
      <rPr>
        <vertAlign val="superscript"/>
        <sz val="9"/>
        <rFont val="Calibri"/>
        <family val="2"/>
        <charset val="238"/>
        <scheme val="minor"/>
      </rPr>
      <t>3</t>
    </r>
  </si>
  <si>
    <t>012103000</t>
  </si>
  <si>
    <t>012303000</t>
  </si>
  <si>
    <t>013254000</t>
  </si>
  <si>
    <t>041503000</t>
  </si>
  <si>
    <t>030001000</t>
  </si>
  <si>
    <t>Přesuny hmot</t>
  </si>
  <si>
    <t>Nakládání suti a vybouraných hmot na dopravní prostředek, pro vodorovné přemístění</t>
  </si>
  <si>
    <t>t</t>
  </si>
  <si>
    <t>tkm</t>
  </si>
  <si>
    <t>Lano ocelové, šestipramenné 6 x 19 drátů, pozinkované, 1 770 Mpa, D 8 mm</t>
  </si>
  <si>
    <t>Zhotovení nátěru ocelových konstrukcí třídy I jednosložkového základního, tloušťky do 40 μm</t>
  </si>
  <si>
    <t>Ocelové pZn lano min. pr. 10 mm, šestipramenné, 114 drátů (6 x 19 WSC), třídy pevnosti 1 770 Mpa, jmenovité únosnosti min. 64 kN.</t>
  </si>
  <si>
    <t>Pol. 155211112</t>
  </si>
  <si>
    <t>Statická zatěžovací zkouška provedena na geotechnikem vytipovaných místech ve skalní stěně, vytržením.</t>
  </si>
  <si>
    <t>Vnitrostaveništní manipulace a přesuny použitých stavebních materiálů.</t>
  </si>
  <si>
    <t>Geodetické zaměření skutečného provedení stavby po jejím dokončení.</t>
  </si>
  <si>
    <t>Jednotná dodávka souboru prací</t>
  </si>
  <si>
    <t>Jednotná dodávka souboru prací, dáno vyhláškou</t>
  </si>
  <si>
    <t>Přesná specifikace materiálů a postupu prací viz vyhláška č. 405/2017 Sb.</t>
  </si>
  <si>
    <t>Předpokládaná plocha, potřebná k umístění zařízení staveniště.</t>
  </si>
  <si>
    <t>Cenová soustava</t>
  </si>
  <si>
    <t>Množství</t>
  </si>
  <si>
    <t>-</t>
  </si>
  <si>
    <t>R-položka</t>
  </si>
  <si>
    <t>Kód
položky</t>
  </si>
  <si>
    <t>Název, výpočet a technická specifikace položky</t>
  </si>
  <si>
    <t>R-997013873-2</t>
  </si>
  <si>
    <t>R-997013873-1</t>
  </si>
  <si>
    <r>
      <t>Pol. 112155315 * prům. obj. hmot. dřevní štěpky 0,008 t/m</t>
    </r>
    <r>
      <rPr>
        <i/>
        <vertAlign val="superscript"/>
        <sz val="9"/>
        <rFont val="Calibri"/>
        <family val="2"/>
        <charset val="238"/>
        <scheme val="minor"/>
      </rPr>
      <t>3</t>
    </r>
    <r>
      <rPr>
        <i/>
        <sz val="9"/>
        <rFont val="Calibri"/>
        <family val="2"/>
        <charset val="238"/>
        <scheme val="minor"/>
      </rPr>
      <t>; zaokr. na 0,01 t</t>
    </r>
  </si>
  <si>
    <t>R-997013873-3</t>
  </si>
  <si>
    <t>Dozor geotechnika zhotovitele k provádění prací a přímá koordinace postupu a reakce na geotechnické podmínky stavby. Zodpovědná osoba splňující kvalifikační předpoklady geotechnického dozoru.</t>
  </si>
  <si>
    <t>Geomatrace trojrozměrné, protierozní</t>
  </si>
  <si>
    <t>Montáž ocelového pZn lana min. pr. 10 mm pro vlastní uchycení sítě po obvodu síťované plochy a montáž ocelového pZn lana min. pr. 8 mm pro vzájemné spojení jednotlivých pásů sítě, včetně manipulace s lanem, montáže a dodání spojovacího materiálu.</t>
  </si>
  <si>
    <t>(Lano pro vzájemné spojení jednotlivých pásů sítě pol. 155214111 * koef. 0,35) * 1,2 ztratné na prořezy, překryvy a zpět. ohnutí; zaokr. na celý m</t>
  </si>
  <si>
    <t>Montáž geomříže na skalní stěnu prováděná horolezeckou technikou</t>
  </si>
  <si>
    <r>
      <t>Pol. 155214112 * 1,2 ztratné na překryvy, prořezy a zpětné ohnutí; zaokr. na celý m</t>
    </r>
    <r>
      <rPr>
        <i/>
        <vertAlign val="superscript"/>
        <sz val="9"/>
        <rFont val="Calibri"/>
        <family val="2"/>
        <charset val="238"/>
        <scheme val="minor"/>
      </rPr>
      <t>2</t>
    </r>
  </si>
  <si>
    <t>Nakládání vytěženého materiálu, který nemá v ceně započtenou nakládku.</t>
  </si>
  <si>
    <t>Stavebník:</t>
  </si>
  <si>
    <t>Montáž pásů protierozní extrudované PP georohože, včetně rozvinutí a vytažení na skalní stěnu. Protierozní georohož bude podložena pod ocelovou síť v místech výskytu nesoudržného pokryvu a zvětralejších partií, náchylných k propadu skrz oka sítě, či erozi.</t>
  </si>
  <si>
    <t>ks</t>
  </si>
  <si>
    <t>Pokládka ochranných gumových plátů, včetně jejich odstranění po dokončení stavby</t>
  </si>
  <si>
    <t>Demontáž dočasné záchytné k-ce po dokončení stavby. Za realizaci a také odstranění po dokončení stavby je zodpovědný dodavatel sanačních prací.</t>
  </si>
  <si>
    <t>Trny z injekčních zavrtávacích tyčí prováděné horolezeckou technikou zainjektované cem. maltou pr. 32 mm včetně vrtů přenosnými vrtacími kladivy na ztracenou korunku průměru 51 mm, délky přes 2 do 3 m</t>
  </si>
  <si>
    <t>R-998003111</t>
  </si>
  <si>
    <t>Přesun hmot pro záchytné a ochranné konstrukce, ocelové sítě, kotvy, mikropiloty a injektování</t>
  </si>
  <si>
    <t>Očištění skalních ploch horolezeckou technikou odstranění vegetace, včetně stažení k zemi, odklizení na hromady na vzdálenost do 50 m nebo na naložení na dopravní prostředek keřů a stromů do průměru 10 cm</t>
  </si>
  <si>
    <t>Štěpkování s naložením na dopravní prostředek a odvozem do 20 km keřového porostu hustého</t>
  </si>
  <si>
    <t>Očištění skalních ploch horolezeckou technikou očištění ručními nástroji (motykami, páčidly)</t>
  </si>
  <si>
    <t>Odtěžení nestabilních hornin ze skalních stěn horolezeckou technikou s přehozením na vzdálenost do 3 m nebo s naložením na dopravní prostředek s použitím pneumatického nářadí</t>
  </si>
  <si>
    <r>
      <t>Pol. 155214111 * 1,2 ztratné na překryvy, prořezy a zpětné ohnutí; zaokr. na celý m</t>
    </r>
    <r>
      <rPr>
        <i/>
        <vertAlign val="superscript"/>
        <sz val="9"/>
        <rFont val="Calibri"/>
        <family val="2"/>
        <charset val="238"/>
        <scheme val="minor"/>
      </rPr>
      <t>2</t>
    </r>
  </si>
  <si>
    <r>
      <t>Hlavní dvouzákrutová, ocelová síť bude částečné doplněna (podložena) protierozní extrudovanou PP georohoží černé barvy, tl. do 13 mm s plošnou hmotností min. 500 g/m</t>
    </r>
    <r>
      <rPr>
        <i/>
        <vertAlign val="superscript"/>
        <sz val="9"/>
        <rFont val="Calibri"/>
        <family val="2"/>
        <charset val="238"/>
        <scheme val="minor"/>
      </rPr>
      <t>2</t>
    </r>
    <r>
      <rPr>
        <i/>
        <sz val="9"/>
        <rFont val="Calibri"/>
        <family val="2"/>
        <charset val="238"/>
        <scheme val="minor"/>
      </rPr>
      <t>, hustotou min. 900 kg/m</t>
    </r>
    <r>
      <rPr>
        <i/>
        <vertAlign val="superscript"/>
        <sz val="9"/>
        <rFont val="Calibri"/>
        <family val="2"/>
        <charset val="238"/>
        <scheme val="minor"/>
      </rPr>
      <t>3</t>
    </r>
    <r>
      <rPr>
        <i/>
        <sz val="9"/>
        <rFont val="Calibri"/>
        <family val="2"/>
        <charset val="238"/>
        <scheme val="minor"/>
      </rPr>
      <t xml:space="preserve"> a bodem tání 150 °C.</t>
    </r>
  </si>
  <si>
    <t>R-944511811</t>
  </si>
  <si>
    <t>Poplatek za uložení stavebního odpadu na recyklační skládce (skládkovné), zatříděného do Katalogu odpadů pod kódem 20 02 01: Biologicky rozložitelný odpad, nekontaminované (PAŘEZY)</t>
  </si>
  <si>
    <t>Poplatek za uložení stavebního odpadu na recyklační skládce (skládkovné), zatříděného do Katalogu odpadů pod kódem 20 02 01: Biologicky rozložitelný odpad, nekontaminované (DŘEVNÍ ŠTĚPKA)</t>
  </si>
  <si>
    <t>Poplatek za uložení stavebního odpadu na recyklační skládce (skládkovné), zatříděného do Katalogu odpadů pod kódem 17 05 04: Zemina a kamení neuvedené pod č. 17 05 03, nekontaminované (ZEMITĚ-KAMENITÁ SUŤ Z OCIŠTĚNÍ A ODTĚŽENÍ SKALNÍHO MASIVU A ODKOPÁVEK)</t>
  </si>
  <si>
    <t>Ocelové pZn lano min. pr. 8 mm, šestipramenné, 114 drátů (6 x 19 WSC), třídy pevnosti 1 770 Mpa, jmenovité únosnosti min. 41 kN.</t>
  </si>
  <si>
    <t>Zajištění skalního svahu ocelovou sítí 80 x 100 mm</t>
  </si>
  <si>
    <r>
      <t xml:space="preserve">Všechny kotevní prvky budou opatřeny PKO ještě před instalací do vrtu, přičemž přetažení systému PKO do vrtu bude min. 200 mm. Způsob a provedení PKO kotevních prvků bude dle ČSN EN 1537. </t>
    </r>
    <r>
      <rPr>
        <i/>
        <u/>
        <sz val="9"/>
        <rFont val="Calibri"/>
        <family val="2"/>
        <charset val="238"/>
        <scheme val="minor"/>
      </rPr>
      <t>Krycí (vrchní) vrstvy PKO budou provedeny v černě barvě.</t>
    </r>
  </si>
  <si>
    <r>
      <t xml:space="preserve">Všechny kotevní prvky budou opatřeny PKO ještě před instalací do vrtu. Základní nátěr musí být proveden dílensky, štětcem a na celý ocelový profil. Způsob a provedení PKO kotevních prvků bude dle ČSN EN 1537. </t>
    </r>
    <r>
      <rPr>
        <i/>
        <u/>
        <sz val="9"/>
        <rFont val="Calibri"/>
        <family val="2"/>
        <charset val="238"/>
        <scheme val="minor"/>
      </rPr>
      <t>Minimální projektem požadovaná PKO všech prvků je 245 g/m</t>
    </r>
    <r>
      <rPr>
        <i/>
        <u/>
        <vertAlign val="superscript"/>
        <sz val="9"/>
        <rFont val="Calibri"/>
        <family val="2"/>
        <charset val="238"/>
        <scheme val="minor"/>
      </rPr>
      <t>2</t>
    </r>
    <r>
      <rPr>
        <i/>
        <u/>
        <sz val="9"/>
        <rFont val="Calibri"/>
        <family val="2"/>
        <charset val="238"/>
        <scheme val="minor"/>
      </rPr>
      <t>.</t>
    </r>
  </si>
  <si>
    <t>V projektem vymezených rozsazích budou pomocí horolezecké techniky odstraněny křoviny a nálet s odstraněním kořenového systému. Ten bude ponechán pouze v místech, kde by mělo odstranění negativní vliv na celistvost horniny skalního masivu. Mimo strmých skalních stěn je skalní svah v současné době celoplošně porostlý křovinami a náletem.</t>
  </si>
  <si>
    <t>ÚRS 2024/II</t>
  </si>
  <si>
    <t>Odvoz suti a vybouraných hmot na skládku nebo meziskládku se složením, na vzdálenost do 1 km</t>
  </si>
  <si>
    <t>Příplatek k ceně za odvoz suti a vybouraných hmot na skládku nebo meziskládku, ZKD 1 km přes 1 km</t>
  </si>
  <si>
    <r>
      <t>35 % z pol. 155214111; zaokr. na celý m</t>
    </r>
    <r>
      <rPr>
        <i/>
        <vertAlign val="superscript"/>
        <sz val="9"/>
        <rFont val="Calibri"/>
        <family val="2"/>
        <charset val="238"/>
        <scheme val="minor"/>
      </rPr>
      <t>2</t>
    </r>
  </si>
  <si>
    <t>Pol. R-997013873-1 + R-997013873-3</t>
  </si>
  <si>
    <t xml:space="preserve">Vodorovná doprava vytěženého materiálu (zemina a kamení) a pařezů silničními vozidly na vzdálenost 1 km. Pol. 112155315 (štěpkování) zahrnuje dopravu do 20 km, proto není v této položce uvažováno s její dopravou. </t>
  </si>
  <si>
    <r>
      <rPr>
        <b/>
        <i/>
        <sz val="10"/>
        <rFont val="Calibri"/>
        <family val="2"/>
        <charset val="238"/>
      </rPr>
      <t>Počet stránek:</t>
    </r>
    <r>
      <rPr>
        <sz val="10"/>
        <rFont val="Calibri"/>
        <family val="2"/>
        <charset val="238"/>
      </rPr>
      <t xml:space="preserve"> 8</t>
    </r>
  </si>
  <si>
    <t>PD a AD k provedení sanace na pozemku p. č. 812/1 v k. ú. Komín</t>
  </si>
  <si>
    <t>Statutární město Brno, Dominikánské náměstí 196/1, 602 00 Brno - město</t>
  </si>
  <si>
    <t>Odstranění vegetace, očištění a odtěžení skalního svahu</t>
  </si>
  <si>
    <t>Ochrana kmene bedněním před poškozením stavebním provozem, zřízení včetně odstranění, výšky bednění přes 2 do 3 m, průměru kmene přes 300 do 500 mm</t>
  </si>
  <si>
    <r>
      <rPr>
        <i/>
        <u/>
        <sz val="9"/>
        <rFont val="Calibri"/>
        <family val="2"/>
        <charset val="238"/>
        <scheme val="minor"/>
      </rPr>
      <t>V průběhu stavby nesmí dojít k poškození stávajících konstrukcí, nacházejících se pod skalním svahem.</t>
    </r>
    <r>
      <rPr>
        <i/>
        <sz val="9"/>
        <rFont val="Calibri"/>
        <family val="2"/>
        <charset val="238"/>
        <scheme val="minor"/>
      </rPr>
      <t xml:space="preserve"> Jedná se především o manipulační asfaltovou plochu, včetně všech provozních objektů a dalších zpevněných či jiných ploch, které jsou jejich součástí. V době a v místě provádění stavebních prací (čištění a odtěžování skalního masivu) budou tyto konstrukce a plochy, před mechanickým poškozením při pádu horniny, chráněny gumovými pláty. Polohu upřesní geotechnik stavby nebo projektant na místě. Dočasné zajištění podrobně viz část D.1.2.1 Technická zpráva.</t>
    </r>
  </si>
  <si>
    <t>Odborný odhad na základě návštěvy lokality: 3 ks</t>
  </si>
  <si>
    <t>Mechanické odstranění pařezů, které by znemožňovaly instalaci technických sanačních prvků. Ponechány budou pouze v místech, kde by mělo odstranění negativní vliv na celistvost horniny skalního masivu. Pařezy budou naloženy, odvezeny a zákonně zlikvidovány v příslušném zařízení. Nakládání s odpady podrobně viz část B Souhrnná technická zpráva. Poplatek za skládku viz pol. R-997013873-3.</t>
  </si>
  <si>
    <r>
      <rPr>
        <i/>
        <u/>
        <sz val="9"/>
        <rFont val="Calibri"/>
        <family val="2"/>
        <charset val="238"/>
        <scheme val="minor"/>
      </rPr>
      <t>V průběhu stavby nesmí dojít k poškození stávajících, okolních stromů, které budou zachovány.</t>
    </r>
    <r>
      <rPr>
        <i/>
        <sz val="9"/>
        <rFont val="Calibri"/>
        <family val="2"/>
        <charset val="238"/>
        <scheme val="minor"/>
      </rPr>
      <t xml:space="preserve"> V době a v místě provádění stavebních prací (čištění a odtěžování skalního masivu) budou tyto stromy před mechanickým poškozením při pádu horniny, chráněny dřevěným obedněním. Polohu upřesní geotechnik  stavby nebo projektant na místě. Dočasné zajištění podrobně viz část D.1.2.1 Technická zpráva.</t>
    </r>
  </si>
  <si>
    <t>Během realizace budou keře a nálet na místě zpracovány štěpkováním. Dřevní štěpka bude naložena, odvezena a zákonně zlikvidována v příslušném zařízení. Nakládání s odpady podrobně viz část B Souhrnná technická zpráva. Poplatek za skládku viz pol. R-997013873-2.</t>
  </si>
  <si>
    <t>Odstranění svahových pokryvů a povrchově narušených částí čištěných skalních ploch bude realizováno horolezeckým způsobem, pomocí ručního nářadí, případně také pomocí pneumatického nářadí. Veškeré odtěžené hmoty budou charakteru kamenité suti. Nakládání s odpady podrobně viz část B Souhrnná technická zpráva. Poplatek za skládku viz pol. R-997013873-1.</t>
  </si>
  <si>
    <r>
      <t>Odtěžení nestabilních bloků o objemu do cca 1,5 m</t>
    </r>
    <r>
      <rPr>
        <i/>
        <vertAlign val="superscript"/>
        <sz val="9"/>
        <rFont val="Calibri"/>
        <family val="2"/>
        <charset val="238"/>
        <scheme val="minor"/>
      </rPr>
      <t>3</t>
    </r>
    <r>
      <rPr>
        <i/>
        <sz val="9"/>
        <rFont val="Calibri"/>
        <family val="2"/>
        <charset val="238"/>
        <scheme val="minor"/>
      </rPr>
      <t xml:space="preserve">, které jsou výrazně postiženy zvětráním a plochami odlučnosti bude provedeno horolezeckým způsobem s použitím ručního a pneumatického nářadí (páčidla, sbíječky). </t>
    </r>
    <r>
      <rPr>
        <i/>
        <u/>
        <sz val="9"/>
        <rFont val="Calibri"/>
        <family val="2"/>
        <charset val="238"/>
        <scheme val="minor"/>
      </rPr>
      <t>O způsobu a rozsahu odtěžení rozhodne na místě geotechnik stavby nebo projektant</t>
    </r>
    <r>
      <rPr>
        <i/>
        <sz val="9"/>
        <rFont val="Calibri"/>
        <family val="2"/>
        <charset val="238"/>
        <scheme val="minor"/>
      </rPr>
      <t>, dle aktuálně zastižených geologických podmínek. Veškeré odtěžené hmoty budou charakteru kamenité suti. Nakládání s odpady podrobně viz část B Souhrnná technická zpráva. Poplatek za skládku viz pol. R-997013873-1.</t>
    </r>
  </si>
  <si>
    <r>
      <t>Odborný odhad na základě návštěvy lokality: 6,5 m</t>
    </r>
    <r>
      <rPr>
        <i/>
        <vertAlign val="superscript"/>
        <sz val="9"/>
        <rFont val="Calibri"/>
        <family val="2"/>
        <charset val="238"/>
        <scheme val="minor"/>
      </rPr>
      <t>3</t>
    </r>
  </si>
  <si>
    <t>Montáž pásů ocelové sítě, včetně rozvinutí a vytažení na skalní stěnu, jejich spojení předepsaným spojovacím materiálem, včetně jeho dodání a přitažení podložek a matic na ocelové trny.</t>
  </si>
  <si>
    <t>Síť na skálu s oky 80 x 100 mm povrch ZnAl D 2,7 mm s vpleteným lanem po 1000 mm</t>
  </si>
  <si>
    <t>R-31319090</t>
  </si>
  <si>
    <t>Dvouzákrutová, ocelová ZnAl síť s oky 80 x 100 mm s výrobně podélně vpletenými lany pr. 8 mm, po 1,0 m. Tahová pevnost sítě min. 50 kN/m, tahová pevnost pásu sítě min. 219 kN. Drát pletiva min. pr. 2,7 mm, tahová pevnost 350 - 550 Mpa.</t>
  </si>
  <si>
    <r>
      <t>((Pl. 1 mb tyče 0,102139 m² * koef. zohledňující závit 1,3 * dl. nátěru kotev. prvku 2,5 m * pol. 155213612) + (pl. podložky 0,0498 m</t>
    </r>
    <r>
      <rPr>
        <i/>
        <vertAlign val="superscript"/>
        <sz val="9"/>
        <rFont val="Calibri"/>
        <family val="2"/>
        <charset val="238"/>
        <scheme val="minor"/>
      </rPr>
      <t>2</t>
    </r>
    <r>
      <rPr>
        <i/>
        <sz val="9"/>
        <rFont val="Calibri"/>
        <family val="2"/>
        <charset val="238"/>
        <scheme val="minor"/>
      </rPr>
      <t xml:space="preserve"> * pol. 155213612)) * 1,2 ztratné; zaokr. na celý m</t>
    </r>
    <r>
      <rPr>
        <i/>
        <vertAlign val="superscript"/>
        <sz val="9"/>
        <rFont val="Calibri"/>
        <family val="2"/>
        <charset val="238"/>
        <scheme val="minor"/>
      </rPr>
      <t>2</t>
    </r>
  </si>
  <si>
    <r>
      <t>((Pl. 1 mb tyče 0,102139 m² * koef. zohledňující závit 1,3 * dl. nátěru kotev. prvku 0,4 m * pol. 155213612) + (pl. podložky 0,0498 m</t>
    </r>
    <r>
      <rPr>
        <i/>
        <vertAlign val="superscript"/>
        <sz val="9"/>
        <rFont val="Calibri"/>
        <family val="2"/>
        <charset val="238"/>
        <scheme val="minor"/>
      </rPr>
      <t>2</t>
    </r>
    <r>
      <rPr>
        <i/>
        <sz val="9"/>
        <rFont val="Calibri"/>
        <family val="2"/>
        <charset val="238"/>
        <scheme val="minor"/>
      </rPr>
      <t xml:space="preserve"> * pol. 155213612)) * počet vrstev 2 ks * 1,2 ztratné; zaokr. na celý m</t>
    </r>
    <r>
      <rPr>
        <i/>
        <vertAlign val="superscript"/>
        <sz val="9"/>
        <rFont val="Calibri"/>
        <family val="2"/>
        <charset val="238"/>
        <scheme val="minor"/>
      </rPr>
      <t>2</t>
    </r>
  </si>
  <si>
    <t>Zavrtávací injekční tyče z oceli 28Mn6 (580 MPa), min. pr. 32 mm, dl. min. 2,5 m pro kotvení sítí po obvodu, systémové a nesystémové kotvení. Základní rastr kotvení bude 2,0 x 2,0 m (H x V). Každá kotevní tyč bude dodána včetně příslušenství (spojníky, podložka 150 x 150 x 8 mm, matka).</t>
  </si>
  <si>
    <t>Odborný odhad geotechnika dle členitosti skalního svahu a četnosti, velikosti a šířky puklin: 2 ks</t>
  </si>
  <si>
    <t>Palisáda s dřevěnou výplní výšky 2,2 m</t>
  </si>
  <si>
    <t>R-224511116</t>
  </si>
  <si>
    <t>Maloprofilové vrty průběžným sacím vrtáním průměru přes 245 mm do úklonu 45° v hl 0 až 25 m v hornině tř. V a VI</t>
  </si>
  <si>
    <t>Pol. 151711111 * dl. vrtu 1,3 m; zaokr. nahoru na 0,1 m</t>
  </si>
  <si>
    <t>Osazení ocelových zápor do předem provedených vrtů, se zabetonováním spodního konce, s případným nutným obsypem zápory pískem, délky od 0 do 8 m</t>
  </si>
  <si>
    <t>Po osazení sloupu a vycentrování bude vrt zalit cementovou zálivkou v poměru cement / voda v rozmezí 2,5 - 2 / 1, pro kterou bude použit cement CEMII/B-M (V-LL) 32,5 R. Hloubka založení bude min. 1,3 m.</t>
  </si>
  <si>
    <t>Hloubení nezapažených jam ručně s urovnáním dna do předepsaného profilu a spádu v hornině třídy těžitelnosti I skupiny 3 nesoudržných</t>
  </si>
  <si>
    <r>
      <t>(Pol. 151711111 * rozměr bet. patky 0,5 * 0,5 * 0,7 m) * koef. nepravidelnosti výkopu 1,2; uvažováno s kombinací vrtu a patky v poměru cca 1/2 dl. patka + 1/2 dl. vrt; zaokr. nahoru na 0,1 m</t>
    </r>
    <r>
      <rPr>
        <i/>
        <vertAlign val="superscript"/>
        <sz val="9"/>
        <rFont val="Calibri"/>
        <family val="2"/>
        <charset val="238"/>
        <scheme val="minor"/>
      </rPr>
      <t>3</t>
    </r>
  </si>
  <si>
    <t>V místě realizace sloupu v zemním svahu, mělkém kvartérním krytu nebo v místech, kde se předpokládá rychlé zvětrání skalního svahu, budou sloupy založeny do betonových patek, respektive kombinace vrtu a betonové patky. Veškeré odtěžené hmoty budou charakteru zemitě-kamenité suti. Nakládání s odpady je podrobně zpracováno v části B Souhrnná technická zpráva. Poplatek za skládku viz pol. R-997013873-1.</t>
  </si>
  <si>
    <t>Základové konstrukce z betonu prostého patky a bloky ve výkopu z betonu třídy C 25/30, včetně dodání a uložení betonu do připravené konstrukce, hutnění, ošetření a ochrany čerstvě uloženého betonu</t>
  </si>
  <si>
    <t>Pol. 131213702</t>
  </si>
  <si>
    <t>V případě realizace základových patek bude použit beton třídy C25/30 XC2 a budou rozměru min. 0,5 x 0,5 x 0,7 m. Skutečný tvar bude dle provedení výkopu a aktuálně zastižených základových poměrů.</t>
  </si>
  <si>
    <t>R-151711111</t>
  </si>
  <si>
    <t>Pol. 151711111 * dl. sloupu 3,5 m</t>
  </si>
  <si>
    <t>Sloupy palisády budou z modifikovaných ocelových profilů HEA 160 z oceli S235JR, celkové délky min. 3,5 m a s nadzemní výškou min. 2,2 m. Do každého profilu sloupu bude z obou stran, přibližně 50 mm nad upraveným terénem, vevařen tyčový profil min. pr. 20 mm, na který bude osazena první kulatina výplně.</t>
  </si>
  <si>
    <r>
      <t xml:space="preserve">Všechny sloupy budou opatřeny PKO ještě před instalací do vrtu / betonové patky. Základní nátěr musí být proveden dílensky, štětcem a na celý ocelový profil. Způsob a provedení PKO kotevních prvků bude dle ČSN EN 1537. </t>
    </r>
    <r>
      <rPr>
        <i/>
        <u/>
        <sz val="9"/>
        <rFont val="Calibri"/>
        <family val="2"/>
        <charset val="238"/>
        <scheme val="minor"/>
      </rPr>
      <t>Minimální projektem požadovaná PKO všech prvků je 245 g/m</t>
    </r>
    <r>
      <rPr>
        <i/>
        <u/>
        <vertAlign val="superscript"/>
        <sz val="9"/>
        <rFont val="Calibri"/>
        <family val="2"/>
        <charset val="238"/>
        <scheme val="minor"/>
      </rPr>
      <t>2</t>
    </r>
    <r>
      <rPr>
        <i/>
        <u/>
        <sz val="9"/>
        <rFont val="Calibri"/>
        <family val="2"/>
        <charset val="238"/>
        <scheme val="minor"/>
      </rPr>
      <t>.</t>
    </r>
  </si>
  <si>
    <r>
      <t xml:space="preserve">Všechny sloupy budou opatřeny PKO ještě před instalací do vrtu / betonové patky, přičemž přetažení systému PKO do vrtu / betonové patky bude min. 200 mm. Způsob a provedení PKO kotevních prvků bude dle ČSN EN 1537. </t>
    </r>
    <r>
      <rPr>
        <i/>
        <u/>
        <sz val="9"/>
        <rFont val="Calibri"/>
        <family val="2"/>
        <charset val="238"/>
        <scheme val="minor"/>
      </rPr>
      <t>Krycí (vrchní) vrstvy PKO budou provedeny v černě barvě.</t>
    </r>
  </si>
  <si>
    <r>
      <t>(Pl. 1 mb sloupu 0,906 m² * pol. R-151711111) * 1,2 ztratné; zaokr. na celý m</t>
    </r>
    <r>
      <rPr>
        <i/>
        <vertAlign val="superscript"/>
        <sz val="9"/>
        <rFont val="Calibri"/>
        <family val="2"/>
        <charset val="238"/>
        <scheme val="minor"/>
      </rPr>
      <t>2</t>
    </r>
  </si>
  <si>
    <r>
      <t>(Pl. 1 mb sloupu 0,906 m² * dl. nátěru sloupu 2,5 m * pol. 151711111) * počet vrstev 2 ks * 1,2 ztratné; zaokr. na celý m</t>
    </r>
    <r>
      <rPr>
        <i/>
        <vertAlign val="superscript"/>
        <sz val="9"/>
        <rFont val="Calibri"/>
        <family val="2"/>
        <charset val="238"/>
        <scheme val="minor"/>
      </rPr>
      <t>2</t>
    </r>
  </si>
  <si>
    <t>Ocelová zápora z profilu HEA 160 (30,4 kg/m), kompletní dodávka na místo stavby</t>
  </si>
  <si>
    <t>R-339921144</t>
  </si>
  <si>
    <t>Pro výplň jednotlivých polí palisády bude použita soustružena kulatina pr. 120 mm, která bude ve sloupech náležitě ručně vyklínována. Kulatina bude výrobně tlakově impregnována syntetickým napouštěcím nátěrem proti dřevokazným houbám, hmyzu a plísním. V místě stavby bude pak aplikován dvojnásobný, syntetický lazurovací nátěr tesařských konstrukcí. První kulatina bude osazena na tyčový profil min. pr. 20 mm, vevařený do každého profilu sloupu z obou stran, přibližně 50 mm nad upraveným terénem. Další kulatiny budou podélně distancovány PVC podložkami tloušťky přibližně 15 mm.</t>
  </si>
  <si>
    <t>Preventivní napouštěcí nátěr tesařských prvků proti dřevokazným houbám, hmyzu a plísním zabudovaných do konstrukce jednonásobný syntetický</t>
  </si>
  <si>
    <t>Dřevěná kulatina bude výrobně tlakově impregnována syntetickým napouštěcím nátěrem proti dřevokazným houbám, hmyzu a plísním.</t>
  </si>
  <si>
    <t>Lazurovací nátěr tesařských konstrukcí dvojnásobný syntetický</t>
  </si>
  <si>
    <t>V místě stavby bude pak aplikován dvojnásobný, syntetický lazurovací nátěr tesařských konstrukcí.</t>
  </si>
  <si>
    <t>Pol. 783213111</t>
  </si>
  <si>
    <r>
      <t>(Pol. R-339921144 * pl. 1 mb dřevěné kulatiny 0,399611 m</t>
    </r>
    <r>
      <rPr>
        <i/>
        <vertAlign val="superscript"/>
        <sz val="9"/>
        <rFont val="Calibri"/>
        <family val="2"/>
        <charset val="238"/>
        <scheme val="minor"/>
      </rPr>
      <t>2</t>
    </r>
    <r>
      <rPr>
        <i/>
        <sz val="9"/>
        <rFont val="Calibri"/>
        <family val="2"/>
        <charset val="238"/>
        <scheme val="minor"/>
      </rPr>
      <t xml:space="preserve"> * dl. dřevěné kulatiny 3,0 m) * 1,2 ztratné; zaokr. na celý m</t>
    </r>
    <r>
      <rPr>
        <i/>
        <vertAlign val="superscript"/>
        <sz val="9"/>
        <rFont val="Calibri"/>
        <family val="2"/>
        <charset val="238"/>
        <scheme val="minor"/>
      </rPr>
      <t>2</t>
    </r>
  </si>
  <si>
    <t>V geodeticky vytyčených a geotechnikem stavby odsouhlasených liniích budou nejprve realizovány vrty pro sloupy palisády. Vrtání bude průběžným sacím vrtáním min. pr. 300 mm, hloubky min. 1,3 m a v osové vzdálenosti po cca 3,0 m.</t>
  </si>
  <si>
    <t>Dřevěná frézovaná kulatina středová D 120 mm, délky 3,0 m (8,5 kg/m), vakuotlakově impregnována, kompletní dodávka na místo stavby, včetně montáže</t>
  </si>
  <si>
    <t>Odstranění silničního betonového svodidla s naložením na dopravní prostředek délky 4 m, výšky 1,0 m</t>
  </si>
  <si>
    <t>Demontáž a odvoz dočasných betonových svodidel.</t>
  </si>
  <si>
    <t>Demontáž záchytné sítě vyvěšené přes ocelové lano na sloupky, včetně odstranění zavětrování</t>
  </si>
  <si>
    <r>
      <t xml:space="preserve">V rámci odstranění vzrostlé vegetace bude pomocí horolezecké techniky odstraněno i několik vzrostlých stromů. Během realizace bude dřevní hmota na místě zpracována štěpkováním a rozřezáním na manipulační díly. </t>
    </r>
    <r>
      <rPr>
        <i/>
        <u/>
        <sz val="9"/>
        <rFont val="Calibri"/>
        <family val="2"/>
        <charset val="238"/>
        <scheme val="minor"/>
      </rPr>
      <t>Kusové dřevo bude deponováno na pozemku stavebníka, kterému bude následně také předáno.</t>
    </r>
    <r>
      <rPr>
        <i/>
        <sz val="9"/>
        <rFont val="Calibri"/>
        <family val="2"/>
        <charset val="238"/>
        <scheme val="minor"/>
      </rPr>
      <t xml:space="preserve"> Dřevní štěpka z větví stromů bude naložena a odvezena na doporučenou skládku. Nakládání s odpady je podrobně zpracováno v části B Souhrnná technická zpráva. Poplatek za skládku viz pol. R-997013873-2.</t>
    </r>
  </si>
  <si>
    <t>012203000</t>
  </si>
  <si>
    <t>Geodetické práce při provádění stavby</t>
  </si>
  <si>
    <t>Geodetické zaměření v průběhu stavby.</t>
  </si>
  <si>
    <t>Geodetické zaměření a vytýčení inženýrsých sítí, projektovaných ploch a linií stavby.</t>
  </si>
  <si>
    <t>Odborný odhad na základě návštěvy lokality: 2 ks</t>
  </si>
  <si>
    <r>
      <t>Součtová dl. pokládky 22,0 m * prům. šířka plátu 1,0 m * 1,2 ztratné na prořezy a překryvy; zaokr. na celý m</t>
    </r>
    <r>
      <rPr>
        <i/>
        <vertAlign val="superscript"/>
        <sz val="9"/>
        <rFont val="Calibri"/>
        <family val="2"/>
        <charset val="238"/>
        <scheme val="minor"/>
      </rPr>
      <t>2</t>
    </r>
  </si>
  <si>
    <r>
      <t>75 % z (součtová pl. z půdorysu 327,0 m</t>
    </r>
    <r>
      <rPr>
        <i/>
        <vertAlign val="superscript"/>
        <sz val="9"/>
        <rFont val="Calibri"/>
        <family val="2"/>
        <charset val="238"/>
        <scheme val="minor"/>
      </rPr>
      <t>2</t>
    </r>
    <r>
      <rPr>
        <i/>
        <sz val="9"/>
        <rFont val="Calibri"/>
        <family val="2"/>
        <charset val="238"/>
        <scheme val="minor"/>
      </rPr>
      <t xml:space="preserve"> * koef. sklonu 2,13 * koef. členitosti 1,2); zaokr. na celý m</t>
    </r>
    <r>
      <rPr>
        <i/>
        <vertAlign val="superscript"/>
        <sz val="9"/>
        <rFont val="Calibri"/>
        <family val="2"/>
        <charset val="238"/>
        <scheme val="minor"/>
      </rPr>
      <t>2</t>
    </r>
  </si>
  <si>
    <r>
      <t>Odborný odhad na základě návštěvy lokality: 18,7 m</t>
    </r>
    <r>
      <rPr>
        <i/>
        <vertAlign val="superscript"/>
        <sz val="9"/>
        <rFont val="Calibri"/>
        <family val="2"/>
        <charset val="238"/>
        <scheme val="minor"/>
      </rPr>
      <t>3</t>
    </r>
  </si>
  <si>
    <r>
      <t>Součtová pl. z půdorysu 228,0 m² * koef. sklonu 2,13 * koef. členitosti 1,2; zaokr. na celý m</t>
    </r>
    <r>
      <rPr>
        <i/>
        <vertAlign val="superscript"/>
        <sz val="9"/>
        <rFont val="Calibri"/>
        <family val="2"/>
        <charset val="238"/>
        <scheme val="minor"/>
      </rPr>
      <t>2</t>
    </r>
  </si>
  <si>
    <t>(Součet horizont. dl. síťované pl. 49,0 m * koef. členitosti 1,2 / os. vzd. prvků 2,0 m + 2 ks krajní) + (součet vertikál. dl. síťované pl. 27,0 m * koef. členitosti 1,2 / os. vzd. prvků 2,0 m + 2 ks krajní) + (pol. 155214111 / (rastr 2,0 * 2,0 m) * 1,1 na prokopírování povrchu); zaokr. na celý ks</t>
  </si>
  <si>
    <t>(Součet horizont. a vertikal. dl. síťované pl. 76,0 m * koef. členitosti 1,2) + (lano pro vzájemné spojení jednotlivých pásů sítě pol. 155214111 * koef. 0,35); zaokr. na celý m</t>
  </si>
  <si>
    <t>Součet horizont. a vertikal. dl. síťované pl. 76,0 m * koef. členitosti 1,2 * 1,2 ztratné na prořezy, překryvy a zpět. ohnutí; zaokr. na celý m</t>
  </si>
  <si>
    <t>Součtová dl. palisády 42,0 m / osová vzd. sloupů 3,0 m + 1 ks krajní sloup; zaokr. na celý ks</t>
  </si>
  <si>
    <t>(Součtová dl. palisády 42 m / osová vzd. sloupů 3,0 m) * 16 ks kulatiny na jedno pole * 1,05 ztratné; zaokr. na celý ks</t>
  </si>
  <si>
    <r>
      <t>Odkopávky a prokopávky nezapažené strojně v hornině třídy těžitelnosti I skupiny 3 přes 20 do 50 m</t>
    </r>
    <r>
      <rPr>
        <vertAlign val="superscript"/>
        <sz val="9"/>
        <rFont val="Calibri"/>
        <family val="2"/>
        <charset val="238"/>
        <scheme val="minor"/>
      </rPr>
      <t>3</t>
    </r>
  </si>
  <si>
    <t>Rozebrání oplocení z dílců plechových vlnitých nebo profilovaných, hmotnosti 1 m oplocení přes 50 do 70 kg</t>
  </si>
  <si>
    <r>
      <t>Součtová dl. napadávky horniny 16,0 m * pl. odtěžení v řezu 1,35 m</t>
    </r>
    <r>
      <rPr>
        <i/>
        <vertAlign val="superscript"/>
        <sz val="9"/>
        <rFont val="Calibri"/>
        <family val="2"/>
        <charset val="238"/>
        <scheme val="minor"/>
      </rPr>
      <t>2</t>
    </r>
    <r>
      <rPr>
        <i/>
        <sz val="9"/>
        <rFont val="Calibri"/>
        <family val="2"/>
        <charset val="238"/>
        <scheme val="minor"/>
      </rPr>
      <t xml:space="preserve"> * koef. nepravidelnosti výkopu 1,2; zaokr. nahoru na celý m</t>
    </r>
    <r>
      <rPr>
        <i/>
        <vertAlign val="superscript"/>
        <sz val="9"/>
        <rFont val="Calibri"/>
        <family val="2"/>
        <charset val="238"/>
        <scheme val="minor"/>
      </rPr>
      <t>3</t>
    </r>
  </si>
  <si>
    <t>Součtová dl. zajištění bet. svodidly: 24,0 m</t>
  </si>
  <si>
    <r>
      <t>Pol. 911381823 * výška k-ce 2,0 m; zaokr. na celý m</t>
    </r>
    <r>
      <rPr>
        <i/>
        <vertAlign val="superscript"/>
        <sz val="9"/>
        <rFont val="Calibri"/>
        <family val="2"/>
        <charset val="238"/>
        <scheme val="minor"/>
      </rPr>
      <t>2</t>
    </r>
  </si>
  <si>
    <r>
      <t>((Pol. 155213612 + 155213511) * dl. kotev. prvku 2,5 m * hmot. mb tyče 0,0036 t) + (agreg. pol. č. 1 * hmot. m</t>
    </r>
    <r>
      <rPr>
        <i/>
        <vertAlign val="superscript"/>
        <sz val="9"/>
        <rFont val="Calibri"/>
        <family val="2"/>
        <charset val="238"/>
        <scheme val="minor"/>
      </rPr>
      <t>2</t>
    </r>
    <r>
      <rPr>
        <i/>
        <sz val="9"/>
        <rFont val="Calibri"/>
        <family val="2"/>
        <charset val="238"/>
        <scheme val="minor"/>
      </rPr>
      <t xml:space="preserve"> gum. plátu 0,012 t) + (pol. 184818242 * hmot. m</t>
    </r>
    <r>
      <rPr>
        <i/>
        <vertAlign val="superscript"/>
        <sz val="9"/>
        <rFont val="Calibri"/>
        <family val="2"/>
        <charset val="238"/>
        <scheme val="minor"/>
      </rPr>
      <t>2</t>
    </r>
    <r>
      <rPr>
        <i/>
        <sz val="9"/>
        <rFont val="Calibri"/>
        <family val="2"/>
        <charset val="238"/>
        <scheme val="minor"/>
      </rPr>
      <t xml:space="preserve"> dřev. obednění stromů 0,032 t) + (pol. 69321111 * hmot. m</t>
    </r>
    <r>
      <rPr>
        <i/>
        <vertAlign val="superscript"/>
        <sz val="9"/>
        <rFont val="Calibri"/>
        <family val="2"/>
        <charset val="238"/>
        <scheme val="minor"/>
      </rPr>
      <t>2</t>
    </r>
    <r>
      <rPr>
        <i/>
        <sz val="9"/>
        <rFont val="Calibri"/>
        <family val="2"/>
        <charset val="238"/>
        <scheme val="minor"/>
      </rPr>
      <t xml:space="preserve"> protierozní rohože 0,0006 t) + (pol. R-31319090 * hmot. m</t>
    </r>
    <r>
      <rPr>
        <i/>
        <vertAlign val="superscript"/>
        <sz val="9"/>
        <rFont val="Calibri"/>
        <family val="2"/>
        <charset val="238"/>
        <scheme val="minor"/>
      </rPr>
      <t>2</t>
    </r>
    <r>
      <rPr>
        <i/>
        <sz val="9"/>
        <rFont val="Calibri"/>
        <family val="2"/>
        <charset val="238"/>
        <scheme val="minor"/>
      </rPr>
      <t xml:space="preserve"> sítě 0,00177 t) + (pol. 31452106 * hmot. mb lana pr. 8 mm 0,00021 t) + (pol. 31452107 * hmot. mb lana pr. 10 mm 0,00032 t) + (pol. R-151711111 * hmot. mb sloupu 0,0304 t) + (pol. R-339921144 * dl. dřev. výplně 3,0 m * hmot. mb dřev. kulatiny 0,0085 t) + ((pol. 275311127 + injektážní hmoty 0,9 m</t>
    </r>
    <r>
      <rPr>
        <i/>
        <vertAlign val="superscript"/>
        <sz val="9"/>
        <rFont val="Calibri"/>
        <family val="2"/>
        <charset val="238"/>
        <scheme val="minor"/>
      </rPr>
      <t>3</t>
    </r>
    <r>
      <rPr>
        <i/>
        <sz val="9"/>
        <rFont val="Calibri"/>
        <family val="2"/>
        <charset val="238"/>
        <scheme val="minor"/>
      </rPr>
      <t>)* prům. obj. hmot. betonu 2,3 t/m³); zaokr. na 0,01 t</t>
    </r>
  </si>
  <si>
    <t>(Pol. 155211122 + 155211311) * prům. obj. hmot. 2,0 t/m³ + (pol. 122251102 + 131213702) * prům. obj. hmot. 1,9 t/m³; zaokr. na 0,01 t</t>
  </si>
  <si>
    <t>Pol. 155211122 * prům. obj. hmot. 2,0 t/m³ + pol. 131213702 * prům. obj. hmot. 1,9 t/m³; zaokr. na 0,01 t</t>
  </si>
  <si>
    <t>(Pol. R-997013873-1 + R-997013873-3) * 24 km + pol. R-997013873-2 * 5 km; zaokr. na 0,01 tkm</t>
  </si>
  <si>
    <t>Veškeré poplatky provozovateli skládky, recyklační linky nebo jiného zařízení na zpracování nebo likvidaci odpadů souvisejících s převzetím, uložením, zpracováním nebo likvidací odpadu. Projekt předpokládá skládku / recyklační centrum ve vzdálenosti do 25 km z místa stavby.</t>
  </si>
  <si>
    <t>Projekt předpokládá skládku / recyklační centrum ve vzdálenosti do 25 km z místa stavby.</t>
  </si>
  <si>
    <t>Pokácení stromu postupné se spouštěním částí kmene a koruny o průměru na řezné ploše pařezu přes 200 do 300 mm, včetně odklizení částí kmene a větví na vzdálenost do 20 m se složením na hromady nebo naložením na dopravní prostředek</t>
  </si>
  <si>
    <t>Odstranění pařezu ručně na svahu přes 1:1 o průměru pařezu na řezné ploše přes 200 do 300 mm, včetně odstranění náběhových kořenů, odklizení získaného dřeva na vzdálenost do 20 m, jeho složení na hromady nebo naložení na dopravní prostředek, zasypání jámy, doplnění zeminy, zhutnění a úpravy terénu</t>
  </si>
  <si>
    <t>65 % z pol. 112151352; zaokr. na celý ks</t>
  </si>
  <si>
    <r>
      <t>Prům. obj. pařezu 0,062832 * pol. 112211272 * prům. obj. hmot. dřevní hmoty 1,250 t/m</t>
    </r>
    <r>
      <rPr>
        <i/>
        <vertAlign val="superscript"/>
        <sz val="9"/>
        <rFont val="Calibri"/>
        <family val="2"/>
        <charset val="238"/>
        <scheme val="minor"/>
      </rPr>
      <t>3</t>
    </r>
    <r>
      <rPr>
        <i/>
        <sz val="9"/>
        <rFont val="Calibri"/>
        <family val="2"/>
        <charset val="238"/>
        <scheme val="minor"/>
      </rPr>
      <t>; zaokr. na 0,01 t</t>
    </r>
  </si>
  <si>
    <t>Odtěžení akumulačního prostoru za objektem plechového skladu / garáže, za stávajícím plechovým plotem. Odtěžení materiálu bude provedeno strojní, případně také ruční odkopávkou za přítomnosti geotechnika stavby nebo projektanta. Veškeré odtěžené hmoty budou charakteru zemitě-kamenité suti. Nakládání s odpady je podrobně zpracováno v části B Souhrnná technická zpráva. Poplatek za skládku viz pol. R-997013873-1.</t>
  </si>
  <si>
    <r>
      <t xml:space="preserve">Stávající plot z vlnitého plechu a ocelových sloupků za objektem plechového skladu / garáže bude po odtěžení napadané suti ručně demontován. Jednotlivá pole výplně budou demontována a ocelové sloupky budou odřezány úhlovou bruskou. </t>
    </r>
    <r>
      <rPr>
        <i/>
        <u/>
        <sz val="9"/>
        <rFont val="Calibri"/>
        <family val="2"/>
        <charset val="238"/>
        <scheme val="minor"/>
      </rPr>
      <t>Vzniklý materiál bude následně odkoupen zhotovitelem stavby za cenu šrotu, naložen, odvezen a zákonně zlikvidován v příslušném zařízení.</t>
    </r>
    <r>
      <rPr>
        <i/>
        <sz val="9"/>
        <rFont val="Calibri"/>
        <family val="2"/>
        <charset val="238"/>
        <scheme val="minor"/>
      </rPr>
      <t xml:space="preserve"> Nakládání s odpady je podrobně zpracováno v části B Souhrnná technická zpráva.</t>
    </r>
  </si>
  <si>
    <t>Součtová dl. demontované části oplocení: 11,0 m (0,66 t)</t>
  </si>
  <si>
    <t>KRYCÍ LIST SOUPISU PRACÍ S VÝKAZEM VÝMĚR</t>
  </si>
  <si>
    <t>D.1.2.6 SOUPIS PRACÍ S VÝKAZEM VÝMĚR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</si>
</sst>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_-#,##0.00&quot; Kč&quot;;* \-#,##0.00&quot; Kč&quot;;* _-\-??&quot; Kč&quot;;@"/>
    <numFmt numFmtId="165" formatCode="#,##0&quot; Kč&quot;"/>
    <numFmt numFmtId="166" formatCode="#"/>
    <numFmt numFmtId="167" formatCode="_-* #,##0\ [$Kč-405]_-;\-* #,##0\ [$Kč-405]_-;_-* \-??\ [$Kč-405]_-;_-@_-"/>
    <numFmt numFmtId="168" formatCode="_-* #,##0.0&quot; Kč&quot;_-;\-* #,##0.0&quot; Kč&quot;_-;_-* &quot;- Kč&quot;_-;_-@_-"/>
    <numFmt numFmtId="169" formatCode="#,##0\ &quot;Kč&quot;"/>
    <numFmt numFmtId="170" formatCode="#,##0.0"/>
    <numFmt numFmtId="171" formatCode="0.0"/>
    <numFmt numFmtId="172" formatCode="#,##0.000000"/>
  </numFmts>
  <fonts count="30" x14ac:knownFonts="1">
    <font>
      <sz val="10"/>
      <name val="Arial"/>
      <family val="2"/>
      <charset val="238"/>
    </font>
    <font>
      <sz val="8"/>
      <name val="Arial"/>
      <family val="2"/>
      <charset val="238"/>
    </font>
    <font>
      <sz val="12"/>
      <name val="Arial"/>
      <family val="2"/>
      <charset val="238"/>
    </font>
    <font>
      <sz val="10"/>
      <name val="Arial"/>
      <family val="2"/>
      <charset val="238"/>
    </font>
    <font>
      <sz val="8"/>
      <name val="Calibri"/>
      <family val="2"/>
      <charset val="238"/>
    </font>
    <font>
      <b/>
      <sz val="8"/>
      <name val="Calibri"/>
      <family val="2"/>
      <charset val="238"/>
    </font>
    <font>
      <sz val="9"/>
      <name val="Calibri"/>
      <family val="2"/>
      <charset val="238"/>
    </font>
    <font>
      <b/>
      <sz val="9"/>
      <name val="Calibri"/>
      <family val="2"/>
      <charset val="238"/>
    </font>
    <font>
      <b/>
      <i/>
      <sz val="9"/>
      <name val="Calibri"/>
      <family val="2"/>
      <charset val="238"/>
    </font>
    <font>
      <b/>
      <i/>
      <sz val="8"/>
      <name val="Calibri"/>
      <family val="2"/>
      <charset val="238"/>
    </font>
    <font>
      <i/>
      <sz val="8"/>
      <name val="Calibri"/>
      <family val="2"/>
      <charset val="238"/>
    </font>
    <font>
      <i/>
      <sz val="10"/>
      <name val="Calibri"/>
      <family val="2"/>
      <charset val="238"/>
    </font>
    <font>
      <b/>
      <i/>
      <sz val="10"/>
      <name val="Calibri"/>
      <family val="2"/>
      <charset val="238"/>
    </font>
    <font>
      <b/>
      <sz val="10"/>
      <name val="Arial"/>
      <family val="2"/>
      <charset val="238"/>
    </font>
    <font>
      <sz val="9"/>
      <name val="Calibri"/>
      <family val="2"/>
      <charset val="238"/>
      <scheme val="minor"/>
    </font>
    <font>
      <b/>
      <sz val="20"/>
      <color theme="0"/>
      <name val="Calibri"/>
      <family val="2"/>
      <charset val="238"/>
    </font>
    <font>
      <sz val="10"/>
      <name val="Calibri"/>
      <family val="2"/>
      <charset val="238"/>
    </font>
    <font>
      <b/>
      <sz val="10"/>
      <name val="Calibri"/>
      <family val="2"/>
      <charset val="238"/>
    </font>
    <font>
      <b/>
      <sz val="10"/>
      <name val="Calibri"/>
      <family val="2"/>
      <charset val="238"/>
      <scheme val="minor"/>
    </font>
    <font>
      <vertAlign val="superscript"/>
      <sz val="9"/>
      <name val="Calibri"/>
      <family val="2"/>
      <charset val="238"/>
      <scheme val="minor"/>
    </font>
    <font>
      <sz val="10"/>
      <name val="Calibri"/>
      <family val="2"/>
      <charset val="238"/>
      <scheme val="minor"/>
    </font>
    <font>
      <b/>
      <i/>
      <sz val="10"/>
      <name val="Calibri"/>
      <family val="2"/>
      <charset val="238"/>
      <scheme val="minor"/>
    </font>
    <font>
      <b/>
      <sz val="9"/>
      <color theme="0"/>
      <name val="Calibri"/>
      <family val="2"/>
      <charset val="238"/>
      <scheme val="minor"/>
    </font>
    <font>
      <b/>
      <sz val="14"/>
      <color theme="0"/>
      <name val="Calibri"/>
      <family val="2"/>
      <charset val="238"/>
      <scheme val="minor"/>
    </font>
    <font>
      <b/>
      <sz val="14"/>
      <color theme="0"/>
      <name val="Calibri"/>
      <family val="2"/>
      <charset val="238"/>
    </font>
    <font>
      <sz val="9"/>
      <color theme="0" tint="-0.34998626667073579"/>
      <name val="Calibri"/>
      <family val="2"/>
      <charset val="238"/>
      <scheme val="minor"/>
    </font>
    <font>
      <i/>
      <sz val="9"/>
      <name val="Calibri"/>
      <family val="2"/>
      <charset val="238"/>
      <scheme val="minor"/>
    </font>
    <font>
      <i/>
      <vertAlign val="superscript"/>
      <sz val="9"/>
      <name val="Calibri"/>
      <family val="2"/>
      <charset val="238"/>
      <scheme val="minor"/>
    </font>
    <font>
      <i/>
      <u/>
      <sz val="9"/>
      <name val="Calibri"/>
      <family val="2"/>
      <charset val="238"/>
      <scheme val="minor"/>
    </font>
    <font>
      <i/>
      <u/>
      <vertAlign val="superscript"/>
      <sz val="9"/>
      <name val="Calibri"/>
      <family val="2"/>
      <charset val="238"/>
      <scheme val="minor"/>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bgColor rgb="FFFFFFFF"/>
      </patternFill>
    </fill>
    <fill>
      <patternFill patternType="solid">
        <fgColor theme="0" tint="-0.14999847407452621"/>
        <bgColor indexed="31"/>
      </patternFill>
    </fill>
    <fill>
      <patternFill patternType="solid">
        <fgColor rgb="FF00B050"/>
        <bgColor indexed="64"/>
      </patternFill>
    </fill>
  </fills>
  <borders count="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auto="1"/>
      </right>
      <top style="medium">
        <color indexed="64"/>
      </top>
      <bottom style="medium">
        <color indexed="64"/>
      </bottom>
      <diagonal/>
    </border>
  </borders>
  <cellStyleXfs count="6">
    <xf numFmtId="0" fontId="0" fillId="0" borderId="0"/>
    <xf numFmtId="164" fontId="3" fillId="0" borderId="0"/>
    <xf numFmtId="0" fontId="3" fillId="0" borderId="0"/>
    <xf numFmtId="0" fontId="3" fillId="0" borderId="0"/>
    <xf numFmtId="0" fontId="3" fillId="0" borderId="0"/>
    <xf numFmtId="0" fontId="3" fillId="0" borderId="0">
      <alignment vertical="center"/>
    </xf>
  </cellStyleXfs>
  <cellXfs count="137">
    <xf numFmtId="0" fontId="0" fillId="0" borderId="0" xfId="0"/>
    <xf numFmtId="0" fontId="1" fillId="0" borderId="0" xfId="2" applyFont="1"/>
    <xf numFmtId="0" fontId="2" fillId="0" borderId="0" xfId="2" applyFont="1"/>
    <xf numFmtId="0" fontId="3" fillId="0" borderId="0" xfId="2"/>
    <xf numFmtId="0" fontId="4" fillId="0" borderId="0" xfId="2" applyFont="1"/>
    <xf numFmtId="0" fontId="6" fillId="0" borderId="0" xfId="2" applyFont="1" applyAlignment="1">
      <alignment vertical="center"/>
    </xf>
    <xf numFmtId="0" fontId="5" fillId="0" borderId="0" xfId="2" applyFont="1" applyAlignment="1">
      <alignment vertical="center"/>
    </xf>
    <xf numFmtId="0" fontId="7" fillId="0" borderId="0" xfId="2" applyFont="1" applyAlignment="1">
      <alignment vertical="center"/>
    </xf>
    <xf numFmtId="0" fontId="9" fillId="0" borderId="0" xfId="2" applyFont="1" applyAlignment="1">
      <alignment horizontal="center" vertical="center"/>
    </xf>
    <xf numFmtId="0" fontId="8" fillId="0" borderId="0" xfId="2" applyFont="1" applyAlignment="1">
      <alignment horizontal="center" vertical="center"/>
    </xf>
    <xf numFmtId="0" fontId="5" fillId="0" borderId="0" xfId="2" applyFont="1"/>
    <xf numFmtId="0" fontId="13" fillId="0" borderId="0" xfId="2" applyFont="1"/>
    <xf numFmtId="0" fontId="12" fillId="2" borderId="1" xfId="2" applyFont="1" applyFill="1" applyBorder="1" applyAlignment="1">
      <alignment vertical="center"/>
    </xf>
    <xf numFmtId="169" fontId="1" fillId="0" borderId="0" xfId="2" applyNumberFormat="1" applyFont="1"/>
    <xf numFmtId="0" fontId="12" fillId="2" borderId="12" xfId="2" applyFont="1" applyFill="1" applyBorder="1" applyAlignment="1">
      <alignment horizontal="right" vertical="center"/>
    </xf>
    <xf numFmtId="0" fontId="16" fillId="2" borderId="9" xfId="2" applyFont="1" applyFill="1" applyBorder="1" applyAlignment="1">
      <alignment vertical="center"/>
    </xf>
    <xf numFmtId="0" fontId="16" fillId="2" borderId="6" xfId="2" applyFont="1" applyFill="1" applyBorder="1" applyAlignment="1">
      <alignment vertical="center"/>
    </xf>
    <xf numFmtId="0" fontId="16" fillId="2" borderId="7" xfId="2" applyFont="1" applyFill="1" applyBorder="1" applyAlignment="1">
      <alignment vertical="center"/>
    </xf>
    <xf numFmtId="0" fontId="16" fillId="2" borderId="8" xfId="2" applyFont="1" applyFill="1" applyBorder="1" applyAlignment="1">
      <alignment vertical="center"/>
    </xf>
    <xf numFmtId="0" fontId="16" fillId="2" borderId="12" xfId="2" applyFont="1" applyFill="1" applyBorder="1" applyAlignment="1">
      <alignment horizontal="left" vertical="center" wrapText="1"/>
    </xf>
    <xf numFmtId="169" fontId="16" fillId="2" borderId="9" xfId="2" applyNumberFormat="1" applyFont="1" applyFill="1" applyBorder="1" applyAlignment="1">
      <alignment vertical="center"/>
    </xf>
    <xf numFmtId="0" fontId="16" fillId="2" borderId="12" xfId="2" applyFont="1" applyFill="1" applyBorder="1" applyAlignment="1">
      <alignment vertical="center" wrapText="1"/>
    </xf>
    <xf numFmtId="0" fontId="16" fillId="2" borderId="5" xfId="2" applyFont="1" applyFill="1" applyBorder="1" applyAlignment="1">
      <alignment vertical="center"/>
    </xf>
    <xf numFmtId="0" fontId="17" fillId="2" borderId="5" xfId="2" applyFont="1" applyFill="1" applyBorder="1" applyAlignment="1">
      <alignment vertical="center"/>
    </xf>
    <xf numFmtId="14" fontId="16" fillId="2" borderId="9" xfId="2" applyNumberFormat="1" applyFont="1" applyFill="1" applyBorder="1" applyAlignment="1">
      <alignment horizontal="left" vertical="center"/>
    </xf>
    <xf numFmtId="0" fontId="12" fillId="2" borderId="3" xfId="2" applyFont="1" applyFill="1" applyBorder="1" applyAlignment="1">
      <alignment vertical="center"/>
    </xf>
    <xf numFmtId="0" fontId="11" fillId="2" borderId="12" xfId="2" applyFont="1" applyFill="1" applyBorder="1" applyAlignment="1">
      <alignment vertical="center"/>
    </xf>
    <xf numFmtId="0" fontId="11" fillId="2" borderId="6" xfId="2" applyFont="1" applyFill="1" applyBorder="1" applyAlignment="1">
      <alignment vertical="center"/>
    </xf>
    <xf numFmtId="0" fontId="16" fillId="2" borderId="3" xfId="2" applyFont="1" applyFill="1" applyBorder="1" applyAlignment="1">
      <alignment vertical="center"/>
    </xf>
    <xf numFmtId="0" fontId="12" fillId="2" borderId="17" xfId="2" applyFont="1" applyFill="1" applyBorder="1" applyAlignment="1">
      <alignment vertical="center"/>
    </xf>
    <xf numFmtId="165" fontId="17" fillId="2" borderId="18" xfId="2" applyNumberFormat="1" applyFont="1" applyFill="1" applyBorder="1" applyAlignment="1">
      <alignment horizontal="right" vertical="center"/>
    </xf>
    <xf numFmtId="0" fontId="12" fillId="2" borderId="13" xfId="2" applyFont="1" applyFill="1" applyBorder="1" applyAlignment="1">
      <alignment vertical="center"/>
    </xf>
    <xf numFmtId="165" fontId="17" fillId="2" borderId="14" xfId="2" applyNumberFormat="1" applyFont="1" applyFill="1" applyBorder="1" applyAlignment="1">
      <alignment horizontal="right" vertical="center"/>
    </xf>
    <xf numFmtId="0" fontId="16" fillId="2" borderId="6" xfId="2" applyFont="1" applyFill="1" applyBorder="1"/>
    <xf numFmtId="0" fontId="16" fillId="2" borderId="8" xfId="2" applyFont="1" applyFill="1" applyBorder="1"/>
    <xf numFmtId="0" fontId="16" fillId="2" borderId="9" xfId="2" applyFont="1" applyFill="1" applyBorder="1"/>
    <xf numFmtId="169" fontId="16" fillId="2" borderId="0" xfId="2" applyNumberFormat="1" applyFont="1" applyFill="1" applyAlignment="1">
      <alignment vertical="center"/>
    </xf>
    <xf numFmtId="169" fontId="17" fillId="2" borderId="10" xfId="2" applyNumberFormat="1" applyFont="1" applyFill="1" applyBorder="1" applyAlignment="1">
      <alignment vertical="center"/>
    </xf>
    <xf numFmtId="0" fontId="14" fillId="0" borderId="0" xfId="2" applyFont="1" applyAlignment="1">
      <alignment horizontal="center"/>
    </xf>
    <xf numFmtId="0" fontId="14" fillId="0" borderId="0" xfId="2" applyFont="1"/>
    <xf numFmtId="2" fontId="14" fillId="0" borderId="0" xfId="2" applyNumberFormat="1" applyFont="1"/>
    <xf numFmtId="0" fontId="21" fillId="0" borderId="20" xfId="2" applyFont="1" applyBorder="1" applyAlignment="1">
      <alignment horizontal="center" vertical="center" wrapText="1"/>
    </xf>
    <xf numFmtId="0" fontId="21" fillId="0" borderId="21" xfId="2" applyFont="1" applyBorder="1" applyAlignment="1">
      <alignment horizontal="center" vertical="center" wrapText="1"/>
    </xf>
    <xf numFmtId="2" fontId="21" fillId="0" borderId="21" xfId="2" applyNumberFormat="1" applyFont="1" applyBorder="1" applyAlignment="1">
      <alignment horizontal="center" vertical="center" wrapText="1"/>
    </xf>
    <xf numFmtId="2" fontId="21" fillId="0" borderId="22" xfId="2" applyNumberFormat="1" applyFont="1" applyBorder="1" applyAlignment="1">
      <alignment horizontal="center" vertical="center" wrapText="1"/>
    </xf>
    <xf numFmtId="0" fontId="14" fillId="0" borderId="0" xfId="2" applyFont="1" applyAlignment="1">
      <alignment horizontal="right"/>
    </xf>
    <xf numFmtId="2" fontId="18" fillId="3" borderId="1" xfId="2" applyNumberFormat="1" applyFont="1" applyFill="1" applyBorder="1" applyAlignment="1">
      <alignment vertical="center" wrapText="1"/>
    </xf>
    <xf numFmtId="166" fontId="18" fillId="3" borderId="2" xfId="2" applyNumberFormat="1" applyFont="1" applyFill="1" applyBorder="1" applyAlignment="1">
      <alignment horizontal="center" vertical="center" wrapText="1"/>
    </xf>
    <xf numFmtId="166" fontId="18" fillId="5" borderId="2" xfId="2" applyNumberFormat="1" applyFont="1" applyFill="1" applyBorder="1" applyAlignment="1">
      <alignment vertical="center" wrapText="1"/>
    </xf>
    <xf numFmtId="166" fontId="18" fillId="5" borderId="2" xfId="2" applyNumberFormat="1" applyFont="1" applyFill="1" applyBorder="1" applyAlignment="1">
      <alignment horizontal="center" vertical="center" wrapText="1"/>
    </xf>
    <xf numFmtId="166" fontId="18" fillId="3" borderId="2" xfId="2" applyNumberFormat="1" applyFont="1" applyFill="1" applyBorder="1" applyAlignment="1">
      <alignment vertical="center" wrapText="1"/>
    </xf>
    <xf numFmtId="166" fontId="18" fillId="3" borderId="1" xfId="2" applyNumberFormat="1" applyFont="1" applyFill="1" applyBorder="1" applyAlignment="1">
      <alignment horizontal="center" vertical="center" wrapText="1"/>
    </xf>
    <xf numFmtId="2" fontId="20" fillId="3" borderId="2" xfId="2" applyNumberFormat="1" applyFont="1" applyFill="1" applyBorder="1"/>
    <xf numFmtId="0" fontId="22" fillId="6" borderId="3" xfId="2" applyFont="1" applyFill="1" applyBorder="1" applyAlignment="1">
      <alignment vertical="center"/>
    </xf>
    <xf numFmtId="0" fontId="22" fillId="6" borderId="4" xfId="2" applyFont="1" applyFill="1" applyBorder="1" applyAlignment="1">
      <alignment vertical="center"/>
    </xf>
    <xf numFmtId="0" fontId="24" fillId="6" borderId="1" xfId="2" applyFont="1" applyFill="1" applyBorder="1" applyAlignment="1">
      <alignment vertical="center"/>
    </xf>
    <xf numFmtId="0" fontId="24" fillId="6" borderId="2" xfId="2" applyFont="1" applyFill="1" applyBorder="1" applyAlignment="1">
      <alignment vertical="center"/>
    </xf>
    <xf numFmtId="0" fontId="24" fillId="6" borderId="10" xfId="2" applyFont="1" applyFill="1" applyBorder="1" applyAlignment="1">
      <alignment vertical="center"/>
    </xf>
    <xf numFmtId="165" fontId="24" fillId="6" borderId="2" xfId="2" applyNumberFormat="1" applyFont="1" applyFill="1" applyBorder="1" applyAlignment="1">
      <alignment horizontal="right" vertical="center"/>
    </xf>
    <xf numFmtId="0" fontId="23" fillId="6" borderId="4" xfId="2" applyFont="1" applyFill="1" applyBorder="1" applyAlignment="1">
      <alignment horizontal="left" vertical="center"/>
    </xf>
    <xf numFmtId="0" fontId="14" fillId="0" borderId="0" xfId="2" applyFont="1" applyAlignment="1">
      <alignment vertical="center"/>
    </xf>
    <xf numFmtId="168" fontId="18" fillId="3" borderId="2" xfId="2" applyNumberFormat="1" applyFont="1" applyFill="1" applyBorder="1" applyAlignment="1">
      <alignment horizontal="center" vertical="center" wrapText="1"/>
    </xf>
    <xf numFmtId="0" fontId="14" fillId="0" borderId="0" xfId="2" applyFont="1" applyAlignment="1">
      <alignment horizontal="center" vertical="center"/>
    </xf>
    <xf numFmtId="0" fontId="25" fillId="0" borderId="0" xfId="2" applyFont="1" applyAlignment="1">
      <alignment horizontal="center" vertical="center"/>
    </xf>
    <xf numFmtId="0" fontId="14" fillId="0" borderId="0" xfId="2" applyFont="1" applyAlignment="1">
      <alignment horizontal="left" vertical="center"/>
    </xf>
    <xf numFmtId="0" fontId="14" fillId="0" borderId="12" xfId="4" applyFont="1" applyBorder="1" applyAlignment="1">
      <alignment horizontal="center" vertical="center"/>
    </xf>
    <xf numFmtId="0" fontId="14" fillId="0" borderId="6" xfId="4" applyFont="1" applyBorder="1" applyAlignment="1">
      <alignment horizontal="center" vertical="center"/>
    </xf>
    <xf numFmtId="0" fontId="14" fillId="0" borderId="7" xfId="2" applyFont="1" applyBorder="1" applyAlignment="1">
      <alignment horizontal="center" vertical="center"/>
    </xf>
    <xf numFmtId="171" fontId="14" fillId="0" borderId="7" xfId="2" applyNumberFormat="1" applyFont="1" applyBorder="1" applyAlignment="1">
      <alignment vertical="center" wrapText="1"/>
    </xf>
    <xf numFmtId="168" fontId="14" fillId="0" borderId="7" xfId="2" applyNumberFormat="1" applyFont="1" applyBorder="1" applyAlignment="1">
      <alignment vertical="center" wrapText="1"/>
    </xf>
    <xf numFmtId="0" fontId="14" fillId="0" borderId="20" xfId="4" applyFont="1" applyBorder="1" applyAlignment="1">
      <alignment horizontal="center" vertical="center"/>
    </xf>
    <xf numFmtId="168" fontId="14" fillId="0" borderId="21" xfId="2" applyNumberFormat="1" applyFont="1" applyBorder="1" applyAlignment="1">
      <alignment vertical="center" wrapText="1"/>
    </xf>
    <xf numFmtId="0" fontId="14" fillId="0" borderId="21" xfId="2" applyFont="1" applyBorder="1" applyAlignment="1">
      <alignment horizontal="center" vertical="center" wrapText="1"/>
    </xf>
    <xf numFmtId="168" fontId="14" fillId="4" borderId="21" xfId="0" applyNumberFormat="1" applyFont="1" applyFill="1" applyBorder="1" applyAlignment="1">
      <alignment vertical="center" wrapText="1"/>
    </xf>
    <xf numFmtId="49" fontId="14" fillId="0" borderId="21" xfId="2" applyNumberFormat="1" applyFont="1" applyBorder="1" applyAlignment="1">
      <alignment horizontal="center" vertical="center" wrapText="1"/>
    </xf>
    <xf numFmtId="168" fontId="14" fillId="0" borderId="21" xfId="2" applyNumberFormat="1" applyFont="1" applyBorder="1" applyAlignment="1">
      <alignment vertical="top" wrapText="1"/>
    </xf>
    <xf numFmtId="49" fontId="14" fillId="4" borderId="21" xfId="0" applyNumberFormat="1" applyFont="1" applyFill="1" applyBorder="1" applyAlignment="1">
      <alignment horizontal="center" vertical="center"/>
    </xf>
    <xf numFmtId="0" fontId="26" fillId="0" borderId="19" xfId="2" applyFont="1" applyBorder="1" applyAlignment="1">
      <alignment vertical="center" wrapText="1"/>
    </xf>
    <xf numFmtId="0" fontId="26" fillId="0" borderId="24" xfId="2" applyFont="1" applyBorder="1" applyAlignment="1">
      <alignment vertical="center" wrapText="1"/>
    </xf>
    <xf numFmtId="0" fontId="15" fillId="6" borderId="1" xfId="2" applyFont="1" applyFill="1" applyBorder="1" applyAlignment="1">
      <alignment vertical="center"/>
    </xf>
    <xf numFmtId="14" fontId="16" fillId="2" borderId="0" xfId="2" applyNumberFormat="1" applyFont="1" applyFill="1" applyAlignment="1">
      <alignment horizontal="left" vertical="center"/>
    </xf>
    <xf numFmtId="0" fontId="17" fillId="2" borderId="0" xfId="2" applyFont="1" applyFill="1" applyAlignment="1">
      <alignment vertical="center"/>
    </xf>
    <xf numFmtId="0" fontId="22" fillId="6" borderId="5" xfId="2" applyFont="1" applyFill="1" applyBorder="1" applyAlignment="1">
      <alignment vertical="center"/>
    </xf>
    <xf numFmtId="167" fontId="18" fillId="5" borderId="10" xfId="2" applyNumberFormat="1" applyFont="1" applyFill="1" applyBorder="1" applyAlignment="1">
      <alignment vertical="center" wrapText="1"/>
    </xf>
    <xf numFmtId="168" fontId="14" fillId="0" borderId="22" xfId="2" applyNumberFormat="1" applyFont="1" applyBorder="1" applyAlignment="1">
      <alignment vertical="center" wrapText="1"/>
    </xf>
    <xf numFmtId="171" fontId="14" fillId="0" borderId="0" xfId="2" applyNumberFormat="1" applyFont="1" applyAlignment="1">
      <alignment vertical="center" wrapText="1"/>
    </xf>
    <xf numFmtId="168" fontId="14" fillId="0" borderId="0" xfId="2" applyNumberFormat="1" applyFont="1" applyAlignment="1">
      <alignment vertical="center" wrapText="1"/>
    </xf>
    <xf numFmtId="168" fontId="14" fillId="0" borderId="9" xfId="2" applyNumberFormat="1" applyFont="1" applyBorder="1" applyAlignment="1">
      <alignment vertical="center" wrapText="1"/>
    </xf>
    <xf numFmtId="168" fontId="14" fillId="0" borderId="8" xfId="2" applyNumberFormat="1" applyFont="1" applyBorder="1" applyAlignment="1">
      <alignment vertical="center" wrapText="1"/>
    </xf>
    <xf numFmtId="167" fontId="18" fillId="3" borderId="10" xfId="2" applyNumberFormat="1" applyFont="1" applyFill="1" applyBorder="1" applyAlignment="1">
      <alignment vertical="center" wrapText="1"/>
    </xf>
    <xf numFmtId="170" fontId="14" fillId="0" borderId="21" xfId="4" applyNumberFormat="1" applyFont="1" applyBorder="1" applyAlignment="1">
      <alignment horizontal="center" vertical="center" wrapText="1"/>
    </xf>
    <xf numFmtId="170" fontId="14" fillId="0" borderId="21" xfId="0" applyNumberFormat="1" applyFont="1" applyBorder="1" applyAlignment="1">
      <alignment horizontal="center" vertical="center" wrapText="1"/>
    </xf>
    <xf numFmtId="166" fontId="14" fillId="0" borderId="21" xfId="2" applyNumberFormat="1" applyFont="1" applyBorder="1" applyAlignment="1">
      <alignment vertical="center" wrapText="1"/>
    </xf>
    <xf numFmtId="0" fontId="14" fillId="0" borderId="21" xfId="0" applyFont="1" applyBorder="1" applyAlignment="1">
      <alignment vertical="center"/>
    </xf>
    <xf numFmtId="0" fontId="12" fillId="2" borderId="12" xfId="2" applyFont="1" applyFill="1" applyBorder="1" applyAlignment="1">
      <alignment horizontal="right" vertical="top"/>
    </xf>
    <xf numFmtId="0" fontId="14" fillId="0" borderId="21" xfId="0" applyFont="1" applyBorder="1" applyAlignment="1">
      <alignment horizontal="center" vertical="center"/>
    </xf>
    <xf numFmtId="0" fontId="14" fillId="0" borderId="21" xfId="2" applyFont="1" applyBorder="1" applyAlignment="1">
      <alignment horizontal="center" vertical="center"/>
    </xf>
    <xf numFmtId="0" fontId="14" fillId="0" borderId="21" xfId="2" applyFont="1" applyBorder="1" applyAlignment="1">
      <alignment vertical="center" wrapText="1"/>
    </xf>
    <xf numFmtId="0" fontId="14" fillId="0" borderId="21" xfId="0" applyFont="1" applyBorder="1" applyAlignment="1" applyProtection="1">
      <alignment horizontal="center" vertical="center"/>
      <protection locked="0"/>
    </xf>
    <xf numFmtId="4" fontId="14" fillId="0" borderId="21" xfId="2" applyNumberFormat="1" applyFont="1" applyBorder="1" applyAlignment="1">
      <alignment horizontal="center" vertical="center" wrapText="1"/>
    </xf>
    <xf numFmtId="171" fontId="14" fillId="0" borderId="0" xfId="2" applyNumberFormat="1" applyFont="1" applyAlignment="1">
      <alignment vertical="center"/>
    </xf>
    <xf numFmtId="0" fontId="26" fillId="0" borderId="23" xfId="2" applyFont="1" applyBorder="1" applyAlignment="1">
      <alignment vertical="center" wrapText="1"/>
    </xf>
    <xf numFmtId="0" fontId="14" fillId="0" borderId="25" xfId="2" applyFont="1" applyBorder="1" applyAlignment="1">
      <alignment horizontal="left" vertical="center" wrapText="1"/>
    </xf>
    <xf numFmtId="0" fontId="14" fillId="0" borderId="21" xfId="2" applyFont="1" applyBorder="1" applyAlignment="1">
      <alignment horizontal="left" vertical="center" wrapText="1"/>
    </xf>
    <xf numFmtId="4" fontId="14" fillId="0" borderId="0" xfId="2" applyNumberFormat="1" applyFont="1" applyAlignment="1">
      <alignment vertical="center" wrapText="1"/>
    </xf>
    <xf numFmtId="168" fontId="14" fillId="0" borderId="21" xfId="0" applyNumberFormat="1" applyFont="1" applyBorder="1" applyAlignment="1">
      <alignment vertical="center" wrapText="1"/>
    </xf>
    <xf numFmtId="4" fontId="14" fillId="0" borderId="0" xfId="2" applyNumberFormat="1" applyFont="1" applyAlignment="1">
      <alignment horizontal="center" vertical="center" wrapText="1"/>
    </xf>
    <xf numFmtId="172" fontId="14" fillId="0" borderId="0" xfId="2" applyNumberFormat="1" applyFont="1" applyAlignment="1">
      <alignment vertical="center" wrapText="1"/>
    </xf>
    <xf numFmtId="0" fontId="14" fillId="0" borderId="21" xfId="5" applyFont="1" applyBorder="1" applyAlignment="1" applyProtection="1">
      <alignment vertical="center" wrapText="1"/>
      <protection locked="0"/>
    </xf>
    <xf numFmtId="4" fontId="14" fillId="0" borderId="21" xfId="4" applyNumberFormat="1" applyFont="1" applyBorder="1" applyAlignment="1">
      <alignment horizontal="center" vertical="center" wrapText="1"/>
    </xf>
    <xf numFmtId="171" fontId="14" fillId="0" borderId="0" xfId="2" applyNumberFormat="1" applyFont="1" applyAlignment="1">
      <alignment horizontal="center" vertical="center" wrapText="1"/>
    </xf>
    <xf numFmtId="171" fontId="14" fillId="0" borderId="7" xfId="2" applyNumberFormat="1" applyFont="1" applyBorder="1" applyAlignment="1">
      <alignment horizontal="center" vertical="center" wrapText="1"/>
    </xf>
    <xf numFmtId="168" fontId="14" fillId="0" borderId="0" xfId="2" applyNumberFormat="1" applyFont="1" applyAlignment="1">
      <alignment horizontal="center" vertical="center" wrapText="1"/>
    </xf>
    <xf numFmtId="168" fontId="14" fillId="0" borderId="7" xfId="2" applyNumberFormat="1" applyFont="1" applyBorder="1" applyAlignment="1">
      <alignment horizontal="center" vertical="center" wrapText="1"/>
    </xf>
    <xf numFmtId="4" fontId="14" fillId="0" borderId="21" xfId="0" applyNumberFormat="1" applyFont="1" applyBorder="1" applyAlignment="1" applyProtection="1">
      <alignment horizontal="center" vertical="center"/>
      <protection locked="0"/>
    </xf>
    <xf numFmtId="166" fontId="14" fillId="2" borderId="21" xfId="2" applyNumberFormat="1" applyFont="1" applyFill="1" applyBorder="1" applyAlignment="1">
      <alignment vertical="center" wrapText="1"/>
    </xf>
    <xf numFmtId="0" fontId="14" fillId="2" borderId="21" xfId="2" applyFont="1" applyFill="1" applyBorder="1" applyAlignment="1">
      <alignment horizontal="center" vertical="center" wrapText="1"/>
    </xf>
    <xf numFmtId="4" fontId="14" fillId="0" borderId="7" xfId="2" applyNumberFormat="1" applyFont="1" applyBorder="1" applyAlignment="1">
      <alignment horizontal="center" vertical="center" wrapText="1"/>
    </xf>
    <xf numFmtId="0" fontId="14" fillId="0" borderId="21" xfId="4" applyFont="1" applyBorder="1" applyAlignment="1">
      <alignment horizontal="center" vertical="center" wrapText="1"/>
    </xf>
    <xf numFmtId="0" fontId="23" fillId="6" borderId="2" xfId="2" applyFont="1" applyFill="1" applyBorder="1" applyAlignment="1">
      <alignment horizontal="left" vertical="center"/>
    </xf>
    <xf numFmtId="0" fontId="23" fillId="6" borderId="10" xfId="2" applyFont="1" applyFill="1" applyBorder="1" applyAlignment="1">
      <alignment horizontal="left" vertical="center"/>
    </xf>
    <xf numFmtId="0" fontId="4" fillId="0" borderId="0" xfId="2" applyFont="1" applyAlignment="1">
      <alignment horizontal="right"/>
    </xf>
    <xf numFmtId="0" fontId="10" fillId="0" borderId="0" xfId="2" applyFont="1" applyAlignment="1">
      <alignment horizontal="right"/>
    </xf>
    <xf numFmtId="0" fontId="16" fillId="2" borderId="0" xfId="2" applyFont="1" applyFill="1" applyAlignment="1">
      <alignment horizontal="left" vertical="center"/>
    </xf>
    <xf numFmtId="0" fontId="16" fillId="2" borderId="9" xfId="2" applyFont="1" applyFill="1" applyBorder="1" applyAlignment="1">
      <alignment horizontal="left" vertical="center"/>
    </xf>
    <xf numFmtId="0" fontId="16" fillId="2" borderId="0" xfId="2" applyFont="1" applyFill="1" applyAlignment="1">
      <alignment horizontal="left" vertical="top" wrapText="1"/>
    </xf>
    <xf numFmtId="0" fontId="16" fillId="2" borderId="9" xfId="2" applyFont="1" applyFill="1" applyBorder="1" applyAlignment="1">
      <alignment horizontal="left" vertical="top" wrapText="1"/>
    </xf>
    <xf numFmtId="0" fontId="12" fillId="2" borderId="13" xfId="2" applyFont="1" applyFill="1" applyBorder="1" applyAlignment="1">
      <alignment horizontal="left" vertical="center"/>
    </xf>
    <xf numFmtId="0" fontId="12" fillId="2" borderId="11" xfId="2" applyFont="1" applyFill="1" applyBorder="1" applyAlignment="1">
      <alignment horizontal="left" vertical="center"/>
    </xf>
    <xf numFmtId="0" fontId="12" fillId="2" borderId="15" xfId="2" applyFont="1" applyFill="1" applyBorder="1" applyAlignment="1">
      <alignment horizontal="left" vertical="center"/>
    </xf>
    <xf numFmtId="0" fontId="12" fillId="2" borderId="16" xfId="2" applyFont="1" applyFill="1" applyBorder="1" applyAlignment="1">
      <alignment horizontal="left" vertical="center"/>
    </xf>
    <xf numFmtId="0" fontId="6" fillId="2" borderId="0" xfId="2" applyFont="1" applyFill="1" applyAlignment="1">
      <alignment horizontal="center" vertical="center"/>
    </xf>
    <xf numFmtId="0" fontId="6" fillId="2" borderId="9" xfId="2" applyFont="1" applyFill="1" applyBorder="1" applyAlignment="1">
      <alignment horizontal="center" vertical="center"/>
    </xf>
    <xf numFmtId="0" fontId="6" fillId="2" borderId="6" xfId="2" applyFont="1" applyFill="1" applyBorder="1" applyAlignment="1">
      <alignment horizontal="center" vertical="center"/>
    </xf>
    <xf numFmtId="0" fontId="6" fillId="2" borderId="8" xfId="2" applyFont="1" applyFill="1" applyBorder="1" applyAlignment="1">
      <alignment horizontal="center" vertical="center"/>
    </xf>
    <xf numFmtId="0" fontId="16" fillId="2" borderId="0" xfId="2" applyFont="1" applyFill="1" applyAlignment="1">
      <alignment horizontal="left" vertical="center" wrapText="1"/>
    </xf>
    <xf numFmtId="0" fontId="16" fillId="2" borderId="9" xfId="2" applyFont="1" applyFill="1" applyBorder="1" applyAlignment="1">
      <alignment horizontal="left" vertical="center" wrapText="1"/>
    </xf>
  </cellXfs>
  <cellStyles count="6">
    <cellStyle name="Excel Built-in Currency" xfId="1" xr:uid="{00000000-0005-0000-0000-000000000000}"/>
    <cellStyle name="Excel Built-in Normal" xfId="2" xr:uid="{00000000-0005-0000-0000-000001000000}"/>
    <cellStyle name="Excel Built-in Normal 2" xfId="3" xr:uid="{00000000-0005-0000-0000-000002000000}"/>
    <cellStyle name="Normální" xfId="0" builtinId="0"/>
    <cellStyle name="Normální 3 27" xfId="5" xr:uid="{00000000-0005-0000-0000-000004000000}"/>
    <cellStyle name="TableStyleLight1" xfId="4"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8F8F8"/>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A3A3"/>
      <color rgb="FFA3FFA3"/>
      <color rgb="FFFF9797"/>
      <color rgb="FF2DA84C"/>
      <color rgb="FFD60000"/>
      <color rgb="FFF8F8F8"/>
      <color rgb="FFA2D9FF"/>
      <color rgb="FF118EC8"/>
      <color rgb="FF0E659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30956</xdr:colOff>
      <xdr:row>17</xdr:row>
      <xdr:rowOff>30956</xdr:rowOff>
    </xdr:from>
    <xdr:to>
      <xdr:col>2</xdr:col>
      <xdr:colOff>2146386</xdr:colOff>
      <xdr:row>21</xdr:row>
      <xdr:rowOff>147213</xdr:rowOff>
    </xdr:to>
    <xdr:pic>
      <xdr:nvPicPr>
        <xdr:cNvPr id="2" name="Obrázek 1" descr="Strix_logo.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4656534" y="5013722"/>
          <a:ext cx="2115430" cy="747288"/>
        </a:xfrm>
        <a:prstGeom prst="rect">
          <a:avLst/>
        </a:prstGeom>
      </xdr:spPr>
    </xdr:pic>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8F8F8"/>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8F8F8"/>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1"/>
  <sheetViews>
    <sheetView tabSelected="1" zoomScaleNormal="100" workbookViewId="0">
      <selection activeCell="B2" sqref="B2:D2"/>
    </sheetView>
  </sheetViews>
  <sheetFormatPr defaultRowHeight="11.25" customHeight="1" x14ac:dyDescent="0.2"/>
  <cols>
    <col min="1" max="1" width="52.7109375" style="1" customWidth="1"/>
    <col min="2" max="2" width="16.7109375" style="1" customWidth="1"/>
    <col min="3" max="3" width="52.7109375" style="1" customWidth="1"/>
    <col min="4" max="4" width="16.7109375" style="1" customWidth="1"/>
    <col min="5" max="16384" width="9.140625" style="1"/>
  </cols>
  <sheetData>
    <row r="1" spans="1:11" ht="2.1" customHeight="1" thickBot="1" x14ac:dyDescent="0.25"/>
    <row r="2" spans="1:11" ht="27.95" customHeight="1" thickBot="1" x14ac:dyDescent="0.25">
      <c r="A2" s="79"/>
      <c r="B2" s="119" t="s">
        <v>191</v>
      </c>
      <c r="C2" s="119"/>
      <c r="D2" s="120"/>
    </row>
    <row r="3" spans="1:11" ht="6" customHeight="1" x14ac:dyDescent="0.2">
      <c r="A3" s="14"/>
      <c r="B3" s="135"/>
      <c r="C3" s="135"/>
      <c r="D3" s="136"/>
    </row>
    <row r="4" spans="1:11" ht="15" customHeight="1" x14ac:dyDescent="0.2">
      <c r="A4" s="94" t="s">
        <v>18</v>
      </c>
      <c r="B4" s="125" t="s">
        <v>105</v>
      </c>
      <c r="C4" s="125"/>
      <c r="D4" s="126"/>
    </row>
    <row r="5" spans="1:11" ht="15" customHeight="1" x14ac:dyDescent="0.2">
      <c r="A5" s="14" t="s">
        <v>75</v>
      </c>
      <c r="B5" s="123" t="s">
        <v>106</v>
      </c>
      <c r="C5" s="123"/>
      <c r="D5" s="124"/>
    </row>
    <row r="6" spans="1:11" ht="15" customHeight="1" x14ac:dyDescent="0.2">
      <c r="A6" s="14" t="s">
        <v>10</v>
      </c>
      <c r="B6" s="123" t="s">
        <v>30</v>
      </c>
      <c r="C6" s="123"/>
      <c r="D6" s="124"/>
    </row>
    <row r="7" spans="1:11" ht="15" customHeight="1" x14ac:dyDescent="0.2">
      <c r="A7" s="14" t="s">
        <v>0</v>
      </c>
      <c r="B7" s="80">
        <f ca="1">NOW()</f>
        <v>45870.365651041669</v>
      </c>
      <c r="C7" s="81" t="s">
        <v>104</v>
      </c>
      <c r="D7" s="15"/>
    </row>
    <row r="8" spans="1:11" ht="6" customHeight="1" thickBot="1" x14ac:dyDescent="0.25">
      <c r="A8" s="16"/>
      <c r="B8" s="17"/>
      <c r="C8" s="17"/>
      <c r="D8" s="18"/>
    </row>
    <row r="9" spans="1:11" ht="27.95" customHeight="1" thickBot="1" x14ac:dyDescent="0.25">
      <c r="A9" s="55"/>
      <c r="B9" s="56" t="s">
        <v>1</v>
      </c>
      <c r="C9" s="56"/>
      <c r="D9" s="57"/>
    </row>
    <row r="10" spans="1:11" ht="12" customHeight="1" x14ac:dyDescent="0.2">
      <c r="A10" s="127" t="s">
        <v>11</v>
      </c>
      <c r="B10" s="128"/>
      <c r="C10" s="129" t="s">
        <v>17</v>
      </c>
      <c r="D10" s="130"/>
    </row>
    <row r="11" spans="1:11" ht="27.95" customHeight="1" x14ac:dyDescent="0.2">
      <c r="A11" s="19" t="str">
        <f>'D.1.2.6 Soupis prací s VV'!E4</f>
        <v>Přípravné a přidružené práce a dočasné zajištění staveniště</v>
      </c>
      <c r="B11" s="36">
        <f>'D.1.2.6 Soupis prací s VV'!I4</f>
        <v>0</v>
      </c>
      <c r="C11" s="21" t="str">
        <f>'D.1.2.6 Soupis prací s VV'!E130</f>
        <v>Geodetické práce před výstavbou</v>
      </c>
      <c r="D11" s="20">
        <f>'D.1.2.6 Soupis prací s VV'!I130</f>
        <v>0</v>
      </c>
    </row>
    <row r="12" spans="1:11" ht="27.95" customHeight="1" x14ac:dyDescent="0.2">
      <c r="A12" s="19" t="str">
        <f>'D.1.2.6 Soupis prací s VV'!E23</f>
        <v>Odstranění vegetace, očištění a odtěžení skalního svahu</v>
      </c>
      <c r="B12" s="36">
        <f>'D.1.2.6 Soupis prací s VV'!I23</f>
        <v>0</v>
      </c>
      <c r="C12" s="21" t="str">
        <f>'D.1.2.6 Soupis prací s VV'!E133</f>
        <v>Geodetické práce při provádění stavby</v>
      </c>
      <c r="D12" s="20">
        <f>'D.1.2.6 Soupis prací s VV'!I133</f>
        <v>0</v>
      </c>
      <c r="H12" s="3"/>
      <c r="I12" s="3"/>
      <c r="J12" s="3"/>
      <c r="K12" s="3"/>
    </row>
    <row r="13" spans="1:11" ht="27.95" customHeight="1" x14ac:dyDescent="0.2">
      <c r="A13" s="19" t="str">
        <f>'D.1.2.6 Soupis prací s VV'!E42</f>
        <v>Zajištění skalního svahu ocelovou sítí 80 x 100 mm</v>
      </c>
      <c r="B13" s="36">
        <f>'D.1.2.6 Soupis prací s VV'!I42</f>
        <v>0</v>
      </c>
      <c r="C13" s="21" t="str">
        <f>'D.1.2.6 Soupis prací s VV'!E136</f>
        <v>Geodetické práce po výstavbě</v>
      </c>
      <c r="D13" s="20">
        <f>'D.1.2.6 Soupis prací s VV'!I136</f>
        <v>0</v>
      </c>
      <c r="H13" s="3"/>
      <c r="I13" s="3"/>
      <c r="J13" s="3"/>
      <c r="K13" s="3"/>
    </row>
    <row r="14" spans="1:11" ht="27.95" customHeight="1" x14ac:dyDescent="0.2">
      <c r="A14" s="19" t="str">
        <f>'D.1.2.6 Soupis prací s VV'!E76</f>
        <v>Palisáda s dřevěnou výplní výšky 2,2 m</v>
      </c>
      <c r="B14" s="36">
        <f>'D.1.2.6 Soupis prací s VV'!I76</f>
        <v>0</v>
      </c>
      <c r="C14" s="21" t="str">
        <f>'D.1.2.6 Soupis prací s VV'!E139</f>
        <v>Projektová dokumentace skutečného provedení stavby - DSPS</v>
      </c>
      <c r="D14" s="20">
        <f>'D.1.2.6 Soupis prací s VV'!I139</f>
        <v>0</v>
      </c>
      <c r="H14" s="3"/>
      <c r="I14" s="3"/>
      <c r="J14" s="3"/>
      <c r="K14" s="3"/>
    </row>
    <row r="15" spans="1:11" ht="27.95" customHeight="1" x14ac:dyDescent="0.2">
      <c r="A15" s="19" t="str">
        <f>'D.1.2.6 Soupis prací s VV'!E107</f>
        <v>Přesuny hmot</v>
      </c>
      <c r="B15" s="36">
        <f>'D.1.2.6 Soupis prací s VV'!I107</f>
        <v>0</v>
      </c>
      <c r="C15" s="21" t="str">
        <f>'D.1.2.6 Soupis prací s VV'!E142</f>
        <v>Geotechnický dozor stavby</v>
      </c>
      <c r="D15" s="20">
        <f>'D.1.2.6 Soupis prací s VV'!I142</f>
        <v>0</v>
      </c>
      <c r="H15" s="3"/>
      <c r="I15" s="3"/>
      <c r="J15" s="3"/>
      <c r="K15" s="3"/>
    </row>
    <row r="16" spans="1:11" ht="27.95" customHeight="1" thickBot="1" x14ac:dyDescent="0.25">
      <c r="A16" s="19"/>
      <c r="B16" s="36"/>
      <c r="C16" s="21" t="str">
        <f>'D.1.2.6 Soupis prací s VV'!E145</f>
        <v>Vybavení staveniště, přenosné zdroje, zabezpečení staveniště, sociální zařízení, včetně jeho odstranění</v>
      </c>
      <c r="D16" s="20">
        <f>'D.1.2.6 Soupis prací s VV'!I145</f>
        <v>0</v>
      </c>
      <c r="H16" s="11"/>
      <c r="I16" s="3"/>
      <c r="J16" s="3"/>
      <c r="K16" s="3"/>
    </row>
    <row r="17" spans="1:11" ht="12" customHeight="1" thickBot="1" x14ac:dyDescent="0.25">
      <c r="A17" s="12" t="s">
        <v>13</v>
      </c>
      <c r="B17" s="37">
        <f>SUM(B11:B16)</f>
        <v>0</v>
      </c>
      <c r="C17" s="12" t="s">
        <v>20</v>
      </c>
      <c r="D17" s="37">
        <f>SUM(D11:D16)</f>
        <v>0</v>
      </c>
      <c r="F17" s="13"/>
      <c r="H17" s="3"/>
      <c r="I17" s="3"/>
      <c r="J17" s="3"/>
      <c r="K17" s="3"/>
    </row>
    <row r="18" spans="1:11" ht="9.9499999999999993" customHeight="1" x14ac:dyDescent="0.2">
      <c r="A18" s="28"/>
      <c r="B18" s="22"/>
      <c r="C18" s="131"/>
      <c r="D18" s="132"/>
    </row>
    <row r="19" spans="1:11" ht="15" customHeight="1" x14ac:dyDescent="0.2">
      <c r="A19" s="29" t="s">
        <v>4</v>
      </c>
      <c r="B19" s="30">
        <f>D17+B17</f>
        <v>0</v>
      </c>
      <c r="C19" s="131"/>
      <c r="D19" s="132"/>
    </row>
    <row r="20" spans="1:11" ht="15" customHeight="1" x14ac:dyDescent="0.2">
      <c r="A20" s="31" t="s">
        <v>16</v>
      </c>
      <c r="B20" s="32">
        <f>0.21*B19</f>
        <v>0</v>
      </c>
      <c r="C20" s="131"/>
      <c r="D20" s="132"/>
    </row>
    <row r="21" spans="1:11" ht="9.9499999999999993" customHeight="1" thickBot="1" x14ac:dyDescent="0.25">
      <c r="A21" s="33"/>
      <c r="B21" s="34"/>
      <c r="C21" s="131"/>
      <c r="D21" s="132"/>
    </row>
    <row r="22" spans="1:11" ht="15" customHeight="1" thickBot="1" x14ac:dyDescent="0.25">
      <c r="A22" s="55" t="s">
        <v>12</v>
      </c>
      <c r="B22" s="58">
        <f>B19+B20</f>
        <v>0</v>
      </c>
      <c r="C22" s="133"/>
      <c r="D22" s="134"/>
    </row>
    <row r="23" spans="1:11" ht="12" customHeight="1" x14ac:dyDescent="0.2">
      <c r="A23" s="25" t="s">
        <v>5</v>
      </c>
      <c r="B23" s="22"/>
      <c r="C23" s="25" t="s">
        <v>21</v>
      </c>
      <c r="D23" s="23"/>
    </row>
    <row r="24" spans="1:11" ht="12" customHeight="1" x14ac:dyDescent="0.2">
      <c r="A24" s="26" t="s">
        <v>2</v>
      </c>
      <c r="B24" s="15"/>
      <c r="C24" s="26" t="s">
        <v>2</v>
      </c>
      <c r="D24" s="35" t="s">
        <v>15</v>
      </c>
    </row>
    <row r="25" spans="1:11" ht="12" customHeight="1" x14ac:dyDescent="0.2">
      <c r="A25" s="26" t="s">
        <v>0</v>
      </c>
      <c r="B25" s="15"/>
      <c r="C25" s="26" t="s">
        <v>0</v>
      </c>
      <c r="D25" s="24">
        <f ca="1">B7</f>
        <v>45870.365651041669</v>
      </c>
    </row>
    <row r="26" spans="1:11" ht="12" customHeight="1" thickBot="1" x14ac:dyDescent="0.25">
      <c r="A26" s="27" t="s">
        <v>3</v>
      </c>
      <c r="B26" s="18"/>
      <c r="C26" s="27" t="s">
        <v>3</v>
      </c>
      <c r="D26" s="18"/>
    </row>
    <row r="27" spans="1:11" ht="12" customHeight="1" x14ac:dyDescent="0.2">
      <c r="A27" s="5"/>
      <c r="B27" s="5"/>
      <c r="C27" s="5"/>
      <c r="D27" s="5"/>
    </row>
    <row r="28" spans="1:11" ht="15" customHeight="1" x14ac:dyDescent="0.2">
      <c r="B28" s="13"/>
    </row>
    <row r="29" spans="1:11" s="2" customFormat="1" ht="22.5" customHeight="1" x14ac:dyDescent="0.2"/>
    <row r="31" spans="1:11" ht="12" customHeight="1" x14ac:dyDescent="0.2"/>
    <row r="32" spans="1:11" ht="16.5" customHeight="1" x14ac:dyDescent="0.2"/>
    <row r="34" spans="1:4" ht="11.25" customHeight="1" x14ac:dyDescent="0.2">
      <c r="A34" s="6"/>
      <c r="B34" s="8"/>
      <c r="C34" s="4"/>
      <c r="D34" s="4"/>
    </row>
    <row r="35" spans="1:4" ht="15" customHeight="1" x14ac:dyDescent="0.2">
      <c r="A35" s="7"/>
      <c r="B35" s="9"/>
      <c r="C35" s="4"/>
      <c r="D35" s="4"/>
    </row>
    <row r="36" spans="1:4" ht="11.25" customHeight="1" x14ac:dyDescent="0.2">
      <c r="A36" s="4"/>
      <c r="B36" s="4"/>
      <c r="C36" s="4"/>
      <c r="D36" s="4"/>
    </row>
    <row r="37" spans="1:4" ht="11.25" customHeight="1" x14ac:dyDescent="0.2">
      <c r="A37" s="10"/>
      <c r="B37" s="4"/>
      <c r="C37" s="4"/>
      <c r="D37" s="4"/>
    </row>
    <row r="38" spans="1:4" ht="11.25" customHeight="1" x14ac:dyDescent="0.2">
      <c r="A38" s="4"/>
      <c r="B38" s="4"/>
      <c r="C38" s="122"/>
      <c r="D38" s="122"/>
    </row>
    <row r="39" spans="1:4" ht="12.75" customHeight="1" x14ac:dyDescent="0.2">
      <c r="A39" s="4"/>
      <c r="B39" s="4"/>
      <c r="C39" s="121"/>
      <c r="D39" s="121"/>
    </row>
    <row r="40" spans="1:4" ht="11.25" customHeight="1" x14ac:dyDescent="0.2">
      <c r="A40" s="4"/>
      <c r="B40" s="4"/>
      <c r="C40" s="4"/>
      <c r="D40" s="4"/>
    </row>
    <row r="41" spans="1:4" ht="11.25" customHeight="1" x14ac:dyDescent="0.2">
      <c r="A41" s="4"/>
      <c r="B41" s="4"/>
      <c r="C41" s="4"/>
      <c r="D41" s="4"/>
    </row>
  </sheetData>
  <mergeCells count="10">
    <mergeCell ref="B2:D2"/>
    <mergeCell ref="C39:D39"/>
    <mergeCell ref="C38:D38"/>
    <mergeCell ref="B6:D6"/>
    <mergeCell ref="B4:D4"/>
    <mergeCell ref="B5:D5"/>
    <mergeCell ref="A10:B10"/>
    <mergeCell ref="C10:D10"/>
    <mergeCell ref="C18:D22"/>
    <mergeCell ref="B3:D3"/>
  </mergeCells>
  <printOptions horizontalCentered="1"/>
  <pageMargins left="0.39370078740157483" right="0.39370078740157483" top="0.78740157480314965" bottom="0.39370078740157483" header="0.19685039370078741" footer="0.19685039370078741"/>
  <pageSetup paperSize="9" scale="96" firstPageNumber="0"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147"/>
  <sheetViews>
    <sheetView showGridLines="0" zoomScaleNormal="100" zoomScaleSheetLayoutView="80" workbookViewId="0">
      <selection activeCell="G5" sqref="G5"/>
    </sheetView>
  </sheetViews>
  <sheetFormatPr defaultRowHeight="12.75" customHeight="1" x14ac:dyDescent="0.2"/>
  <cols>
    <col min="1" max="1" width="3.140625" style="39" customWidth="1"/>
    <col min="2" max="2" width="3.140625" style="38" customWidth="1"/>
    <col min="3" max="3" width="11.7109375" style="38" customWidth="1"/>
    <col min="4" max="4" width="10.7109375" style="38" customWidth="1"/>
    <col min="5" max="5" width="80.7109375" style="39" customWidth="1"/>
    <col min="6" max="6" width="6.7109375" style="38" customWidth="1"/>
    <col min="7" max="7" width="8.7109375" style="40" customWidth="1"/>
    <col min="8" max="8" width="11.7109375" style="40" customWidth="1"/>
    <col min="9" max="9" width="14.7109375" style="40" customWidth="1"/>
    <col min="10" max="10" width="8.7109375" style="39" customWidth="1"/>
    <col min="11" max="16384" width="9.140625" style="39"/>
  </cols>
  <sheetData>
    <row r="1" spans="2:10" ht="2.1" customHeight="1" thickBot="1" x14ac:dyDescent="0.25"/>
    <row r="2" spans="2:10" ht="30" customHeight="1" thickBot="1" x14ac:dyDescent="0.25">
      <c r="B2" s="53"/>
      <c r="C2" s="54"/>
      <c r="D2" s="54"/>
      <c r="E2" s="59" t="s">
        <v>192</v>
      </c>
      <c r="F2" s="54"/>
      <c r="G2" s="54"/>
      <c r="H2" s="54"/>
      <c r="I2" s="82"/>
    </row>
    <row r="3" spans="2:10" ht="30" customHeight="1" thickBot="1" x14ac:dyDescent="0.25">
      <c r="B3" s="41" t="s">
        <v>19</v>
      </c>
      <c r="C3" s="42" t="s">
        <v>62</v>
      </c>
      <c r="D3" s="42" t="s">
        <v>58</v>
      </c>
      <c r="E3" s="42" t="s">
        <v>63</v>
      </c>
      <c r="F3" s="42" t="s">
        <v>6</v>
      </c>
      <c r="G3" s="43" t="s">
        <v>59</v>
      </c>
      <c r="H3" s="43" t="s">
        <v>9</v>
      </c>
      <c r="I3" s="44" t="s">
        <v>7</v>
      </c>
    </row>
    <row r="4" spans="2:10" ht="15" customHeight="1" thickBot="1" x14ac:dyDescent="0.25">
      <c r="B4" s="46"/>
      <c r="C4" s="47"/>
      <c r="D4" s="47"/>
      <c r="E4" s="48" t="s">
        <v>29</v>
      </c>
      <c r="F4" s="49"/>
      <c r="G4" s="49"/>
      <c r="H4" s="49"/>
      <c r="I4" s="83"/>
    </row>
    <row r="5" spans="2:10" ht="15" customHeight="1" thickBot="1" x14ac:dyDescent="0.25">
      <c r="B5" s="70">
        <f>1+MAX($B3:B$4)</f>
        <v>1</v>
      </c>
      <c r="C5" s="72" t="s">
        <v>31</v>
      </c>
      <c r="D5" s="72" t="s">
        <v>60</v>
      </c>
      <c r="E5" s="103" t="s">
        <v>78</v>
      </c>
      <c r="F5" s="96" t="s">
        <v>22</v>
      </c>
      <c r="G5" s="99">
        <f>CEILING((22)*1*1.2,1)</f>
        <v>27</v>
      </c>
      <c r="H5" s="71"/>
      <c r="I5" s="84"/>
    </row>
    <row r="6" spans="2:10" ht="15" customHeight="1" x14ac:dyDescent="0.2">
      <c r="B6" s="65"/>
      <c r="C6" s="62"/>
      <c r="D6" s="62"/>
      <c r="E6" s="77" t="s">
        <v>164</v>
      </c>
      <c r="F6" s="62"/>
      <c r="G6" s="106"/>
      <c r="H6" s="86"/>
      <c r="I6" s="87"/>
    </row>
    <row r="7" spans="2:10" ht="63.95" customHeight="1" thickBot="1" x14ac:dyDescent="0.25">
      <c r="B7" s="66"/>
      <c r="C7" s="67"/>
      <c r="D7" s="67"/>
      <c r="E7" s="78" t="s">
        <v>109</v>
      </c>
      <c r="F7" s="67"/>
      <c r="G7" s="117"/>
      <c r="H7" s="69"/>
      <c r="I7" s="88"/>
    </row>
    <row r="8" spans="2:10" ht="27" customHeight="1" thickBot="1" x14ac:dyDescent="0.25">
      <c r="B8" s="70">
        <f>1+MAX($B$3:B7)</f>
        <v>2</v>
      </c>
      <c r="C8" s="72">
        <v>184818242</v>
      </c>
      <c r="D8" s="72" t="s">
        <v>98</v>
      </c>
      <c r="E8" s="103" t="s">
        <v>108</v>
      </c>
      <c r="F8" s="72" t="s">
        <v>77</v>
      </c>
      <c r="G8" s="99">
        <f>2</f>
        <v>2</v>
      </c>
      <c r="H8" s="71"/>
      <c r="I8" s="84"/>
      <c r="J8" s="45"/>
    </row>
    <row r="9" spans="2:10" ht="15" customHeight="1" x14ac:dyDescent="0.2">
      <c r="B9" s="65"/>
      <c r="C9" s="62"/>
      <c r="D9" s="62"/>
      <c r="E9" s="77" t="s">
        <v>163</v>
      </c>
      <c r="F9" s="62"/>
      <c r="G9" s="106"/>
      <c r="H9" s="86"/>
      <c r="I9" s="87"/>
      <c r="J9" s="45"/>
    </row>
    <row r="10" spans="2:10" ht="48.75" thickBot="1" x14ac:dyDescent="0.25">
      <c r="B10" s="65"/>
      <c r="C10" s="67"/>
      <c r="D10" s="67"/>
      <c r="E10" s="78" t="s">
        <v>112</v>
      </c>
      <c r="F10" s="67"/>
      <c r="G10" s="117"/>
      <c r="H10" s="69"/>
      <c r="I10" s="87"/>
      <c r="J10" s="45"/>
    </row>
    <row r="11" spans="2:10" ht="15" thickBot="1" x14ac:dyDescent="0.25">
      <c r="B11" s="70">
        <f>1+MAX($B$3:B10)</f>
        <v>3</v>
      </c>
      <c r="C11" s="72">
        <v>122251102</v>
      </c>
      <c r="D11" s="72" t="s">
        <v>98</v>
      </c>
      <c r="E11" s="103" t="s">
        <v>173</v>
      </c>
      <c r="F11" s="118" t="s">
        <v>37</v>
      </c>
      <c r="G11" s="99">
        <f>CEILING(16*((2.2+0.5)*1*0.5)*1.2,1)</f>
        <v>26</v>
      </c>
      <c r="H11" s="71"/>
      <c r="I11" s="84"/>
      <c r="J11" s="45"/>
    </row>
    <row r="12" spans="2:10" ht="28.5" x14ac:dyDescent="0.2">
      <c r="B12" s="65"/>
      <c r="C12" s="62"/>
      <c r="D12" s="62"/>
      <c r="E12" s="77" t="s">
        <v>175</v>
      </c>
      <c r="F12" s="62"/>
      <c r="G12" s="106"/>
      <c r="H12" s="86"/>
      <c r="I12" s="87"/>
      <c r="J12" s="45"/>
    </row>
    <row r="13" spans="2:10" ht="50.1" customHeight="1" thickBot="1" x14ac:dyDescent="0.25">
      <c r="B13" s="65"/>
      <c r="C13" s="67"/>
      <c r="D13" s="67"/>
      <c r="E13" s="78" t="s">
        <v>188</v>
      </c>
      <c r="F13" s="67"/>
      <c r="G13" s="68"/>
      <c r="H13" s="69"/>
      <c r="I13" s="87"/>
      <c r="J13" s="45"/>
    </row>
    <row r="14" spans="2:10" ht="15" customHeight="1" thickBot="1" x14ac:dyDescent="0.25">
      <c r="B14" s="70">
        <f>1+MAX($B$3:B13)</f>
        <v>4</v>
      </c>
      <c r="C14" s="72">
        <v>966072824</v>
      </c>
      <c r="D14" s="72" t="s">
        <v>98</v>
      </c>
      <c r="E14" s="103" t="s">
        <v>174</v>
      </c>
      <c r="F14" s="72" t="s">
        <v>8</v>
      </c>
      <c r="G14" s="99">
        <f>CEILING((11)*1,1)</f>
        <v>11</v>
      </c>
      <c r="H14" s="71"/>
      <c r="I14" s="84"/>
      <c r="J14" s="45"/>
    </row>
    <row r="15" spans="2:10" ht="12" x14ac:dyDescent="0.2">
      <c r="B15" s="65"/>
      <c r="C15" s="62"/>
      <c r="D15" s="62"/>
      <c r="E15" s="77" t="s">
        <v>190</v>
      </c>
      <c r="F15" s="62"/>
      <c r="G15" s="106"/>
      <c r="H15" s="86"/>
      <c r="I15" s="87"/>
      <c r="J15" s="45"/>
    </row>
    <row r="16" spans="2:10" ht="50.1" customHeight="1" thickBot="1" x14ac:dyDescent="0.25">
      <c r="B16" s="65"/>
      <c r="C16" s="67"/>
      <c r="D16" s="67"/>
      <c r="E16" s="78" t="s">
        <v>189</v>
      </c>
      <c r="F16" s="67"/>
      <c r="G16" s="117"/>
      <c r="H16" s="69"/>
      <c r="I16" s="87"/>
      <c r="J16" s="45"/>
    </row>
    <row r="17" spans="2:10" ht="15" customHeight="1" thickBot="1" x14ac:dyDescent="0.25">
      <c r="B17" s="70">
        <f>1+MAX($B$3:B16)</f>
        <v>5</v>
      </c>
      <c r="C17" s="98" t="s">
        <v>89</v>
      </c>
      <c r="D17" s="96" t="s">
        <v>61</v>
      </c>
      <c r="E17" s="97" t="s">
        <v>157</v>
      </c>
      <c r="F17" s="96" t="s">
        <v>22</v>
      </c>
      <c r="G17" s="99">
        <f>CEILING(G20*2,1)</f>
        <v>48</v>
      </c>
      <c r="H17" s="71"/>
      <c r="I17" s="84"/>
      <c r="J17" s="45"/>
    </row>
    <row r="18" spans="2:10" ht="15" customHeight="1" x14ac:dyDescent="0.2">
      <c r="B18" s="65"/>
      <c r="C18" s="62"/>
      <c r="D18" s="62"/>
      <c r="E18" s="77" t="s">
        <v>177</v>
      </c>
      <c r="F18" s="62"/>
      <c r="G18" s="106"/>
      <c r="H18" s="86"/>
      <c r="I18" s="87"/>
      <c r="J18" s="45"/>
    </row>
    <row r="19" spans="2:10" ht="27" customHeight="1" thickBot="1" x14ac:dyDescent="0.25">
      <c r="B19" s="65"/>
      <c r="C19" s="67"/>
      <c r="D19" s="67"/>
      <c r="E19" s="78" t="s">
        <v>79</v>
      </c>
      <c r="F19" s="67"/>
      <c r="G19" s="117"/>
      <c r="H19" s="69"/>
      <c r="I19" s="87"/>
      <c r="J19" s="45"/>
    </row>
    <row r="20" spans="2:10" ht="15" customHeight="1" thickBot="1" x14ac:dyDescent="0.25">
      <c r="B20" s="70">
        <f>1+MAX($B$3:B19)</f>
        <v>6</v>
      </c>
      <c r="C20" s="96">
        <v>911381823</v>
      </c>
      <c r="D20" s="72" t="s">
        <v>98</v>
      </c>
      <c r="E20" s="103" t="s">
        <v>155</v>
      </c>
      <c r="F20" s="72" t="s">
        <v>8</v>
      </c>
      <c r="G20" s="99">
        <f>24</f>
        <v>24</v>
      </c>
      <c r="H20" s="71"/>
      <c r="I20" s="84"/>
      <c r="J20" s="45"/>
    </row>
    <row r="21" spans="2:10" ht="15" customHeight="1" x14ac:dyDescent="0.2">
      <c r="B21" s="65"/>
      <c r="C21" s="62"/>
      <c r="D21" s="62"/>
      <c r="E21" s="77" t="s">
        <v>176</v>
      </c>
      <c r="F21" s="62"/>
      <c r="G21" s="106"/>
      <c r="H21" s="86"/>
      <c r="I21" s="87"/>
      <c r="J21" s="45"/>
    </row>
    <row r="22" spans="2:10" ht="15" customHeight="1" thickBot="1" x14ac:dyDescent="0.25">
      <c r="B22" s="66"/>
      <c r="C22" s="67"/>
      <c r="D22" s="67"/>
      <c r="E22" s="78" t="s">
        <v>156</v>
      </c>
      <c r="F22" s="67"/>
      <c r="G22" s="117"/>
      <c r="H22" s="69"/>
      <c r="I22" s="88"/>
      <c r="J22" s="45"/>
    </row>
    <row r="23" spans="2:10" ht="15" customHeight="1" thickBot="1" x14ac:dyDescent="0.25">
      <c r="B23" s="46"/>
      <c r="C23" s="47"/>
      <c r="D23" s="47"/>
      <c r="E23" s="48" t="s">
        <v>107</v>
      </c>
      <c r="F23" s="49"/>
      <c r="G23" s="49"/>
      <c r="H23" s="49"/>
      <c r="I23" s="83"/>
    </row>
    <row r="24" spans="2:10" ht="36.75" thickBot="1" x14ac:dyDescent="0.25">
      <c r="B24" s="70">
        <f>1+MAX($B$3:B23)</f>
        <v>7</v>
      </c>
      <c r="C24" s="72">
        <v>112151352</v>
      </c>
      <c r="D24" s="72" t="s">
        <v>98</v>
      </c>
      <c r="E24" s="103" t="s">
        <v>184</v>
      </c>
      <c r="F24" s="96" t="s">
        <v>77</v>
      </c>
      <c r="G24" s="109">
        <f>3</f>
        <v>3</v>
      </c>
      <c r="H24" s="71"/>
      <c r="I24" s="84"/>
    </row>
    <row r="25" spans="2:10" ht="15" customHeight="1" x14ac:dyDescent="0.2">
      <c r="B25" s="65"/>
      <c r="C25" s="62"/>
      <c r="D25" s="62"/>
      <c r="E25" s="77" t="s">
        <v>110</v>
      </c>
      <c r="F25" s="62"/>
      <c r="G25" s="85"/>
      <c r="H25" s="86"/>
      <c r="I25" s="87"/>
    </row>
    <row r="26" spans="2:10" ht="60.75" thickBot="1" x14ac:dyDescent="0.25">
      <c r="B26" s="66"/>
      <c r="C26" s="67"/>
      <c r="D26" s="67"/>
      <c r="E26" s="78" t="s">
        <v>158</v>
      </c>
      <c r="F26" s="67"/>
      <c r="G26" s="68"/>
      <c r="H26" s="69"/>
      <c r="I26" s="88"/>
    </row>
    <row r="27" spans="2:10" ht="38.1" customHeight="1" thickBot="1" x14ac:dyDescent="0.25">
      <c r="B27" s="70">
        <f>1+MAX($B$3:B26)</f>
        <v>8</v>
      </c>
      <c r="C27" s="72">
        <v>112211272</v>
      </c>
      <c r="D27" s="72" t="s">
        <v>98</v>
      </c>
      <c r="E27" s="103" t="s">
        <v>185</v>
      </c>
      <c r="F27" s="96" t="s">
        <v>77</v>
      </c>
      <c r="G27" s="109">
        <f>CEILING(G24*0.65,1)</f>
        <v>2</v>
      </c>
      <c r="H27" s="71"/>
      <c r="I27" s="84"/>
    </row>
    <row r="28" spans="2:10" ht="15" customHeight="1" x14ac:dyDescent="0.2">
      <c r="B28" s="65"/>
      <c r="C28" s="62"/>
      <c r="D28" s="62"/>
      <c r="E28" s="77" t="s">
        <v>186</v>
      </c>
      <c r="F28" s="62"/>
      <c r="G28" s="85"/>
      <c r="H28" s="86"/>
      <c r="I28" s="87"/>
    </row>
    <row r="29" spans="2:10" ht="50.1" customHeight="1" thickBot="1" x14ac:dyDescent="0.25">
      <c r="B29" s="66"/>
      <c r="C29" s="67"/>
      <c r="D29" s="67"/>
      <c r="E29" s="78" t="s">
        <v>111</v>
      </c>
      <c r="F29" s="67"/>
      <c r="G29" s="68"/>
      <c r="H29" s="69"/>
      <c r="I29" s="88"/>
    </row>
    <row r="30" spans="2:10" ht="27" customHeight="1" thickBot="1" x14ac:dyDescent="0.25">
      <c r="B30" s="70">
        <f>1+MAX($B$3:B29)</f>
        <v>9</v>
      </c>
      <c r="C30" s="72">
        <v>155211112</v>
      </c>
      <c r="D30" s="72" t="s">
        <v>98</v>
      </c>
      <c r="E30" s="103" t="s">
        <v>83</v>
      </c>
      <c r="F30" s="96" t="s">
        <v>22</v>
      </c>
      <c r="G30" s="109">
        <f>CEILING(0.75*(327)*2.13*1.2,1)</f>
        <v>627</v>
      </c>
      <c r="H30" s="71"/>
      <c r="I30" s="84"/>
    </row>
    <row r="31" spans="2:10" ht="15" customHeight="1" x14ac:dyDescent="0.2">
      <c r="B31" s="65"/>
      <c r="C31" s="62"/>
      <c r="D31" s="62"/>
      <c r="E31" s="77" t="s">
        <v>165</v>
      </c>
      <c r="F31" s="62"/>
      <c r="G31" s="110"/>
      <c r="H31" s="86"/>
      <c r="I31" s="87"/>
      <c r="J31" s="62"/>
    </row>
    <row r="32" spans="2:10" ht="39.950000000000003" customHeight="1" thickBot="1" x14ac:dyDescent="0.25">
      <c r="B32" s="66"/>
      <c r="C32" s="67"/>
      <c r="D32" s="67"/>
      <c r="E32" s="78" t="s">
        <v>97</v>
      </c>
      <c r="F32" s="67"/>
      <c r="G32" s="111"/>
      <c r="H32" s="69"/>
      <c r="I32" s="88"/>
    </row>
    <row r="33" spans="2:10" ht="15" customHeight="1" thickBot="1" x14ac:dyDescent="0.25">
      <c r="B33" s="70">
        <f>1+MAX($B$3:B32)</f>
        <v>10</v>
      </c>
      <c r="C33" s="72">
        <v>112155315</v>
      </c>
      <c r="D33" s="72" t="s">
        <v>98</v>
      </c>
      <c r="E33" s="103" t="s">
        <v>84</v>
      </c>
      <c r="F33" s="96" t="s">
        <v>22</v>
      </c>
      <c r="G33" s="109">
        <f>G30</f>
        <v>627</v>
      </c>
      <c r="H33" s="71"/>
      <c r="I33" s="84"/>
      <c r="J33" s="62"/>
    </row>
    <row r="34" spans="2:10" ht="15" customHeight="1" x14ac:dyDescent="0.2">
      <c r="B34" s="65"/>
      <c r="C34" s="62"/>
      <c r="D34" s="62"/>
      <c r="E34" s="77" t="s">
        <v>50</v>
      </c>
      <c r="F34" s="62"/>
      <c r="G34" s="85"/>
      <c r="H34" s="86"/>
      <c r="I34" s="87"/>
      <c r="J34" s="62"/>
    </row>
    <row r="35" spans="2:10" ht="38.1" customHeight="1" thickBot="1" x14ac:dyDescent="0.25">
      <c r="B35" s="66"/>
      <c r="C35" s="67"/>
      <c r="D35" s="67"/>
      <c r="E35" s="78" t="s">
        <v>113</v>
      </c>
      <c r="F35" s="67"/>
      <c r="G35" s="68"/>
      <c r="H35" s="69"/>
      <c r="I35" s="88"/>
      <c r="J35" s="63"/>
    </row>
    <row r="36" spans="2:10" ht="15" customHeight="1" thickBot="1" x14ac:dyDescent="0.25">
      <c r="B36" s="70">
        <f>1+MAX($B$3:B35)</f>
        <v>11</v>
      </c>
      <c r="C36" s="96">
        <v>155211122</v>
      </c>
      <c r="D36" s="72" t="s">
        <v>98</v>
      </c>
      <c r="E36" s="97" t="s">
        <v>85</v>
      </c>
      <c r="F36" s="96" t="s">
        <v>37</v>
      </c>
      <c r="G36" s="99">
        <f>18.7</f>
        <v>18.7</v>
      </c>
      <c r="H36" s="71"/>
      <c r="I36" s="84"/>
    </row>
    <row r="37" spans="2:10" ht="15" customHeight="1" x14ac:dyDescent="0.2">
      <c r="B37" s="65"/>
      <c r="C37" s="62"/>
      <c r="D37" s="62"/>
      <c r="E37" s="77" t="s">
        <v>166</v>
      </c>
      <c r="F37" s="62"/>
      <c r="G37" s="110"/>
      <c r="H37" s="86"/>
      <c r="I37" s="87"/>
    </row>
    <row r="38" spans="2:10" ht="50.1" customHeight="1" thickBot="1" x14ac:dyDescent="0.25">
      <c r="B38" s="66"/>
      <c r="C38" s="67"/>
      <c r="D38" s="67"/>
      <c r="E38" s="78" t="s">
        <v>114</v>
      </c>
      <c r="F38" s="67"/>
      <c r="G38" s="111"/>
      <c r="H38" s="69"/>
      <c r="I38" s="88"/>
    </row>
    <row r="39" spans="2:10" ht="27" customHeight="1" thickBot="1" x14ac:dyDescent="0.25">
      <c r="B39" s="70">
        <f>1+MAX($B$3:B38)</f>
        <v>12</v>
      </c>
      <c r="C39" s="96">
        <v>155211311</v>
      </c>
      <c r="D39" s="72" t="s">
        <v>98</v>
      </c>
      <c r="E39" s="97" t="s">
        <v>86</v>
      </c>
      <c r="F39" s="96" t="s">
        <v>37</v>
      </c>
      <c r="G39" s="99">
        <f>6.5</f>
        <v>6.5</v>
      </c>
      <c r="H39" s="71"/>
      <c r="I39" s="84"/>
    </row>
    <row r="40" spans="2:10" ht="15" customHeight="1" x14ac:dyDescent="0.2">
      <c r="B40" s="65"/>
      <c r="C40" s="62"/>
      <c r="D40" s="62"/>
      <c r="E40" s="77" t="s">
        <v>116</v>
      </c>
      <c r="F40" s="62"/>
      <c r="G40" s="110"/>
      <c r="H40" s="86"/>
      <c r="I40" s="87"/>
    </row>
    <row r="41" spans="2:10" ht="65.099999999999994" customHeight="1" thickBot="1" x14ac:dyDescent="0.25">
      <c r="B41" s="66"/>
      <c r="C41" s="67"/>
      <c r="D41" s="67"/>
      <c r="E41" s="78" t="s">
        <v>115</v>
      </c>
      <c r="F41" s="67"/>
      <c r="G41" s="68"/>
      <c r="H41" s="69"/>
      <c r="I41" s="88"/>
    </row>
    <row r="42" spans="2:10" ht="15" customHeight="1" thickBot="1" x14ac:dyDescent="0.25">
      <c r="B42" s="46"/>
      <c r="C42" s="47"/>
      <c r="D42" s="47"/>
      <c r="E42" s="50" t="s">
        <v>94</v>
      </c>
      <c r="F42" s="47"/>
      <c r="G42" s="47"/>
      <c r="H42" s="61"/>
      <c r="I42" s="89"/>
    </row>
    <row r="43" spans="2:10" ht="27" customHeight="1" thickBot="1" x14ac:dyDescent="0.25">
      <c r="B43" s="70">
        <f>1+MAX($B$3:B42)</f>
        <v>13</v>
      </c>
      <c r="C43" s="72">
        <v>155213612</v>
      </c>
      <c r="D43" s="72" t="s">
        <v>98</v>
      </c>
      <c r="E43" s="103" t="s">
        <v>80</v>
      </c>
      <c r="F43" s="96" t="s">
        <v>77</v>
      </c>
      <c r="G43" s="99">
        <f>CEILING(((20+29)*1.2/2+2)+((20+7)*1.2/2+2)+(G52/(2*2)*1.1),1)</f>
        <v>210</v>
      </c>
      <c r="H43" s="71"/>
      <c r="I43" s="84"/>
    </row>
    <row r="44" spans="2:10" ht="38.1" customHeight="1" x14ac:dyDescent="0.2">
      <c r="B44" s="65"/>
      <c r="C44" s="62"/>
      <c r="D44" s="62"/>
      <c r="E44" s="77" t="s">
        <v>168</v>
      </c>
      <c r="F44" s="62"/>
      <c r="G44" s="110"/>
      <c r="H44" s="112"/>
      <c r="I44" s="87"/>
    </row>
    <row r="45" spans="2:10" ht="38.1" customHeight="1" thickBot="1" x14ac:dyDescent="0.25">
      <c r="B45" s="66"/>
      <c r="C45" s="67"/>
      <c r="D45" s="67"/>
      <c r="E45" s="78" t="s">
        <v>123</v>
      </c>
      <c r="F45" s="67"/>
      <c r="G45" s="111"/>
      <c r="H45" s="113"/>
      <c r="I45" s="88"/>
    </row>
    <row r="46" spans="2:10" ht="15" thickBot="1" x14ac:dyDescent="0.25">
      <c r="B46" s="70">
        <f>1+MAX($B$3:B45)</f>
        <v>14</v>
      </c>
      <c r="C46" s="96">
        <v>789321110</v>
      </c>
      <c r="D46" s="72" t="s">
        <v>98</v>
      </c>
      <c r="E46" s="97" t="s">
        <v>48</v>
      </c>
      <c r="F46" s="96" t="s">
        <v>22</v>
      </c>
      <c r="G46" s="99">
        <f>CEILING((((2*(PI()*(0.032^2)/4))+(PI()*0.032))*1.3*(2.5*G43)+((2*0.15*0.15+4*0.15*0.008)*(G43)))*1.2,1)</f>
        <v>97</v>
      </c>
      <c r="H46" s="71"/>
      <c r="I46" s="84"/>
    </row>
    <row r="47" spans="2:10" ht="26.25" x14ac:dyDescent="0.2">
      <c r="B47" s="65"/>
      <c r="C47" s="62"/>
      <c r="D47" s="62"/>
      <c r="E47" s="77" t="s">
        <v>121</v>
      </c>
      <c r="F47" s="62"/>
      <c r="G47" s="107"/>
      <c r="H47" s="86"/>
      <c r="I47" s="87"/>
    </row>
    <row r="48" spans="2:10" ht="39" thickBot="1" x14ac:dyDescent="0.25">
      <c r="B48" s="66"/>
      <c r="C48" s="67"/>
      <c r="D48" s="67"/>
      <c r="E48" s="78" t="s">
        <v>96</v>
      </c>
      <c r="F48" s="67"/>
      <c r="G48" s="68"/>
      <c r="H48" s="69"/>
      <c r="I48" s="88"/>
    </row>
    <row r="49" spans="2:10" ht="15" thickBot="1" x14ac:dyDescent="0.25">
      <c r="B49" s="70">
        <f>1+MAX($B$3:B48)</f>
        <v>15</v>
      </c>
      <c r="C49" s="96">
        <v>789321120</v>
      </c>
      <c r="D49" s="72" t="s">
        <v>98</v>
      </c>
      <c r="E49" s="97" t="s">
        <v>33</v>
      </c>
      <c r="F49" s="96" t="s">
        <v>22</v>
      </c>
      <c r="G49" s="109">
        <f>CEILING((((2*(PI()*(0.032^2)/4))+(PI()*0.032))*1.3*0.4*(G43)+((2*0.15*0.15+4*0.15*0.008)*(G43)))*2*1.2,1)</f>
        <v>52</v>
      </c>
      <c r="H49" s="71"/>
      <c r="I49" s="84"/>
    </row>
    <row r="50" spans="2:10" ht="27" customHeight="1" x14ac:dyDescent="0.2">
      <c r="B50" s="65"/>
      <c r="C50" s="62"/>
      <c r="D50" s="62"/>
      <c r="E50" s="77" t="s">
        <v>122</v>
      </c>
      <c r="F50" s="62"/>
      <c r="G50" s="85"/>
      <c r="H50" s="86"/>
      <c r="I50" s="87"/>
    </row>
    <row r="51" spans="2:10" ht="36.75" thickBot="1" x14ac:dyDescent="0.25">
      <c r="B51" s="66"/>
      <c r="C51" s="67"/>
      <c r="D51" s="67"/>
      <c r="E51" s="78" t="s">
        <v>95</v>
      </c>
      <c r="F51" s="67"/>
      <c r="G51" s="68"/>
      <c r="H51" s="69"/>
      <c r="I51" s="88"/>
    </row>
    <row r="52" spans="2:10" ht="15" thickBot="1" x14ac:dyDescent="0.25">
      <c r="B52" s="70">
        <f>1+MAX($B$3:B51)</f>
        <v>16</v>
      </c>
      <c r="C52" s="96">
        <v>155214111</v>
      </c>
      <c r="D52" s="72" t="s">
        <v>98</v>
      </c>
      <c r="E52" s="108" t="s">
        <v>34</v>
      </c>
      <c r="F52" s="96" t="s">
        <v>22</v>
      </c>
      <c r="G52" s="99">
        <f>CEILING((228)*2.13*1.2,1)</f>
        <v>583</v>
      </c>
      <c r="H52" s="71"/>
      <c r="I52" s="84"/>
      <c r="J52" s="60"/>
    </row>
    <row r="53" spans="2:10" ht="15" customHeight="1" x14ac:dyDescent="0.2">
      <c r="B53" s="65"/>
      <c r="C53" s="62"/>
      <c r="D53" s="62"/>
      <c r="E53" s="77" t="s">
        <v>167</v>
      </c>
      <c r="F53" s="62"/>
      <c r="G53" s="110"/>
      <c r="H53" s="86"/>
      <c r="I53" s="87"/>
      <c r="J53" s="60"/>
    </row>
    <row r="54" spans="2:10" ht="24.75" thickBot="1" x14ac:dyDescent="0.25">
      <c r="B54" s="66"/>
      <c r="C54" s="67"/>
      <c r="D54" s="67"/>
      <c r="E54" s="78" t="s">
        <v>117</v>
      </c>
      <c r="F54" s="67"/>
      <c r="G54" s="111"/>
      <c r="H54" s="69"/>
      <c r="I54" s="88"/>
      <c r="J54" s="60"/>
    </row>
    <row r="55" spans="2:10" ht="12.95" customHeight="1" thickBot="1" x14ac:dyDescent="0.25">
      <c r="B55" s="70">
        <f>1+MAX($B$3:B54)</f>
        <v>17</v>
      </c>
      <c r="C55" s="96" t="s">
        <v>119</v>
      </c>
      <c r="D55" s="96" t="s">
        <v>61</v>
      </c>
      <c r="E55" s="97" t="s">
        <v>118</v>
      </c>
      <c r="F55" s="96" t="s">
        <v>22</v>
      </c>
      <c r="G55" s="99">
        <f>CEILING(G52*1.2,1)</f>
        <v>700</v>
      </c>
      <c r="H55" s="71"/>
      <c r="I55" s="84"/>
      <c r="J55" s="64"/>
    </row>
    <row r="56" spans="2:10" ht="14.25" x14ac:dyDescent="0.2">
      <c r="B56" s="65"/>
      <c r="C56" s="62"/>
      <c r="D56" s="62"/>
      <c r="E56" s="77" t="s">
        <v>87</v>
      </c>
      <c r="F56" s="62"/>
      <c r="G56" s="85"/>
      <c r="H56" s="86"/>
      <c r="I56" s="87"/>
      <c r="J56" s="64"/>
    </row>
    <row r="57" spans="2:10" ht="36.75" thickBot="1" x14ac:dyDescent="0.25">
      <c r="B57" s="66"/>
      <c r="C57" s="67"/>
      <c r="D57" s="67"/>
      <c r="E57" s="78" t="s">
        <v>120</v>
      </c>
      <c r="F57" s="67"/>
      <c r="G57" s="68"/>
      <c r="H57" s="69"/>
      <c r="I57" s="88"/>
      <c r="J57" s="64"/>
    </row>
    <row r="58" spans="2:10" ht="15" thickBot="1" x14ac:dyDescent="0.25">
      <c r="B58" s="70">
        <f>1+MAX($B$3:B57)</f>
        <v>18</v>
      </c>
      <c r="C58" s="96">
        <v>155214112</v>
      </c>
      <c r="D58" s="72" t="s">
        <v>98</v>
      </c>
      <c r="E58" s="97" t="s">
        <v>72</v>
      </c>
      <c r="F58" s="96" t="s">
        <v>22</v>
      </c>
      <c r="G58" s="99">
        <f>CEILING(0.35*G52,1)</f>
        <v>205</v>
      </c>
      <c r="H58" s="71"/>
      <c r="I58" s="84"/>
      <c r="J58" s="64"/>
    </row>
    <row r="59" spans="2:10" ht="14.25" x14ac:dyDescent="0.2">
      <c r="B59" s="65"/>
      <c r="C59" s="62"/>
      <c r="D59" s="62"/>
      <c r="E59" s="77" t="s">
        <v>101</v>
      </c>
      <c r="F59" s="62"/>
      <c r="G59" s="85"/>
      <c r="H59" s="86"/>
      <c r="I59" s="87"/>
      <c r="J59" s="64"/>
    </row>
    <row r="60" spans="2:10" ht="36.75" thickBot="1" x14ac:dyDescent="0.25">
      <c r="B60" s="66"/>
      <c r="C60" s="67"/>
      <c r="D60" s="67"/>
      <c r="E60" s="78" t="s">
        <v>76</v>
      </c>
      <c r="F60" s="67"/>
      <c r="G60" s="68"/>
      <c r="H60" s="69"/>
      <c r="I60" s="88"/>
      <c r="J60" s="64"/>
    </row>
    <row r="61" spans="2:10" ht="15" thickBot="1" x14ac:dyDescent="0.25">
      <c r="B61" s="70">
        <f>1+MAX($B$3:B60)</f>
        <v>19</v>
      </c>
      <c r="C61" s="96">
        <v>69321111</v>
      </c>
      <c r="D61" s="72" t="s">
        <v>98</v>
      </c>
      <c r="E61" s="97" t="s">
        <v>69</v>
      </c>
      <c r="F61" s="96" t="s">
        <v>22</v>
      </c>
      <c r="G61" s="99">
        <f>CEILING(G58*1.2,1)</f>
        <v>246</v>
      </c>
      <c r="H61" s="71"/>
      <c r="I61" s="84"/>
      <c r="J61" s="64"/>
    </row>
    <row r="62" spans="2:10" ht="14.25" x14ac:dyDescent="0.2">
      <c r="B62" s="65"/>
      <c r="C62" s="62"/>
      <c r="D62" s="62"/>
      <c r="E62" s="77" t="s">
        <v>73</v>
      </c>
      <c r="F62" s="62"/>
      <c r="G62" s="85"/>
      <c r="H62" s="86"/>
      <c r="I62" s="87"/>
      <c r="J62" s="64"/>
    </row>
    <row r="63" spans="2:10" ht="29.1" customHeight="1" thickBot="1" x14ac:dyDescent="0.25">
      <c r="B63" s="66"/>
      <c r="C63" s="67"/>
      <c r="D63" s="67"/>
      <c r="E63" s="78" t="s">
        <v>88</v>
      </c>
      <c r="F63" s="67"/>
      <c r="G63" s="68"/>
      <c r="H63" s="69"/>
      <c r="I63" s="88"/>
      <c r="J63" s="64"/>
    </row>
    <row r="64" spans="2:10" thickBot="1" x14ac:dyDescent="0.25">
      <c r="B64" s="70">
        <f>1+MAX($B$3:B63)</f>
        <v>20</v>
      </c>
      <c r="C64" s="96">
        <v>155214211</v>
      </c>
      <c r="D64" s="72" t="s">
        <v>98</v>
      </c>
      <c r="E64" s="97" t="s">
        <v>35</v>
      </c>
      <c r="F64" s="98" t="s">
        <v>8</v>
      </c>
      <c r="G64" s="99">
        <f>CEILING(((20+29)+(20+7))*1.2+(G52*0.35),1)</f>
        <v>296</v>
      </c>
      <c r="H64" s="71"/>
      <c r="I64" s="84"/>
    </row>
    <row r="65" spans="2:9" ht="24" x14ac:dyDescent="0.2">
      <c r="B65" s="65"/>
      <c r="C65" s="62"/>
      <c r="D65" s="62"/>
      <c r="E65" s="77" t="s">
        <v>169</v>
      </c>
      <c r="F65" s="62"/>
      <c r="G65" s="85"/>
      <c r="H65" s="86"/>
      <c r="I65" s="87"/>
    </row>
    <row r="66" spans="2:9" ht="36.75" thickBot="1" x14ac:dyDescent="0.25">
      <c r="B66" s="66"/>
      <c r="C66" s="67"/>
      <c r="D66" s="67"/>
      <c r="E66" s="78" t="s">
        <v>70</v>
      </c>
      <c r="F66" s="67"/>
      <c r="G66" s="68"/>
      <c r="H66" s="69"/>
      <c r="I66" s="88"/>
    </row>
    <row r="67" spans="2:9" thickBot="1" x14ac:dyDescent="0.25">
      <c r="B67" s="70">
        <f>1+MAX($B$3:B66)</f>
        <v>21</v>
      </c>
      <c r="C67" s="96">
        <v>31452106</v>
      </c>
      <c r="D67" s="72" t="s">
        <v>98</v>
      </c>
      <c r="E67" s="97" t="s">
        <v>47</v>
      </c>
      <c r="F67" s="98" t="s">
        <v>8</v>
      </c>
      <c r="G67" s="99">
        <f>CEILING((G52*0.35)*1.2,1)</f>
        <v>245</v>
      </c>
      <c r="H67" s="71"/>
      <c r="I67" s="84"/>
    </row>
    <row r="68" spans="2:9" ht="26.1" customHeight="1" x14ac:dyDescent="0.2">
      <c r="B68" s="65"/>
      <c r="C68" s="62"/>
      <c r="D68" s="62"/>
      <c r="E68" s="77" t="s">
        <v>71</v>
      </c>
      <c r="F68" s="62"/>
      <c r="G68" s="85"/>
      <c r="H68" s="86"/>
      <c r="I68" s="87"/>
    </row>
    <row r="69" spans="2:9" ht="24.75" thickBot="1" x14ac:dyDescent="0.25">
      <c r="B69" s="66"/>
      <c r="C69" s="67"/>
      <c r="D69" s="67"/>
      <c r="E69" s="78" t="s">
        <v>93</v>
      </c>
      <c r="F69" s="67"/>
      <c r="G69" s="68"/>
      <c r="H69" s="69"/>
      <c r="I69" s="88"/>
    </row>
    <row r="70" spans="2:9" thickBot="1" x14ac:dyDescent="0.25">
      <c r="B70" s="70">
        <f>1+MAX($B$3:B69)</f>
        <v>22</v>
      </c>
      <c r="C70" s="95">
        <v>31452107</v>
      </c>
      <c r="D70" s="72" t="s">
        <v>98</v>
      </c>
      <c r="E70" s="97" t="s">
        <v>36</v>
      </c>
      <c r="F70" s="98" t="s">
        <v>8</v>
      </c>
      <c r="G70" s="99">
        <f>CEILING(((20+29)+(20+7))*1.2*1.2,1)</f>
        <v>110</v>
      </c>
      <c r="H70" s="71"/>
      <c r="I70" s="84"/>
    </row>
    <row r="71" spans="2:9" ht="24" x14ac:dyDescent="0.2">
      <c r="B71" s="65"/>
      <c r="C71" s="62"/>
      <c r="D71" s="62"/>
      <c r="E71" s="77" t="s">
        <v>170</v>
      </c>
      <c r="F71" s="62"/>
      <c r="G71" s="85"/>
      <c r="H71" s="86"/>
      <c r="I71" s="87"/>
    </row>
    <row r="72" spans="2:9" ht="24.75" thickBot="1" x14ac:dyDescent="0.25">
      <c r="B72" s="66"/>
      <c r="C72" s="67"/>
      <c r="D72" s="67"/>
      <c r="E72" s="78" t="s">
        <v>49</v>
      </c>
      <c r="F72" s="67"/>
      <c r="G72" s="68"/>
      <c r="H72" s="69"/>
      <c r="I72" s="88"/>
    </row>
    <row r="73" spans="2:9" ht="12.95" customHeight="1" thickBot="1" x14ac:dyDescent="0.25">
      <c r="B73" s="70">
        <f>1+MAX($B$3:B72)</f>
        <v>23</v>
      </c>
      <c r="C73" s="96">
        <v>155213511</v>
      </c>
      <c r="D73" s="72" t="s">
        <v>98</v>
      </c>
      <c r="E73" s="97" t="s">
        <v>32</v>
      </c>
      <c r="F73" s="96" t="s">
        <v>77</v>
      </c>
      <c r="G73" s="99">
        <f>CEILING(G52/500,1)</f>
        <v>2</v>
      </c>
      <c r="H73" s="71"/>
      <c r="I73" s="84"/>
    </row>
    <row r="74" spans="2:9" ht="12" x14ac:dyDescent="0.2">
      <c r="B74" s="65"/>
      <c r="C74" s="62"/>
      <c r="D74" s="62"/>
      <c r="E74" s="77" t="s">
        <v>124</v>
      </c>
      <c r="F74" s="62"/>
      <c r="G74" s="85"/>
      <c r="H74" s="86"/>
      <c r="I74" s="87"/>
    </row>
    <row r="75" spans="2:9" thickBot="1" x14ac:dyDescent="0.25">
      <c r="B75" s="66"/>
      <c r="C75" s="67"/>
      <c r="D75" s="67"/>
      <c r="E75" s="78" t="s">
        <v>51</v>
      </c>
      <c r="F75" s="67"/>
      <c r="G75" s="68"/>
      <c r="H75" s="69"/>
      <c r="I75" s="88"/>
    </row>
    <row r="76" spans="2:9" ht="15" customHeight="1" thickBot="1" x14ac:dyDescent="0.25">
      <c r="B76" s="46"/>
      <c r="C76" s="47"/>
      <c r="D76" s="47"/>
      <c r="E76" s="50" t="s">
        <v>125</v>
      </c>
      <c r="F76" s="47"/>
      <c r="G76" s="47"/>
      <c r="H76" s="61"/>
      <c r="I76" s="89"/>
    </row>
    <row r="77" spans="2:9" ht="15" customHeight="1" thickBot="1" x14ac:dyDescent="0.25">
      <c r="B77" s="70">
        <f>1+MAX($B$3:B76)</f>
        <v>24</v>
      </c>
      <c r="C77" s="72" t="s">
        <v>126</v>
      </c>
      <c r="D77" s="96" t="s">
        <v>61</v>
      </c>
      <c r="E77" s="103" t="s">
        <v>127</v>
      </c>
      <c r="F77" s="96" t="s">
        <v>8</v>
      </c>
      <c r="G77" s="99">
        <f>CEILING(G86*1.3,0.1)</f>
        <v>19.5</v>
      </c>
      <c r="H77" s="71"/>
      <c r="I77" s="84"/>
    </row>
    <row r="78" spans="2:9" ht="12" x14ac:dyDescent="0.2">
      <c r="B78" s="65"/>
      <c r="C78" s="62"/>
      <c r="D78" s="62"/>
      <c r="E78" s="77" t="s">
        <v>128</v>
      </c>
      <c r="F78" s="62"/>
      <c r="G78" s="110"/>
      <c r="H78" s="112"/>
      <c r="I78" s="87"/>
    </row>
    <row r="79" spans="2:9" ht="26.1" customHeight="1" thickBot="1" x14ac:dyDescent="0.25">
      <c r="B79" s="66"/>
      <c r="C79" s="67"/>
      <c r="D79" s="67"/>
      <c r="E79" s="78" t="s">
        <v>153</v>
      </c>
      <c r="F79" s="67"/>
      <c r="G79" s="111"/>
      <c r="H79" s="113"/>
      <c r="I79" s="88"/>
    </row>
    <row r="80" spans="2:9" ht="26.1" customHeight="1" thickBot="1" x14ac:dyDescent="0.25">
      <c r="B80" s="70">
        <f>1+MAX($B$3:B79)</f>
        <v>25</v>
      </c>
      <c r="C80" s="72">
        <v>131213702</v>
      </c>
      <c r="D80" s="72" t="s">
        <v>98</v>
      </c>
      <c r="E80" s="103" t="s">
        <v>131</v>
      </c>
      <c r="F80" s="96" t="s">
        <v>37</v>
      </c>
      <c r="G80" s="99">
        <f>CEILING((G86*0.5*0.5*0.7)*1.2,0.1)</f>
        <v>3.2</v>
      </c>
      <c r="H80" s="71"/>
      <c r="I80" s="84"/>
    </row>
    <row r="81" spans="2:9" ht="26.25" x14ac:dyDescent="0.2">
      <c r="B81" s="65"/>
      <c r="C81" s="62"/>
      <c r="D81" s="62"/>
      <c r="E81" s="77" t="s">
        <v>132</v>
      </c>
      <c r="F81" s="62"/>
      <c r="G81" s="110"/>
      <c r="H81" s="112"/>
      <c r="I81" s="87"/>
    </row>
    <row r="82" spans="2:9" ht="51" customHeight="1" thickBot="1" x14ac:dyDescent="0.25">
      <c r="B82" s="66"/>
      <c r="C82" s="67"/>
      <c r="D82" s="67"/>
      <c r="E82" s="78" t="s">
        <v>133</v>
      </c>
      <c r="F82" s="67"/>
      <c r="G82" s="111"/>
      <c r="H82" s="113"/>
      <c r="I82" s="88"/>
    </row>
    <row r="83" spans="2:9" ht="26.1" customHeight="1" thickBot="1" x14ac:dyDescent="0.25">
      <c r="B83" s="70">
        <f>1+MAX($B$3:B82)</f>
        <v>26</v>
      </c>
      <c r="C83" s="98">
        <v>275311127</v>
      </c>
      <c r="D83" s="72" t="s">
        <v>98</v>
      </c>
      <c r="E83" s="108" t="s">
        <v>134</v>
      </c>
      <c r="F83" s="96" t="s">
        <v>37</v>
      </c>
      <c r="G83" s="114">
        <f>G80</f>
        <v>3.2</v>
      </c>
      <c r="H83" s="71"/>
      <c r="I83" s="84"/>
    </row>
    <row r="84" spans="2:9" ht="12" x14ac:dyDescent="0.2">
      <c r="B84" s="65"/>
      <c r="C84" s="62"/>
      <c r="D84" s="62"/>
      <c r="E84" s="77" t="s">
        <v>135</v>
      </c>
      <c r="F84" s="62"/>
      <c r="G84" s="85"/>
      <c r="H84" s="86"/>
      <c r="I84" s="87"/>
    </row>
    <row r="85" spans="2:9" ht="24.75" thickBot="1" x14ac:dyDescent="0.25">
      <c r="B85" s="66"/>
      <c r="C85" s="67"/>
      <c r="D85" s="67"/>
      <c r="E85" s="78" t="s">
        <v>136</v>
      </c>
      <c r="F85" s="67"/>
      <c r="G85" s="68"/>
      <c r="H85" s="69"/>
      <c r="I85" s="88"/>
    </row>
    <row r="86" spans="2:9" ht="24.75" thickBot="1" x14ac:dyDescent="0.25">
      <c r="B86" s="70">
        <f>1+MAX($B$3:B85)</f>
        <v>27</v>
      </c>
      <c r="C86" s="72">
        <v>151711111</v>
      </c>
      <c r="D86" s="72" t="s">
        <v>98</v>
      </c>
      <c r="E86" s="103" t="s">
        <v>129</v>
      </c>
      <c r="F86" s="96" t="s">
        <v>77</v>
      </c>
      <c r="G86" s="99">
        <f>CEILING((42)/3+1,1)</f>
        <v>15</v>
      </c>
      <c r="H86" s="71"/>
      <c r="I86" s="84"/>
    </row>
    <row r="87" spans="2:9" ht="12" x14ac:dyDescent="0.2">
      <c r="B87" s="65"/>
      <c r="C87" s="62"/>
      <c r="D87" s="62"/>
      <c r="E87" s="77" t="s">
        <v>171</v>
      </c>
      <c r="F87" s="62"/>
      <c r="G87" s="110"/>
      <c r="H87" s="112"/>
      <c r="I87" s="87"/>
    </row>
    <row r="88" spans="2:9" ht="24.75" thickBot="1" x14ac:dyDescent="0.25">
      <c r="B88" s="66"/>
      <c r="C88" s="67"/>
      <c r="D88" s="67"/>
      <c r="E88" s="78" t="s">
        <v>130</v>
      </c>
      <c r="F88" s="67"/>
      <c r="G88" s="111"/>
      <c r="H88" s="113"/>
      <c r="I88" s="88"/>
    </row>
    <row r="89" spans="2:9" thickBot="1" x14ac:dyDescent="0.25">
      <c r="B89" s="70">
        <f>1+MAX($B$3:B88)</f>
        <v>28</v>
      </c>
      <c r="C89" s="72" t="s">
        <v>137</v>
      </c>
      <c r="D89" s="72" t="s">
        <v>98</v>
      </c>
      <c r="E89" s="103" t="s">
        <v>144</v>
      </c>
      <c r="F89" s="96" t="s">
        <v>8</v>
      </c>
      <c r="G89" s="99">
        <f>G86*3.5</f>
        <v>52.5</v>
      </c>
      <c r="H89" s="71"/>
      <c r="I89" s="84"/>
    </row>
    <row r="90" spans="2:9" ht="12" x14ac:dyDescent="0.2">
      <c r="B90" s="65"/>
      <c r="C90" s="62"/>
      <c r="D90" s="62"/>
      <c r="E90" s="77" t="s">
        <v>138</v>
      </c>
      <c r="F90" s="62"/>
      <c r="G90" s="110"/>
      <c r="H90" s="112"/>
      <c r="I90" s="87"/>
    </row>
    <row r="91" spans="2:9" ht="36.75" thickBot="1" x14ac:dyDescent="0.25">
      <c r="B91" s="66"/>
      <c r="C91" s="67"/>
      <c r="D91" s="67"/>
      <c r="E91" s="78" t="s">
        <v>139</v>
      </c>
      <c r="F91" s="67"/>
      <c r="G91" s="111"/>
      <c r="H91" s="113"/>
      <c r="I91" s="88"/>
    </row>
    <row r="92" spans="2:9" ht="15" thickBot="1" x14ac:dyDescent="0.25">
      <c r="B92" s="70">
        <f>1+MAX($B$3:B91)</f>
        <v>29</v>
      </c>
      <c r="C92" s="96">
        <v>789321110</v>
      </c>
      <c r="D92" s="72" t="s">
        <v>98</v>
      </c>
      <c r="E92" s="97" t="s">
        <v>48</v>
      </c>
      <c r="F92" s="96" t="s">
        <v>22</v>
      </c>
      <c r="G92" s="99">
        <f>CEILING(0.906*G89*1.2,1)</f>
        <v>58</v>
      </c>
      <c r="H92" s="71"/>
      <c r="I92" s="84"/>
    </row>
    <row r="93" spans="2:9" ht="14.25" x14ac:dyDescent="0.2">
      <c r="B93" s="65"/>
      <c r="C93" s="62"/>
      <c r="D93" s="62"/>
      <c r="E93" s="77" t="s">
        <v>142</v>
      </c>
      <c r="F93" s="62"/>
      <c r="G93" s="107"/>
      <c r="H93" s="86"/>
      <c r="I93" s="87"/>
    </row>
    <row r="94" spans="2:9" ht="39" thickBot="1" x14ac:dyDescent="0.25">
      <c r="B94" s="66"/>
      <c r="C94" s="67"/>
      <c r="D94" s="67"/>
      <c r="E94" s="78" t="s">
        <v>140</v>
      </c>
      <c r="F94" s="67"/>
      <c r="G94" s="68"/>
      <c r="H94" s="69"/>
      <c r="I94" s="88"/>
    </row>
    <row r="95" spans="2:9" ht="15" thickBot="1" x14ac:dyDescent="0.25">
      <c r="B95" s="70">
        <f>1+MAX($B$3:B94)</f>
        <v>30</v>
      </c>
      <c r="C95" s="96">
        <v>789321120</v>
      </c>
      <c r="D95" s="72" t="s">
        <v>98</v>
      </c>
      <c r="E95" s="97" t="s">
        <v>33</v>
      </c>
      <c r="F95" s="96" t="s">
        <v>22</v>
      </c>
      <c r="G95" s="109">
        <f>CEILING((0.906*2.5*G86)*2*1.2,1)</f>
        <v>82</v>
      </c>
      <c r="H95" s="71"/>
      <c r="I95" s="84"/>
    </row>
    <row r="96" spans="2:9" ht="15" customHeight="1" x14ac:dyDescent="0.2">
      <c r="B96" s="65"/>
      <c r="C96" s="62"/>
      <c r="D96" s="62"/>
      <c r="E96" s="77" t="s">
        <v>143</v>
      </c>
      <c r="F96" s="62"/>
      <c r="G96" s="85"/>
      <c r="H96" s="86"/>
      <c r="I96" s="87"/>
    </row>
    <row r="97" spans="2:9" ht="36.75" thickBot="1" x14ac:dyDescent="0.25">
      <c r="B97" s="66"/>
      <c r="C97" s="67"/>
      <c r="D97" s="67"/>
      <c r="E97" s="78" t="s">
        <v>141</v>
      </c>
      <c r="F97" s="67"/>
      <c r="G97" s="68"/>
      <c r="H97" s="69"/>
      <c r="I97" s="88"/>
    </row>
    <row r="98" spans="2:9" ht="24.75" thickBot="1" x14ac:dyDescent="0.25">
      <c r="B98" s="70">
        <f>1+MAX($B$3:B97)</f>
        <v>31</v>
      </c>
      <c r="C98" s="72" t="s">
        <v>145</v>
      </c>
      <c r="D98" s="72" t="s">
        <v>98</v>
      </c>
      <c r="E98" s="115" t="s">
        <v>154</v>
      </c>
      <c r="F98" s="116" t="s">
        <v>77</v>
      </c>
      <c r="G98" s="109">
        <f>CEILING((42/3)*16*1.05,1)</f>
        <v>236</v>
      </c>
      <c r="H98" s="71"/>
      <c r="I98" s="84"/>
    </row>
    <row r="99" spans="2:9" ht="15" customHeight="1" x14ac:dyDescent="0.2">
      <c r="B99" s="65"/>
      <c r="C99" s="62"/>
      <c r="D99" s="62"/>
      <c r="E99" s="77" t="s">
        <v>172</v>
      </c>
      <c r="F99" s="62"/>
      <c r="G99" s="106"/>
      <c r="H99" s="112"/>
      <c r="I99" s="87"/>
    </row>
    <row r="100" spans="2:9" ht="72.75" thickBot="1" x14ac:dyDescent="0.25">
      <c r="B100" s="66"/>
      <c r="C100" s="67"/>
      <c r="D100" s="67"/>
      <c r="E100" s="101" t="s">
        <v>146</v>
      </c>
      <c r="F100" s="62"/>
      <c r="G100" s="85"/>
      <c r="H100" s="113"/>
      <c r="I100" s="88"/>
    </row>
    <row r="101" spans="2:9" ht="24.75" thickBot="1" x14ac:dyDescent="0.25">
      <c r="B101" s="70">
        <f>1+MAX($B$3:B100)</f>
        <v>32</v>
      </c>
      <c r="C101" s="72">
        <v>783213111</v>
      </c>
      <c r="D101" s="72" t="s">
        <v>98</v>
      </c>
      <c r="E101" s="103" t="s">
        <v>147</v>
      </c>
      <c r="F101" s="96" t="s">
        <v>22</v>
      </c>
      <c r="G101" s="99">
        <f>CEILING(G98*((2*(PI()*(0.12^2)/4))+(PI()*0.12))*3*1.2,1)</f>
        <v>340</v>
      </c>
      <c r="H101" s="71"/>
      <c r="I101" s="84"/>
    </row>
    <row r="102" spans="2:9" ht="15" customHeight="1" x14ac:dyDescent="0.2">
      <c r="B102" s="65"/>
      <c r="C102" s="62"/>
      <c r="D102" s="62"/>
      <c r="E102" s="77" t="s">
        <v>152</v>
      </c>
      <c r="F102" s="62"/>
      <c r="G102" s="110"/>
      <c r="H102" s="112"/>
      <c r="I102" s="87"/>
    </row>
    <row r="103" spans="2:9" ht="24.75" thickBot="1" x14ac:dyDescent="0.25">
      <c r="B103" s="66"/>
      <c r="C103" s="67"/>
      <c r="D103" s="67"/>
      <c r="E103" s="78" t="s">
        <v>148</v>
      </c>
      <c r="F103" s="67"/>
      <c r="G103" s="111"/>
      <c r="H103" s="113"/>
      <c r="I103" s="88"/>
    </row>
    <row r="104" spans="2:9" ht="15" thickBot="1" x14ac:dyDescent="0.25">
      <c r="B104" s="70">
        <f>1+MAX($B$3:B103)</f>
        <v>33</v>
      </c>
      <c r="C104" s="72">
        <v>783218111</v>
      </c>
      <c r="D104" s="72" t="s">
        <v>98</v>
      </c>
      <c r="E104" s="103" t="s">
        <v>149</v>
      </c>
      <c r="F104" s="96" t="s">
        <v>22</v>
      </c>
      <c r="G104" s="99">
        <f>G101</f>
        <v>340</v>
      </c>
      <c r="H104" s="71"/>
      <c r="I104" s="84"/>
    </row>
    <row r="105" spans="2:9" ht="12" x14ac:dyDescent="0.2">
      <c r="B105" s="65"/>
      <c r="C105" s="62"/>
      <c r="D105" s="62"/>
      <c r="E105" s="77" t="s">
        <v>151</v>
      </c>
      <c r="F105" s="62"/>
      <c r="G105" s="110"/>
      <c r="H105" s="112"/>
      <c r="I105" s="87"/>
    </row>
    <row r="106" spans="2:9" thickBot="1" x14ac:dyDescent="0.25">
      <c r="B106" s="66"/>
      <c r="C106" s="67"/>
      <c r="D106" s="67"/>
      <c r="E106" s="78" t="s">
        <v>150</v>
      </c>
      <c r="F106" s="67"/>
      <c r="G106" s="111"/>
      <c r="H106" s="113"/>
      <c r="I106" s="88"/>
    </row>
    <row r="107" spans="2:9" ht="13.5" thickBot="1" x14ac:dyDescent="0.25">
      <c r="B107" s="51"/>
      <c r="C107" s="47"/>
      <c r="D107" s="47"/>
      <c r="E107" s="50" t="s">
        <v>43</v>
      </c>
      <c r="F107" s="47"/>
      <c r="G107" s="47"/>
      <c r="H107" s="52"/>
      <c r="I107" s="89"/>
    </row>
    <row r="108" spans="2:9" ht="12.95" customHeight="1" thickBot="1" x14ac:dyDescent="0.25">
      <c r="B108" s="70">
        <f>1+MAX($B$3:B107)</f>
        <v>34</v>
      </c>
      <c r="C108" s="95" t="s">
        <v>81</v>
      </c>
      <c r="D108" s="96" t="s">
        <v>61</v>
      </c>
      <c r="E108" s="97" t="s">
        <v>82</v>
      </c>
      <c r="F108" s="98" t="s">
        <v>45</v>
      </c>
      <c r="G108" s="99">
        <f>CEILING(((G43+G73)*2.5*0.0036)+(G5*0.012)+(G8*0.032)+(G61*0.0006)+(G55*0.00177)+(G67*0.00021+G70*0.00032)+(G89*0.0304)+(G98*3*0.0085)+((G83+0.9)*2.3),0.01)</f>
        <v>20.82</v>
      </c>
      <c r="H108" s="71"/>
      <c r="I108" s="84"/>
    </row>
    <row r="109" spans="2:9" ht="83.1" customHeight="1" x14ac:dyDescent="0.2">
      <c r="B109" s="65"/>
      <c r="C109" s="62"/>
      <c r="D109" s="62"/>
      <c r="E109" s="77" t="s">
        <v>178</v>
      </c>
      <c r="F109" s="64"/>
      <c r="G109" s="100"/>
      <c r="H109" s="86"/>
      <c r="I109" s="87"/>
    </row>
    <row r="110" spans="2:9" thickBot="1" x14ac:dyDescent="0.25">
      <c r="B110" s="65"/>
      <c r="C110" s="62"/>
      <c r="D110" s="62"/>
      <c r="E110" s="101" t="s">
        <v>52</v>
      </c>
      <c r="F110" s="62"/>
      <c r="G110" s="85"/>
      <c r="H110" s="86"/>
      <c r="I110" s="87"/>
    </row>
    <row r="111" spans="2:9" thickBot="1" x14ac:dyDescent="0.25">
      <c r="B111" s="70">
        <f>1+MAX($B$3:B110)</f>
        <v>35</v>
      </c>
      <c r="C111" s="72">
        <v>997002611</v>
      </c>
      <c r="D111" s="72" t="s">
        <v>98</v>
      </c>
      <c r="E111" s="102" t="s">
        <v>44</v>
      </c>
      <c r="F111" s="96" t="s">
        <v>45</v>
      </c>
      <c r="G111" s="99">
        <f>CEILING((G36)*2+(G80)*1.9,0.01)</f>
        <v>43.480000000000004</v>
      </c>
      <c r="H111" s="71"/>
      <c r="I111" s="84"/>
    </row>
    <row r="112" spans="2:9" ht="12" x14ac:dyDescent="0.2">
      <c r="B112" s="65"/>
      <c r="C112" s="62"/>
      <c r="D112" s="62"/>
      <c r="E112" s="77" t="s">
        <v>180</v>
      </c>
      <c r="F112" s="62"/>
      <c r="G112" s="85"/>
      <c r="H112" s="86"/>
      <c r="I112" s="87"/>
    </row>
    <row r="113" spans="2:9" thickBot="1" x14ac:dyDescent="0.25">
      <c r="B113" s="66"/>
      <c r="C113" s="67"/>
      <c r="D113" s="67"/>
      <c r="E113" s="78" t="s">
        <v>74</v>
      </c>
      <c r="F113" s="67"/>
      <c r="G113" s="68"/>
      <c r="H113" s="69"/>
      <c r="I113" s="88"/>
    </row>
    <row r="114" spans="2:9" ht="12.95" customHeight="1" thickBot="1" x14ac:dyDescent="0.25">
      <c r="B114" s="70">
        <f>1+MAX($B$3:B113)</f>
        <v>36</v>
      </c>
      <c r="C114" s="72">
        <v>997013501</v>
      </c>
      <c r="D114" s="72" t="s">
        <v>98</v>
      </c>
      <c r="E114" s="103" t="s">
        <v>99</v>
      </c>
      <c r="F114" s="96" t="s">
        <v>45</v>
      </c>
      <c r="G114" s="99">
        <f>CEILING(G120+G126,0.01)</f>
        <v>106.04</v>
      </c>
      <c r="H114" s="71"/>
      <c r="I114" s="84"/>
    </row>
    <row r="115" spans="2:9" ht="12" x14ac:dyDescent="0.2">
      <c r="B115" s="65"/>
      <c r="C115" s="62"/>
      <c r="D115" s="62"/>
      <c r="E115" s="77" t="s">
        <v>102</v>
      </c>
      <c r="F115" s="62"/>
      <c r="G115" s="85"/>
      <c r="H115" s="86"/>
      <c r="I115" s="87"/>
    </row>
    <row r="116" spans="2:9" ht="24.75" thickBot="1" x14ac:dyDescent="0.25">
      <c r="B116" s="66"/>
      <c r="C116" s="67"/>
      <c r="D116" s="67"/>
      <c r="E116" s="78" t="s">
        <v>103</v>
      </c>
      <c r="F116" s="67"/>
      <c r="G116" s="68"/>
      <c r="H116" s="69"/>
      <c r="I116" s="88"/>
    </row>
    <row r="117" spans="2:9" ht="12.95" customHeight="1" thickBot="1" x14ac:dyDescent="0.25">
      <c r="B117" s="70">
        <f>1+MAX($B$3:B116)</f>
        <v>37</v>
      </c>
      <c r="C117" s="72">
        <v>997013509</v>
      </c>
      <c r="D117" s="72" t="s">
        <v>98</v>
      </c>
      <c r="E117" s="103" t="s">
        <v>100</v>
      </c>
      <c r="F117" s="96" t="s">
        <v>46</v>
      </c>
      <c r="G117" s="99">
        <f>CEILING((G120+G126)*24+G123*5,0.01)</f>
        <v>2570.06</v>
      </c>
      <c r="H117" s="71"/>
      <c r="I117" s="84"/>
    </row>
    <row r="118" spans="2:9" ht="15" customHeight="1" x14ac:dyDescent="0.2">
      <c r="B118" s="65"/>
      <c r="C118" s="62"/>
      <c r="D118" s="62"/>
      <c r="E118" s="77" t="s">
        <v>181</v>
      </c>
      <c r="F118" s="62"/>
      <c r="G118" s="104"/>
      <c r="H118" s="86"/>
      <c r="I118" s="87"/>
    </row>
    <row r="119" spans="2:9" thickBot="1" x14ac:dyDescent="0.25">
      <c r="B119" s="66"/>
      <c r="C119" s="67"/>
      <c r="D119" s="67"/>
      <c r="E119" s="78" t="s">
        <v>183</v>
      </c>
      <c r="F119" s="67"/>
      <c r="G119" s="68"/>
      <c r="H119" s="69"/>
      <c r="I119" s="88"/>
    </row>
    <row r="120" spans="2:9" ht="36.75" thickBot="1" x14ac:dyDescent="0.25">
      <c r="B120" s="70">
        <f>1+MAX($B$3:B119)</f>
        <v>38</v>
      </c>
      <c r="C120" s="96" t="s">
        <v>65</v>
      </c>
      <c r="D120" s="96" t="s">
        <v>61</v>
      </c>
      <c r="E120" s="97" t="s">
        <v>92</v>
      </c>
      <c r="F120" s="96" t="s">
        <v>45</v>
      </c>
      <c r="G120" s="99">
        <f>CEILING((G36+G39)*2+(G11+G80)*1.9,0.01)</f>
        <v>105.88</v>
      </c>
      <c r="H120" s="105"/>
      <c r="I120" s="84"/>
    </row>
    <row r="121" spans="2:9" ht="24" x14ac:dyDescent="0.2">
      <c r="B121" s="65"/>
      <c r="C121" s="62"/>
      <c r="D121" s="62"/>
      <c r="E121" s="77" t="s">
        <v>179</v>
      </c>
      <c r="F121" s="62"/>
      <c r="G121" s="106"/>
      <c r="H121" s="86"/>
      <c r="I121" s="87"/>
    </row>
    <row r="122" spans="2:9" ht="38.1" customHeight="1" thickBot="1" x14ac:dyDescent="0.25">
      <c r="B122" s="66"/>
      <c r="C122" s="67"/>
      <c r="D122" s="67"/>
      <c r="E122" s="78" t="s">
        <v>182</v>
      </c>
      <c r="F122" s="67"/>
      <c r="G122" s="68"/>
      <c r="H122" s="69"/>
      <c r="I122" s="88"/>
    </row>
    <row r="123" spans="2:9" ht="24.95" customHeight="1" thickBot="1" x14ac:dyDescent="0.25">
      <c r="B123" s="70">
        <f>1+MAX($B$3:B122)</f>
        <v>39</v>
      </c>
      <c r="C123" s="96" t="s">
        <v>64</v>
      </c>
      <c r="D123" s="96" t="s">
        <v>61</v>
      </c>
      <c r="E123" s="97" t="s">
        <v>91</v>
      </c>
      <c r="F123" s="96" t="s">
        <v>45</v>
      </c>
      <c r="G123" s="99">
        <f>CEILING(G33*0.008,0.01)</f>
        <v>5.0200000000000005</v>
      </c>
      <c r="H123" s="105"/>
      <c r="I123" s="84"/>
    </row>
    <row r="124" spans="2:9" ht="14.25" x14ac:dyDescent="0.2">
      <c r="B124" s="65"/>
      <c r="C124" s="62"/>
      <c r="D124" s="62"/>
      <c r="E124" s="77" t="s">
        <v>66</v>
      </c>
      <c r="F124" s="62"/>
      <c r="G124" s="107"/>
      <c r="H124" s="86"/>
      <c r="I124" s="87"/>
    </row>
    <row r="125" spans="2:9" ht="38.1" customHeight="1" thickBot="1" x14ac:dyDescent="0.25">
      <c r="B125" s="66"/>
      <c r="C125" s="67"/>
      <c r="D125" s="67"/>
      <c r="E125" s="78" t="s">
        <v>182</v>
      </c>
      <c r="F125" s="67"/>
      <c r="G125" s="68"/>
      <c r="H125" s="69"/>
      <c r="I125" s="88"/>
    </row>
    <row r="126" spans="2:9" ht="24.75" thickBot="1" x14ac:dyDescent="0.25">
      <c r="B126" s="70">
        <f>1+MAX($B$3:B125)</f>
        <v>40</v>
      </c>
      <c r="C126" s="96" t="s">
        <v>67</v>
      </c>
      <c r="D126" s="96" t="s">
        <v>61</v>
      </c>
      <c r="E126" s="97" t="s">
        <v>90</v>
      </c>
      <c r="F126" s="96" t="s">
        <v>45</v>
      </c>
      <c r="G126" s="99">
        <f>CEILING(((PI()*(0.2^2))*0.5*G27)*1.25,0.01)</f>
        <v>0.16</v>
      </c>
      <c r="H126" s="105"/>
      <c r="I126" s="84"/>
    </row>
    <row r="127" spans="2:9" ht="15" customHeight="1" x14ac:dyDescent="0.2">
      <c r="B127" s="65"/>
      <c r="C127" s="62"/>
      <c r="D127" s="62"/>
      <c r="E127" s="77" t="s">
        <v>187</v>
      </c>
      <c r="F127" s="62"/>
      <c r="G127" s="107"/>
      <c r="H127" s="86"/>
      <c r="I127" s="87"/>
    </row>
    <row r="128" spans="2:9" ht="38.1" customHeight="1" thickBot="1" x14ac:dyDescent="0.25">
      <c r="B128" s="66"/>
      <c r="C128" s="67"/>
      <c r="D128" s="67"/>
      <c r="E128" s="78" t="s">
        <v>182</v>
      </c>
      <c r="F128" s="67"/>
      <c r="G128" s="68"/>
      <c r="H128" s="69"/>
      <c r="I128" s="88"/>
    </row>
    <row r="129" spans="2:10" ht="12.95" customHeight="1" thickBot="1" x14ac:dyDescent="0.25">
      <c r="B129" s="51"/>
      <c r="C129" s="47"/>
      <c r="D129" s="47"/>
      <c r="E129" s="50" t="s">
        <v>14</v>
      </c>
      <c r="F129" s="47"/>
      <c r="G129" s="47"/>
      <c r="H129" s="52"/>
      <c r="I129" s="89"/>
    </row>
    <row r="130" spans="2:10" thickBot="1" x14ac:dyDescent="0.25">
      <c r="B130" s="70">
        <f>1+MAX($B$3:B129)</f>
        <v>41</v>
      </c>
      <c r="C130" s="74" t="s">
        <v>38</v>
      </c>
      <c r="D130" s="74" t="s">
        <v>60</v>
      </c>
      <c r="E130" s="92" t="s">
        <v>23</v>
      </c>
      <c r="F130" s="72" t="s">
        <v>24</v>
      </c>
      <c r="G130" s="90">
        <f>1</f>
        <v>1</v>
      </c>
      <c r="H130" s="75"/>
      <c r="I130" s="84"/>
      <c r="J130" s="45"/>
    </row>
    <row r="131" spans="2:10" ht="12" x14ac:dyDescent="0.2">
      <c r="B131" s="65"/>
      <c r="C131" s="62"/>
      <c r="D131" s="62"/>
      <c r="E131" s="77" t="s">
        <v>54</v>
      </c>
      <c r="F131" s="62"/>
      <c r="G131" s="85"/>
      <c r="H131" s="86"/>
      <c r="I131" s="87"/>
      <c r="J131" s="45"/>
    </row>
    <row r="132" spans="2:10" thickBot="1" x14ac:dyDescent="0.25">
      <c r="B132" s="66"/>
      <c r="C132" s="67"/>
      <c r="D132" s="67"/>
      <c r="E132" s="78" t="s">
        <v>162</v>
      </c>
      <c r="F132" s="67"/>
      <c r="G132" s="68"/>
      <c r="H132" s="69"/>
      <c r="I132" s="88"/>
      <c r="J132" s="45"/>
    </row>
    <row r="133" spans="2:10" thickBot="1" x14ac:dyDescent="0.25">
      <c r="B133" s="70">
        <f>1+MAX($B$3:B132)</f>
        <v>42</v>
      </c>
      <c r="C133" s="74" t="s">
        <v>159</v>
      </c>
      <c r="D133" s="74" t="s">
        <v>60</v>
      </c>
      <c r="E133" s="92" t="s">
        <v>160</v>
      </c>
      <c r="F133" s="72" t="s">
        <v>24</v>
      </c>
      <c r="G133" s="90">
        <f>1</f>
        <v>1</v>
      </c>
      <c r="H133" s="75"/>
      <c r="I133" s="84"/>
      <c r="J133" s="45"/>
    </row>
    <row r="134" spans="2:10" ht="12" x14ac:dyDescent="0.2">
      <c r="B134" s="65"/>
      <c r="C134" s="62"/>
      <c r="D134" s="62"/>
      <c r="E134" s="77" t="s">
        <v>54</v>
      </c>
      <c r="F134" s="62"/>
      <c r="G134" s="85"/>
      <c r="H134" s="86"/>
      <c r="I134" s="87"/>
      <c r="J134" s="45"/>
    </row>
    <row r="135" spans="2:10" thickBot="1" x14ac:dyDescent="0.25">
      <c r="B135" s="66"/>
      <c r="C135" s="67"/>
      <c r="D135" s="67"/>
      <c r="E135" s="78" t="s">
        <v>161</v>
      </c>
      <c r="F135" s="67"/>
      <c r="G135" s="68"/>
      <c r="H135" s="69"/>
      <c r="I135" s="88"/>
      <c r="J135" s="45"/>
    </row>
    <row r="136" spans="2:10" thickBot="1" x14ac:dyDescent="0.25">
      <c r="B136" s="70">
        <f>1+MAX($B$3:B135)</f>
        <v>43</v>
      </c>
      <c r="C136" s="74" t="s">
        <v>39</v>
      </c>
      <c r="D136" s="74" t="s">
        <v>60</v>
      </c>
      <c r="E136" s="92" t="s">
        <v>25</v>
      </c>
      <c r="F136" s="72" t="s">
        <v>24</v>
      </c>
      <c r="G136" s="90">
        <f>1</f>
        <v>1</v>
      </c>
      <c r="H136" s="75"/>
      <c r="I136" s="84"/>
      <c r="J136" s="45"/>
    </row>
    <row r="137" spans="2:10" ht="12" x14ac:dyDescent="0.2">
      <c r="B137" s="65"/>
      <c r="C137" s="62"/>
      <c r="D137" s="62"/>
      <c r="E137" s="77" t="s">
        <v>54</v>
      </c>
      <c r="F137" s="62"/>
      <c r="G137" s="85"/>
      <c r="H137" s="86"/>
      <c r="I137" s="87"/>
      <c r="J137" s="45"/>
    </row>
    <row r="138" spans="2:10" thickBot="1" x14ac:dyDescent="0.25">
      <c r="B138" s="66"/>
      <c r="C138" s="67"/>
      <c r="D138" s="67"/>
      <c r="E138" s="78" t="s">
        <v>53</v>
      </c>
      <c r="F138" s="67"/>
      <c r="G138" s="68"/>
      <c r="H138" s="69"/>
      <c r="I138" s="88"/>
      <c r="J138" s="45"/>
    </row>
    <row r="139" spans="2:10" thickBot="1" x14ac:dyDescent="0.25">
      <c r="B139" s="70">
        <f>1+MAX($B$3:B138)</f>
        <v>44</v>
      </c>
      <c r="C139" s="74" t="s">
        <v>40</v>
      </c>
      <c r="D139" s="74" t="s">
        <v>60</v>
      </c>
      <c r="E139" s="92" t="s">
        <v>27</v>
      </c>
      <c r="F139" s="72" t="s">
        <v>24</v>
      </c>
      <c r="G139" s="90">
        <f>1</f>
        <v>1</v>
      </c>
      <c r="H139" s="75"/>
      <c r="I139" s="84"/>
      <c r="J139" s="45"/>
    </row>
    <row r="140" spans="2:10" ht="12" x14ac:dyDescent="0.2">
      <c r="B140" s="65"/>
      <c r="C140" s="62"/>
      <c r="D140" s="62"/>
      <c r="E140" s="77" t="s">
        <v>55</v>
      </c>
      <c r="F140" s="62"/>
      <c r="G140" s="85"/>
      <c r="H140" s="86"/>
      <c r="I140" s="87"/>
      <c r="J140" s="45"/>
    </row>
    <row r="141" spans="2:10" thickBot="1" x14ac:dyDescent="0.25">
      <c r="B141" s="66"/>
      <c r="C141" s="67"/>
      <c r="D141" s="67"/>
      <c r="E141" s="78" t="s">
        <v>56</v>
      </c>
      <c r="F141" s="67"/>
      <c r="G141" s="68"/>
      <c r="H141" s="69"/>
      <c r="I141" s="88"/>
      <c r="J141" s="45"/>
    </row>
    <row r="142" spans="2:10" thickBot="1" x14ac:dyDescent="0.25">
      <c r="B142" s="70">
        <f>1+MAX($B$3:B141)</f>
        <v>45</v>
      </c>
      <c r="C142" s="76" t="s">
        <v>41</v>
      </c>
      <c r="D142" s="76" t="s">
        <v>60</v>
      </c>
      <c r="E142" s="93" t="s">
        <v>28</v>
      </c>
      <c r="F142" s="72" t="s">
        <v>24</v>
      </c>
      <c r="G142" s="91">
        <f>1</f>
        <v>1</v>
      </c>
      <c r="H142" s="73"/>
      <c r="I142" s="84"/>
      <c r="J142" s="45"/>
    </row>
    <row r="143" spans="2:10" ht="12" x14ac:dyDescent="0.2">
      <c r="B143" s="65"/>
      <c r="C143" s="62"/>
      <c r="D143" s="62"/>
      <c r="E143" s="77" t="s">
        <v>54</v>
      </c>
      <c r="F143" s="62"/>
      <c r="G143" s="85"/>
      <c r="H143" s="86"/>
      <c r="I143" s="87"/>
      <c r="J143" s="45"/>
    </row>
    <row r="144" spans="2:10" ht="24.75" thickBot="1" x14ac:dyDescent="0.25">
      <c r="B144" s="66"/>
      <c r="C144" s="67"/>
      <c r="D144" s="67"/>
      <c r="E144" s="78" t="s">
        <v>68</v>
      </c>
      <c r="F144" s="67"/>
      <c r="G144" s="68"/>
      <c r="H144" s="69"/>
      <c r="I144" s="88"/>
      <c r="J144" s="45"/>
    </row>
    <row r="145" spans="2:10" ht="12.95" customHeight="1" thickBot="1" x14ac:dyDescent="0.25">
      <c r="B145" s="70">
        <f>1+MAX($B$3:B144)</f>
        <v>46</v>
      </c>
      <c r="C145" s="74" t="s">
        <v>42</v>
      </c>
      <c r="D145" s="74" t="s">
        <v>60</v>
      </c>
      <c r="E145" s="92" t="s">
        <v>26</v>
      </c>
      <c r="F145" s="72" t="s">
        <v>24</v>
      </c>
      <c r="G145" s="90">
        <f>1</f>
        <v>1</v>
      </c>
      <c r="H145" s="71"/>
      <c r="I145" s="84"/>
      <c r="J145" s="45"/>
    </row>
    <row r="146" spans="2:10" ht="12" x14ac:dyDescent="0.2">
      <c r="B146" s="65"/>
      <c r="C146" s="62"/>
      <c r="D146" s="62"/>
      <c r="E146" s="77" t="s">
        <v>54</v>
      </c>
      <c r="F146" s="62"/>
      <c r="G146" s="85"/>
      <c r="H146" s="86"/>
      <c r="I146" s="87"/>
      <c r="J146" s="45"/>
    </row>
    <row r="147" spans="2:10" thickBot="1" x14ac:dyDescent="0.25">
      <c r="B147" s="66"/>
      <c r="C147" s="67"/>
      <c r="D147" s="67"/>
      <c r="E147" s="78" t="s">
        <v>57</v>
      </c>
      <c r="F147" s="67"/>
      <c r="G147" s="68"/>
      <c r="H147" s="69"/>
      <c r="I147" s="88"/>
      <c r="J147" s="45"/>
    </row>
  </sheetData>
  <protectedRanges>
    <protectedRange sqref="E73" name="Oblast1_4_1_1_1_2"/>
  </protectedRanges>
  <printOptions horizontalCentered="1"/>
  <pageMargins left="0.19685039370078741" right="0.19685039370078741" top="0.78740157480314965" bottom="0.39370078740157483" header="0" footer="0"/>
  <pageSetup paperSize="9" scale="97" firstPageNumber="0" fitToHeight="3" orientation="landscape" horizontalDpi="300" verticalDpi="300" r:id="rId1"/>
  <headerFooter alignWithMargins="0">
    <oddFooter>&amp;C&amp;"Arial CE,Běžné"&amp;7  Strana &amp;P z &amp;N</oddFooter>
  </headerFooter>
  <ignoredErrors>
    <ignoredError sqref="G83" unlockedFormula="1"/>
    <ignoredError sqref="C130 C136 C139 C142 C145 C13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Krycí list</vt:lpstr>
      <vt:lpstr>D.1.2.6 Soupis prací s VV</vt:lpstr>
      <vt:lpstr>__xlnm.Print_Area_2</vt:lpstr>
      <vt:lpstr>'D.1.2.6 Soupis prací s VV'!Názvy_tisku</vt:lpstr>
      <vt:lpstr>'D.1.2.6 Soupis prací s VV'!Oblast_tisku</vt:lpstr>
      <vt:lpstr>'Krycí list'!Oblast_tisku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Tomášek Martin (MMB_OSM)</cp:lastModifiedBy>
  <cp:lastPrinted>2024-11-19T13:26:00Z</cp:lastPrinted>
  <dcterms:created xsi:type="dcterms:W3CDTF">2010-05-13T13:15:26Z</dcterms:created>
  <dcterms:modified xsi:type="dcterms:W3CDTF">2025-08-01T06:46:32Z</dcterms:modified>
</cp:coreProperties>
</file>